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CAE" lockStructure="1"/>
  <bookViews>
    <workbookView xWindow="480" yWindow="105" windowWidth="27795" windowHeight="13620"/>
  </bookViews>
  <sheets>
    <sheet name="CVR_Export_20220824151224" sheetId="1" r:id="rId1"/>
  </sheets>
  <definedNames>
    <definedName name="_xlnm._FilterDatabase" localSheetId="0" hidden="1">CVR_Export_20220824151224!$H$1:$H$7994</definedName>
  </definedNames>
  <calcPr calcId="145621"/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A6" i="1"/>
  <c r="B6" i="1"/>
  <c r="C6" i="1"/>
  <c r="D6" i="1"/>
  <c r="E6" i="1"/>
  <c r="A7" i="1"/>
  <c r="B7" i="1"/>
  <c r="C7" i="1"/>
  <c r="D7" i="1"/>
  <c r="E7" i="1"/>
  <c r="A8" i="1"/>
  <c r="B8" i="1"/>
  <c r="C8" i="1"/>
  <c r="D8" i="1"/>
  <c r="E8" i="1"/>
  <c r="A9" i="1"/>
  <c r="B9" i="1"/>
  <c r="C9" i="1"/>
  <c r="D9" i="1"/>
  <c r="E9" i="1"/>
  <c r="A10" i="1"/>
  <c r="B10" i="1"/>
  <c r="C10" i="1"/>
  <c r="D10" i="1"/>
  <c r="E10" i="1"/>
  <c r="A11" i="1"/>
  <c r="B11" i="1"/>
  <c r="C11" i="1"/>
  <c r="D11" i="1"/>
  <c r="E11" i="1"/>
  <c r="A12" i="1"/>
  <c r="B12" i="1"/>
  <c r="C12" i="1"/>
  <c r="D12" i="1"/>
  <c r="E12" i="1"/>
  <c r="A13" i="1"/>
  <c r="B13" i="1"/>
  <c r="C13" i="1"/>
  <c r="D13" i="1"/>
  <c r="E13" i="1"/>
  <c r="A14" i="1"/>
  <c r="B14" i="1"/>
  <c r="C14" i="1"/>
  <c r="D14" i="1"/>
  <c r="E14" i="1"/>
  <c r="A15" i="1"/>
  <c r="B15" i="1"/>
  <c r="C15" i="1"/>
  <c r="D15" i="1"/>
  <c r="E15" i="1"/>
  <c r="A16" i="1"/>
  <c r="B16" i="1"/>
  <c r="C16" i="1"/>
  <c r="D16" i="1"/>
  <c r="E16" i="1"/>
  <c r="A17" i="1"/>
  <c r="B17" i="1"/>
  <c r="C17" i="1"/>
  <c r="D17" i="1"/>
  <c r="E17" i="1"/>
  <c r="A18" i="1"/>
  <c r="B18" i="1"/>
  <c r="C18" i="1"/>
  <c r="D18" i="1"/>
  <c r="E18" i="1"/>
  <c r="A19" i="1"/>
  <c r="B19" i="1"/>
  <c r="C19" i="1"/>
  <c r="D19" i="1"/>
  <c r="E19" i="1"/>
  <c r="A20" i="1"/>
  <c r="B20" i="1"/>
  <c r="C20" i="1"/>
  <c r="D20" i="1"/>
  <c r="E20" i="1"/>
  <c r="A21" i="1"/>
  <c r="B21" i="1"/>
  <c r="C21" i="1"/>
  <c r="D21" i="1"/>
  <c r="E21" i="1"/>
  <c r="A22" i="1"/>
  <c r="B22" i="1"/>
  <c r="C22" i="1"/>
  <c r="D22" i="1"/>
  <c r="E22" i="1"/>
  <c r="A23" i="1"/>
  <c r="B23" i="1"/>
  <c r="C23" i="1"/>
  <c r="D23" i="1"/>
  <c r="E23" i="1"/>
  <c r="A24" i="1"/>
  <c r="B24" i="1"/>
  <c r="C24" i="1"/>
  <c r="D24" i="1"/>
  <c r="E24" i="1"/>
  <c r="A25" i="1"/>
  <c r="B25" i="1"/>
  <c r="C25" i="1"/>
  <c r="D25" i="1"/>
  <c r="E25" i="1"/>
  <c r="A26" i="1"/>
  <c r="B26" i="1"/>
  <c r="C26" i="1"/>
  <c r="D26" i="1"/>
  <c r="E26" i="1"/>
  <c r="A27" i="1"/>
  <c r="B27" i="1"/>
  <c r="C27" i="1"/>
  <c r="D27" i="1"/>
  <c r="E27" i="1"/>
  <c r="A28" i="1"/>
  <c r="B28" i="1"/>
  <c r="C28" i="1"/>
  <c r="D28" i="1"/>
  <c r="E28" i="1"/>
  <c r="A29" i="1"/>
  <c r="B29" i="1"/>
  <c r="C29" i="1"/>
  <c r="D29" i="1"/>
  <c r="E29" i="1"/>
  <c r="A30" i="1"/>
  <c r="B30" i="1"/>
  <c r="C30" i="1"/>
  <c r="D30" i="1"/>
  <c r="E30" i="1"/>
  <c r="A31" i="1"/>
  <c r="B31" i="1"/>
  <c r="C31" i="1"/>
  <c r="D31" i="1"/>
  <c r="E31" i="1"/>
  <c r="A32" i="1"/>
  <c r="B32" i="1"/>
  <c r="C32" i="1"/>
  <c r="D32" i="1"/>
  <c r="E32" i="1"/>
  <c r="A33" i="1"/>
  <c r="B33" i="1"/>
  <c r="C33" i="1"/>
  <c r="D33" i="1"/>
  <c r="E33" i="1"/>
  <c r="A34" i="1"/>
  <c r="B34" i="1"/>
  <c r="C34" i="1"/>
  <c r="D34" i="1"/>
  <c r="E34" i="1"/>
  <c r="A35" i="1"/>
  <c r="B35" i="1"/>
  <c r="C35" i="1"/>
  <c r="D35" i="1"/>
  <c r="E35" i="1"/>
  <c r="A36" i="1"/>
  <c r="B36" i="1"/>
  <c r="C36" i="1"/>
  <c r="D36" i="1"/>
  <c r="E36" i="1"/>
  <c r="A37" i="1"/>
  <c r="B37" i="1"/>
  <c r="C37" i="1"/>
  <c r="D37" i="1"/>
  <c r="E37" i="1"/>
  <c r="A38" i="1"/>
  <c r="B38" i="1"/>
  <c r="C38" i="1"/>
  <c r="D38" i="1"/>
  <c r="E38" i="1"/>
  <c r="A39" i="1"/>
  <c r="B39" i="1"/>
  <c r="C39" i="1"/>
  <c r="D39" i="1"/>
  <c r="E39" i="1"/>
  <c r="A40" i="1"/>
  <c r="B40" i="1"/>
  <c r="C40" i="1"/>
  <c r="D40" i="1"/>
  <c r="E40" i="1"/>
  <c r="A41" i="1"/>
  <c r="B41" i="1"/>
  <c r="C41" i="1"/>
  <c r="D41" i="1"/>
  <c r="E41" i="1"/>
  <c r="A42" i="1"/>
  <c r="B42" i="1"/>
  <c r="C42" i="1"/>
  <c r="D42" i="1"/>
  <c r="E42" i="1"/>
  <c r="A43" i="1"/>
  <c r="B43" i="1"/>
  <c r="C43" i="1"/>
  <c r="D43" i="1"/>
  <c r="E43" i="1"/>
  <c r="A44" i="1"/>
  <c r="B44" i="1"/>
  <c r="C44" i="1"/>
  <c r="D44" i="1"/>
  <c r="E44" i="1"/>
  <c r="A45" i="1"/>
  <c r="B45" i="1"/>
  <c r="C45" i="1"/>
  <c r="D45" i="1"/>
  <c r="E45" i="1"/>
  <c r="A46" i="1"/>
  <c r="B46" i="1"/>
  <c r="C46" i="1"/>
  <c r="D46" i="1"/>
  <c r="E46" i="1"/>
  <c r="A47" i="1"/>
  <c r="B47" i="1"/>
  <c r="C47" i="1"/>
  <c r="D47" i="1"/>
  <c r="E47" i="1"/>
  <c r="A48" i="1"/>
  <c r="B48" i="1"/>
  <c r="C48" i="1"/>
  <c r="D48" i="1"/>
  <c r="E48" i="1"/>
  <c r="A49" i="1"/>
  <c r="B49" i="1"/>
  <c r="C49" i="1"/>
  <c r="D49" i="1"/>
  <c r="E49" i="1"/>
  <c r="A50" i="1"/>
  <c r="B50" i="1"/>
  <c r="C50" i="1"/>
  <c r="D50" i="1"/>
  <c r="E50" i="1"/>
  <c r="A51" i="1"/>
  <c r="B51" i="1"/>
  <c r="C51" i="1"/>
  <c r="D51" i="1"/>
  <c r="E51" i="1"/>
  <c r="A52" i="1"/>
  <c r="B52" i="1"/>
  <c r="C52" i="1"/>
  <c r="D52" i="1"/>
  <c r="E52" i="1"/>
  <c r="A53" i="1"/>
  <c r="B53" i="1"/>
  <c r="C53" i="1"/>
  <c r="D53" i="1"/>
  <c r="E53" i="1"/>
  <c r="A54" i="1"/>
  <c r="B54" i="1"/>
  <c r="C54" i="1"/>
  <c r="D54" i="1"/>
  <c r="E54" i="1"/>
  <c r="A55" i="1"/>
  <c r="B55" i="1"/>
  <c r="C55" i="1"/>
  <c r="D55" i="1"/>
  <c r="E55" i="1"/>
  <c r="A56" i="1"/>
  <c r="B56" i="1"/>
  <c r="C56" i="1"/>
  <c r="D56" i="1"/>
  <c r="E56" i="1"/>
  <c r="A57" i="1"/>
  <c r="B57" i="1"/>
  <c r="C57" i="1"/>
  <c r="D57" i="1"/>
  <c r="E57" i="1"/>
  <c r="A58" i="1"/>
  <c r="B58" i="1"/>
  <c r="C58" i="1"/>
  <c r="D58" i="1"/>
  <c r="E58" i="1"/>
  <c r="A59" i="1"/>
  <c r="B59" i="1"/>
  <c r="C59" i="1"/>
  <c r="D59" i="1"/>
  <c r="E59" i="1"/>
  <c r="A60" i="1"/>
  <c r="B60" i="1"/>
  <c r="C60" i="1"/>
  <c r="D60" i="1"/>
  <c r="E60" i="1"/>
  <c r="A61" i="1"/>
  <c r="B61" i="1"/>
  <c r="C61" i="1"/>
  <c r="D61" i="1"/>
  <c r="E61" i="1"/>
  <c r="A62" i="1"/>
  <c r="B62" i="1"/>
  <c r="C62" i="1"/>
  <c r="D62" i="1"/>
  <c r="E62" i="1"/>
  <c r="A63" i="1"/>
  <c r="B63" i="1"/>
  <c r="C63" i="1"/>
  <c r="D63" i="1"/>
  <c r="E63" i="1"/>
  <c r="A64" i="1"/>
  <c r="B64" i="1"/>
  <c r="C64" i="1"/>
  <c r="D64" i="1"/>
  <c r="E64" i="1"/>
  <c r="A65" i="1"/>
  <c r="B65" i="1"/>
  <c r="C65" i="1"/>
  <c r="D65" i="1"/>
  <c r="E65" i="1"/>
  <c r="A66" i="1"/>
  <c r="B66" i="1"/>
  <c r="C66" i="1"/>
  <c r="D66" i="1"/>
  <c r="E66" i="1"/>
  <c r="A67" i="1"/>
  <c r="B67" i="1"/>
  <c r="C67" i="1"/>
  <c r="D67" i="1"/>
  <c r="E67" i="1"/>
  <c r="A68" i="1"/>
  <c r="B68" i="1"/>
  <c r="C68" i="1"/>
  <c r="D68" i="1"/>
  <c r="E68" i="1"/>
  <c r="A69" i="1"/>
  <c r="B69" i="1"/>
  <c r="C69" i="1"/>
  <c r="D69" i="1"/>
  <c r="E69" i="1"/>
  <c r="A70" i="1"/>
  <c r="B70" i="1"/>
  <c r="C70" i="1"/>
  <c r="D70" i="1"/>
  <c r="E70" i="1"/>
  <c r="A71" i="1"/>
  <c r="B71" i="1"/>
  <c r="C71" i="1"/>
  <c r="D71" i="1"/>
  <c r="E71" i="1"/>
  <c r="A72" i="1"/>
  <c r="B72" i="1"/>
  <c r="C72" i="1"/>
  <c r="D72" i="1"/>
  <c r="E72" i="1"/>
  <c r="A73" i="1"/>
  <c r="B73" i="1"/>
  <c r="C73" i="1"/>
  <c r="D73" i="1"/>
  <c r="E73" i="1"/>
  <c r="A74" i="1"/>
  <c r="B74" i="1"/>
  <c r="C74" i="1"/>
  <c r="D74" i="1"/>
  <c r="E74" i="1"/>
  <c r="A75" i="1"/>
  <c r="B75" i="1"/>
  <c r="C75" i="1"/>
  <c r="D75" i="1"/>
  <c r="E75" i="1"/>
  <c r="A76" i="1"/>
  <c r="B76" i="1"/>
  <c r="C76" i="1"/>
  <c r="D76" i="1"/>
  <c r="E76" i="1"/>
  <c r="A77" i="1"/>
  <c r="B77" i="1"/>
  <c r="C77" i="1"/>
  <c r="D77" i="1"/>
  <c r="E77" i="1"/>
  <c r="A78" i="1"/>
  <c r="B78" i="1"/>
  <c r="C78" i="1"/>
  <c r="D78" i="1"/>
  <c r="E78" i="1"/>
  <c r="A79" i="1"/>
  <c r="B79" i="1"/>
  <c r="C79" i="1"/>
  <c r="D79" i="1"/>
  <c r="E79" i="1"/>
  <c r="A80" i="1"/>
  <c r="B80" i="1"/>
  <c r="C80" i="1"/>
  <c r="D80" i="1"/>
  <c r="E80" i="1"/>
  <c r="A81" i="1"/>
  <c r="B81" i="1"/>
  <c r="C81" i="1"/>
  <c r="D81" i="1"/>
  <c r="E81" i="1"/>
  <c r="A82" i="1"/>
  <c r="B82" i="1"/>
  <c r="C82" i="1"/>
  <c r="D82" i="1"/>
  <c r="E82" i="1"/>
  <c r="A83" i="1"/>
  <c r="B83" i="1"/>
  <c r="C83" i="1"/>
  <c r="D83" i="1"/>
  <c r="E83" i="1"/>
  <c r="A84" i="1"/>
  <c r="B84" i="1"/>
  <c r="C84" i="1"/>
  <c r="D84" i="1"/>
  <c r="E84" i="1"/>
  <c r="A85" i="1"/>
  <c r="B85" i="1"/>
  <c r="C85" i="1"/>
  <c r="D85" i="1"/>
  <c r="E85" i="1"/>
  <c r="A86" i="1"/>
  <c r="B86" i="1"/>
  <c r="C86" i="1"/>
  <c r="D86" i="1"/>
  <c r="E86" i="1"/>
  <c r="A87" i="1"/>
  <c r="B87" i="1"/>
  <c r="C87" i="1"/>
  <c r="D87" i="1"/>
  <c r="E87" i="1"/>
  <c r="A88" i="1"/>
  <c r="B88" i="1"/>
  <c r="C88" i="1"/>
  <c r="D88" i="1"/>
  <c r="E88" i="1"/>
  <c r="A89" i="1"/>
  <c r="B89" i="1"/>
  <c r="C89" i="1"/>
  <c r="D89" i="1"/>
  <c r="E89" i="1"/>
  <c r="A90" i="1"/>
  <c r="B90" i="1"/>
  <c r="C90" i="1"/>
  <c r="D90" i="1"/>
  <c r="E90" i="1"/>
  <c r="A91" i="1"/>
  <c r="B91" i="1"/>
  <c r="C91" i="1"/>
  <c r="D91" i="1"/>
  <c r="E91" i="1"/>
  <c r="A92" i="1"/>
  <c r="B92" i="1"/>
  <c r="C92" i="1"/>
  <c r="D92" i="1"/>
  <c r="E92" i="1"/>
  <c r="A93" i="1"/>
  <c r="B93" i="1"/>
  <c r="C93" i="1"/>
  <c r="D93" i="1"/>
  <c r="E93" i="1"/>
  <c r="A94" i="1"/>
  <c r="B94" i="1"/>
  <c r="C94" i="1"/>
  <c r="D94" i="1"/>
  <c r="E94" i="1"/>
  <c r="A95" i="1"/>
  <c r="B95" i="1"/>
  <c r="C95" i="1"/>
  <c r="D95" i="1"/>
  <c r="E95" i="1"/>
  <c r="A96" i="1"/>
  <c r="B96" i="1"/>
  <c r="C96" i="1"/>
  <c r="D96" i="1"/>
  <c r="E96" i="1"/>
  <c r="A97" i="1"/>
  <c r="B97" i="1"/>
  <c r="C97" i="1"/>
  <c r="D97" i="1"/>
  <c r="E97" i="1"/>
  <c r="A98" i="1"/>
  <c r="B98" i="1"/>
  <c r="C98" i="1"/>
  <c r="D98" i="1"/>
  <c r="E98" i="1"/>
  <c r="A99" i="1"/>
  <c r="B99" i="1"/>
  <c r="C99" i="1"/>
  <c r="D99" i="1"/>
  <c r="E99" i="1"/>
  <c r="A100" i="1"/>
  <c r="B100" i="1"/>
  <c r="C100" i="1"/>
  <c r="D100" i="1"/>
  <c r="E100" i="1"/>
  <c r="A101" i="1"/>
  <c r="B101" i="1"/>
  <c r="C101" i="1"/>
  <c r="D101" i="1"/>
  <c r="E101" i="1"/>
  <c r="A102" i="1"/>
  <c r="B102" i="1"/>
  <c r="C102" i="1"/>
  <c r="D102" i="1"/>
  <c r="E102" i="1"/>
  <c r="A103" i="1"/>
  <c r="B103" i="1"/>
  <c r="C103" i="1"/>
  <c r="D103" i="1"/>
  <c r="E103" i="1"/>
  <c r="A104" i="1"/>
  <c r="B104" i="1"/>
  <c r="C104" i="1"/>
  <c r="D104" i="1"/>
  <c r="E104" i="1"/>
  <c r="A105" i="1"/>
  <c r="B105" i="1"/>
  <c r="C105" i="1"/>
  <c r="D105" i="1"/>
  <c r="E105" i="1"/>
  <c r="A106" i="1"/>
  <c r="B106" i="1"/>
  <c r="C106" i="1"/>
  <c r="D106" i="1"/>
  <c r="E106" i="1"/>
  <c r="A107" i="1"/>
  <c r="B107" i="1"/>
  <c r="C107" i="1"/>
  <c r="D107" i="1"/>
  <c r="E107" i="1"/>
  <c r="A108" i="1"/>
  <c r="B108" i="1"/>
  <c r="C108" i="1"/>
  <c r="D108" i="1"/>
  <c r="E108" i="1"/>
  <c r="A109" i="1"/>
  <c r="B109" i="1"/>
  <c r="C109" i="1"/>
  <c r="D109" i="1"/>
  <c r="E109" i="1"/>
  <c r="A110" i="1"/>
  <c r="B110" i="1"/>
  <c r="C110" i="1"/>
  <c r="D110" i="1"/>
  <c r="E110" i="1"/>
  <c r="A111" i="1"/>
  <c r="B111" i="1"/>
  <c r="C111" i="1"/>
  <c r="D111" i="1"/>
  <c r="E111" i="1"/>
  <c r="A112" i="1"/>
  <c r="B112" i="1"/>
  <c r="C112" i="1"/>
  <c r="D112" i="1"/>
  <c r="E112" i="1"/>
  <c r="A113" i="1"/>
  <c r="B113" i="1"/>
  <c r="C113" i="1"/>
  <c r="D113" i="1"/>
  <c r="E113" i="1"/>
  <c r="A114" i="1"/>
  <c r="B114" i="1"/>
  <c r="C114" i="1"/>
  <c r="D114" i="1"/>
  <c r="E114" i="1"/>
  <c r="A115" i="1"/>
  <c r="B115" i="1"/>
  <c r="C115" i="1"/>
  <c r="D115" i="1"/>
  <c r="E115" i="1"/>
  <c r="A116" i="1"/>
  <c r="B116" i="1"/>
  <c r="C116" i="1"/>
  <c r="D116" i="1"/>
  <c r="E116" i="1"/>
  <c r="A117" i="1"/>
  <c r="B117" i="1"/>
  <c r="C117" i="1"/>
  <c r="D117" i="1"/>
  <c r="E117" i="1"/>
  <c r="A118" i="1"/>
  <c r="B118" i="1"/>
  <c r="C118" i="1"/>
  <c r="D118" i="1"/>
  <c r="E118" i="1"/>
  <c r="A119" i="1"/>
  <c r="B119" i="1"/>
  <c r="C119" i="1"/>
  <c r="D119" i="1"/>
  <c r="E119" i="1"/>
  <c r="A120" i="1"/>
  <c r="B120" i="1"/>
  <c r="C120" i="1"/>
  <c r="D120" i="1"/>
  <c r="E120" i="1"/>
  <c r="A121" i="1"/>
  <c r="B121" i="1"/>
  <c r="C121" i="1"/>
  <c r="D121" i="1"/>
  <c r="E121" i="1"/>
  <c r="A122" i="1"/>
  <c r="B122" i="1"/>
  <c r="C122" i="1"/>
  <c r="D122" i="1"/>
  <c r="E122" i="1"/>
  <c r="A123" i="1"/>
  <c r="B123" i="1"/>
  <c r="C123" i="1"/>
  <c r="D123" i="1"/>
  <c r="E123" i="1"/>
  <c r="A124" i="1"/>
  <c r="B124" i="1"/>
  <c r="C124" i="1"/>
  <c r="D124" i="1"/>
  <c r="E124" i="1"/>
  <c r="A125" i="1"/>
  <c r="B125" i="1"/>
  <c r="C125" i="1"/>
  <c r="D125" i="1"/>
  <c r="E125" i="1"/>
  <c r="A126" i="1"/>
  <c r="B126" i="1"/>
  <c r="C126" i="1"/>
  <c r="D126" i="1"/>
  <c r="E126" i="1"/>
  <c r="A127" i="1"/>
  <c r="B127" i="1"/>
  <c r="C127" i="1"/>
  <c r="D127" i="1"/>
  <c r="E127" i="1"/>
  <c r="A128" i="1"/>
  <c r="B128" i="1"/>
  <c r="C128" i="1"/>
  <c r="D128" i="1"/>
  <c r="E128" i="1"/>
  <c r="A129" i="1"/>
  <c r="B129" i="1"/>
  <c r="C129" i="1"/>
  <c r="D129" i="1"/>
  <c r="E129" i="1"/>
  <c r="A130" i="1"/>
  <c r="B130" i="1"/>
  <c r="C130" i="1"/>
  <c r="D130" i="1"/>
  <c r="E130" i="1"/>
  <c r="A131" i="1"/>
  <c r="B131" i="1"/>
  <c r="C131" i="1"/>
  <c r="D131" i="1"/>
  <c r="E131" i="1"/>
  <c r="A132" i="1"/>
  <c r="B132" i="1"/>
  <c r="C132" i="1"/>
  <c r="D132" i="1"/>
  <c r="E132" i="1"/>
  <c r="A133" i="1"/>
  <c r="B133" i="1"/>
  <c r="C133" i="1"/>
  <c r="D133" i="1"/>
  <c r="E133" i="1"/>
  <c r="A134" i="1"/>
  <c r="B134" i="1"/>
  <c r="C134" i="1"/>
  <c r="D134" i="1"/>
  <c r="E134" i="1"/>
  <c r="A135" i="1"/>
  <c r="B135" i="1"/>
  <c r="C135" i="1"/>
  <c r="D135" i="1"/>
  <c r="E135" i="1"/>
  <c r="A136" i="1"/>
  <c r="B136" i="1"/>
  <c r="C136" i="1"/>
  <c r="D136" i="1"/>
  <c r="E136" i="1"/>
  <c r="A137" i="1"/>
  <c r="B137" i="1"/>
  <c r="C137" i="1"/>
  <c r="D137" i="1"/>
  <c r="E137" i="1"/>
  <c r="A138" i="1"/>
  <c r="B138" i="1"/>
  <c r="C138" i="1"/>
  <c r="D138" i="1"/>
  <c r="E138" i="1"/>
  <c r="A139" i="1"/>
  <c r="B139" i="1"/>
  <c r="C139" i="1"/>
  <c r="D139" i="1"/>
  <c r="E139" i="1"/>
  <c r="A140" i="1"/>
  <c r="B140" i="1"/>
  <c r="C140" i="1"/>
  <c r="D140" i="1"/>
  <c r="E140" i="1"/>
  <c r="A141" i="1"/>
  <c r="B141" i="1"/>
  <c r="C141" i="1"/>
  <c r="D141" i="1"/>
  <c r="E141" i="1"/>
  <c r="A142" i="1"/>
  <c r="B142" i="1"/>
  <c r="C142" i="1"/>
  <c r="D142" i="1"/>
  <c r="E142" i="1"/>
  <c r="A143" i="1"/>
  <c r="B143" i="1"/>
  <c r="C143" i="1"/>
  <c r="D143" i="1"/>
  <c r="E143" i="1"/>
  <c r="A144" i="1"/>
  <c r="B144" i="1"/>
  <c r="C144" i="1"/>
  <c r="D144" i="1"/>
  <c r="E144" i="1"/>
  <c r="A145" i="1"/>
  <c r="B145" i="1"/>
  <c r="C145" i="1"/>
  <c r="D145" i="1"/>
  <c r="E145" i="1"/>
  <c r="A146" i="1"/>
  <c r="B146" i="1"/>
  <c r="C146" i="1"/>
  <c r="D146" i="1"/>
  <c r="E146" i="1"/>
  <c r="A147" i="1"/>
  <c r="B147" i="1"/>
  <c r="C147" i="1"/>
  <c r="D147" i="1"/>
  <c r="E147" i="1"/>
  <c r="A148" i="1"/>
  <c r="B148" i="1"/>
  <c r="C148" i="1"/>
  <c r="D148" i="1"/>
  <c r="E148" i="1"/>
  <c r="A149" i="1"/>
  <c r="B149" i="1"/>
  <c r="C149" i="1"/>
  <c r="D149" i="1"/>
  <c r="E149" i="1"/>
  <c r="A150" i="1"/>
  <c r="B150" i="1"/>
  <c r="C150" i="1"/>
  <c r="D150" i="1"/>
  <c r="E150" i="1"/>
  <c r="A151" i="1"/>
  <c r="B151" i="1"/>
  <c r="C151" i="1"/>
  <c r="D151" i="1"/>
  <c r="E151" i="1"/>
  <c r="A152" i="1"/>
  <c r="B152" i="1"/>
  <c r="C152" i="1"/>
  <c r="D152" i="1"/>
  <c r="E152" i="1"/>
  <c r="A153" i="1"/>
  <c r="B153" i="1"/>
  <c r="C153" i="1"/>
  <c r="D153" i="1"/>
  <c r="E153" i="1"/>
  <c r="A154" i="1"/>
  <c r="B154" i="1"/>
  <c r="C154" i="1"/>
  <c r="D154" i="1"/>
  <c r="E154" i="1"/>
  <c r="A155" i="1"/>
  <c r="B155" i="1"/>
  <c r="C155" i="1"/>
  <c r="D155" i="1"/>
  <c r="E155" i="1"/>
  <c r="A156" i="1"/>
  <c r="B156" i="1"/>
  <c r="C156" i="1"/>
  <c r="D156" i="1"/>
  <c r="E156" i="1"/>
  <c r="A157" i="1"/>
  <c r="B157" i="1"/>
  <c r="C157" i="1"/>
  <c r="D157" i="1"/>
  <c r="E157" i="1"/>
  <c r="A158" i="1"/>
  <c r="B158" i="1"/>
  <c r="C158" i="1"/>
  <c r="D158" i="1"/>
  <c r="E158" i="1"/>
  <c r="A159" i="1"/>
  <c r="B159" i="1"/>
  <c r="C159" i="1"/>
  <c r="D159" i="1"/>
  <c r="E159" i="1"/>
  <c r="A160" i="1"/>
  <c r="B160" i="1"/>
  <c r="C160" i="1"/>
  <c r="D160" i="1"/>
  <c r="E160" i="1"/>
  <c r="A161" i="1"/>
  <c r="B161" i="1"/>
  <c r="C161" i="1"/>
  <c r="D161" i="1"/>
  <c r="E161" i="1"/>
  <c r="A162" i="1"/>
  <c r="B162" i="1"/>
  <c r="C162" i="1"/>
  <c r="D162" i="1"/>
  <c r="E162" i="1"/>
  <c r="A163" i="1"/>
  <c r="B163" i="1"/>
  <c r="C163" i="1"/>
  <c r="D163" i="1"/>
  <c r="E163" i="1"/>
  <c r="A164" i="1"/>
  <c r="B164" i="1"/>
  <c r="C164" i="1"/>
  <c r="D164" i="1"/>
  <c r="E164" i="1"/>
  <c r="A165" i="1"/>
  <c r="B165" i="1"/>
  <c r="C165" i="1"/>
  <c r="D165" i="1"/>
  <c r="E165" i="1"/>
  <c r="A166" i="1"/>
  <c r="B166" i="1"/>
  <c r="C166" i="1"/>
  <c r="D166" i="1"/>
  <c r="E166" i="1"/>
  <c r="A167" i="1"/>
  <c r="B167" i="1"/>
  <c r="C167" i="1"/>
  <c r="D167" i="1"/>
  <c r="E167" i="1"/>
  <c r="A168" i="1"/>
  <c r="B168" i="1"/>
  <c r="C168" i="1"/>
  <c r="D168" i="1"/>
  <c r="E168" i="1"/>
  <c r="A169" i="1"/>
  <c r="B169" i="1"/>
  <c r="C169" i="1"/>
  <c r="D169" i="1"/>
  <c r="E169" i="1"/>
  <c r="A170" i="1"/>
  <c r="B170" i="1"/>
  <c r="C170" i="1"/>
  <c r="D170" i="1"/>
  <c r="E170" i="1"/>
  <c r="A171" i="1"/>
  <c r="B171" i="1"/>
  <c r="C171" i="1"/>
  <c r="D171" i="1"/>
  <c r="E171" i="1"/>
  <c r="A172" i="1"/>
  <c r="B172" i="1"/>
  <c r="C172" i="1"/>
  <c r="D172" i="1"/>
  <c r="E172" i="1"/>
  <c r="A173" i="1"/>
  <c r="B173" i="1"/>
  <c r="C173" i="1"/>
  <c r="D173" i="1"/>
  <c r="E173" i="1"/>
  <c r="A174" i="1"/>
  <c r="B174" i="1"/>
  <c r="C174" i="1"/>
  <c r="D174" i="1"/>
  <c r="E174" i="1"/>
  <c r="A175" i="1"/>
  <c r="B175" i="1"/>
  <c r="C175" i="1"/>
  <c r="D175" i="1"/>
  <c r="E175" i="1"/>
  <c r="A176" i="1"/>
  <c r="B176" i="1"/>
  <c r="C176" i="1"/>
  <c r="D176" i="1"/>
  <c r="E176" i="1"/>
  <c r="A177" i="1"/>
  <c r="B177" i="1"/>
  <c r="C177" i="1"/>
  <c r="D177" i="1"/>
  <c r="E177" i="1"/>
  <c r="A178" i="1"/>
  <c r="B178" i="1"/>
  <c r="C178" i="1"/>
  <c r="D178" i="1"/>
  <c r="E178" i="1"/>
  <c r="A179" i="1"/>
  <c r="B179" i="1"/>
  <c r="C179" i="1"/>
  <c r="D179" i="1"/>
  <c r="E179" i="1"/>
  <c r="A180" i="1"/>
  <c r="B180" i="1"/>
  <c r="C180" i="1"/>
  <c r="D180" i="1"/>
  <c r="E180" i="1"/>
  <c r="A181" i="1"/>
  <c r="B181" i="1"/>
  <c r="C181" i="1"/>
  <c r="D181" i="1"/>
  <c r="E181" i="1"/>
  <c r="A182" i="1"/>
  <c r="B182" i="1"/>
  <c r="C182" i="1"/>
  <c r="D182" i="1"/>
  <c r="E182" i="1"/>
  <c r="A183" i="1"/>
  <c r="B183" i="1"/>
  <c r="C183" i="1"/>
  <c r="D183" i="1"/>
  <c r="E183" i="1"/>
  <c r="A184" i="1"/>
  <c r="B184" i="1"/>
  <c r="C184" i="1"/>
  <c r="D184" i="1"/>
  <c r="E184" i="1"/>
  <c r="A185" i="1"/>
  <c r="B185" i="1"/>
  <c r="C185" i="1"/>
  <c r="D185" i="1"/>
  <c r="E185" i="1"/>
  <c r="A186" i="1"/>
  <c r="B186" i="1"/>
  <c r="C186" i="1"/>
  <c r="D186" i="1"/>
  <c r="E186" i="1"/>
  <c r="A187" i="1"/>
  <c r="B187" i="1"/>
  <c r="C187" i="1"/>
  <c r="D187" i="1"/>
  <c r="E187" i="1"/>
  <c r="A188" i="1"/>
  <c r="B188" i="1"/>
  <c r="C188" i="1"/>
  <c r="D188" i="1"/>
  <c r="E188" i="1"/>
  <c r="A189" i="1"/>
  <c r="B189" i="1"/>
  <c r="C189" i="1"/>
  <c r="D189" i="1"/>
  <c r="E189" i="1"/>
  <c r="A190" i="1"/>
  <c r="B190" i="1"/>
  <c r="C190" i="1"/>
  <c r="D190" i="1"/>
  <c r="E190" i="1"/>
  <c r="A191" i="1"/>
  <c r="B191" i="1"/>
  <c r="C191" i="1"/>
  <c r="D191" i="1"/>
  <c r="E191" i="1"/>
  <c r="A192" i="1"/>
  <c r="B192" i="1"/>
  <c r="C192" i="1"/>
  <c r="D192" i="1"/>
  <c r="E192" i="1"/>
  <c r="A193" i="1"/>
  <c r="B193" i="1"/>
  <c r="C193" i="1"/>
  <c r="D193" i="1"/>
  <c r="E193" i="1"/>
  <c r="A194" i="1"/>
  <c r="B194" i="1"/>
  <c r="C194" i="1"/>
  <c r="D194" i="1"/>
  <c r="E194" i="1"/>
  <c r="A195" i="1"/>
  <c r="B195" i="1"/>
  <c r="C195" i="1"/>
  <c r="D195" i="1"/>
  <c r="E195" i="1"/>
  <c r="A196" i="1"/>
  <c r="B196" i="1"/>
  <c r="C196" i="1"/>
  <c r="D196" i="1"/>
  <c r="E196" i="1"/>
  <c r="A197" i="1"/>
  <c r="B197" i="1"/>
  <c r="C197" i="1"/>
  <c r="D197" i="1"/>
  <c r="E197" i="1"/>
  <c r="A198" i="1"/>
  <c r="B198" i="1"/>
  <c r="C198" i="1"/>
  <c r="D198" i="1"/>
  <c r="E198" i="1"/>
  <c r="A199" i="1"/>
  <c r="B199" i="1"/>
  <c r="C199" i="1"/>
  <c r="D199" i="1"/>
  <c r="E199" i="1"/>
  <c r="A200" i="1"/>
  <c r="B200" i="1"/>
  <c r="C200" i="1"/>
  <c r="D200" i="1"/>
  <c r="E200" i="1"/>
  <c r="A201" i="1"/>
  <c r="B201" i="1"/>
  <c r="C201" i="1"/>
  <c r="D201" i="1"/>
  <c r="E201" i="1"/>
  <c r="A202" i="1"/>
  <c r="B202" i="1"/>
  <c r="C202" i="1"/>
  <c r="D202" i="1"/>
  <c r="E202" i="1"/>
  <c r="A203" i="1"/>
  <c r="B203" i="1"/>
  <c r="C203" i="1"/>
  <c r="D203" i="1"/>
  <c r="E203" i="1"/>
  <c r="A204" i="1"/>
  <c r="B204" i="1"/>
  <c r="C204" i="1"/>
  <c r="D204" i="1"/>
  <c r="E204" i="1"/>
  <c r="A205" i="1"/>
  <c r="B205" i="1"/>
  <c r="C205" i="1"/>
  <c r="D205" i="1"/>
  <c r="E205" i="1"/>
  <c r="A206" i="1"/>
  <c r="B206" i="1"/>
  <c r="C206" i="1"/>
  <c r="D206" i="1"/>
  <c r="E206" i="1"/>
  <c r="A207" i="1"/>
  <c r="B207" i="1"/>
  <c r="C207" i="1"/>
  <c r="D207" i="1"/>
  <c r="E207" i="1"/>
  <c r="A208" i="1"/>
  <c r="B208" i="1"/>
  <c r="C208" i="1"/>
  <c r="D208" i="1"/>
  <c r="E208" i="1"/>
  <c r="A209" i="1"/>
  <c r="B209" i="1"/>
  <c r="C209" i="1"/>
  <c r="D209" i="1"/>
  <c r="E209" i="1"/>
  <c r="A210" i="1"/>
  <c r="B210" i="1"/>
  <c r="C210" i="1"/>
  <c r="D210" i="1"/>
  <c r="E210" i="1"/>
  <c r="A211" i="1"/>
  <c r="B211" i="1"/>
  <c r="C211" i="1"/>
  <c r="D211" i="1"/>
  <c r="E211" i="1"/>
  <c r="A212" i="1"/>
  <c r="B212" i="1"/>
  <c r="C212" i="1"/>
  <c r="D212" i="1"/>
  <c r="E212" i="1"/>
  <c r="A213" i="1"/>
  <c r="B213" i="1"/>
  <c r="C213" i="1"/>
  <c r="D213" i="1"/>
  <c r="E213" i="1"/>
  <c r="A214" i="1"/>
  <c r="B214" i="1"/>
  <c r="C214" i="1"/>
  <c r="D214" i="1"/>
  <c r="E214" i="1"/>
  <c r="A215" i="1"/>
  <c r="B215" i="1"/>
  <c r="C215" i="1"/>
  <c r="D215" i="1"/>
  <c r="E215" i="1"/>
  <c r="A216" i="1"/>
  <c r="B216" i="1"/>
  <c r="C216" i="1"/>
  <c r="D216" i="1"/>
  <c r="E216" i="1"/>
  <c r="A217" i="1"/>
  <c r="B217" i="1"/>
  <c r="C217" i="1"/>
  <c r="D217" i="1"/>
  <c r="E217" i="1"/>
  <c r="A218" i="1"/>
  <c r="B218" i="1"/>
  <c r="C218" i="1"/>
  <c r="D218" i="1"/>
  <c r="E218" i="1"/>
  <c r="A219" i="1"/>
  <c r="B219" i="1"/>
  <c r="C219" i="1"/>
  <c r="D219" i="1"/>
  <c r="E219" i="1"/>
  <c r="A220" i="1"/>
  <c r="B220" i="1"/>
  <c r="C220" i="1"/>
  <c r="D220" i="1"/>
  <c r="E220" i="1"/>
  <c r="A221" i="1"/>
  <c r="B221" i="1"/>
  <c r="C221" i="1"/>
  <c r="D221" i="1"/>
  <c r="E221" i="1"/>
  <c r="A222" i="1"/>
  <c r="B222" i="1"/>
  <c r="C222" i="1"/>
  <c r="D222" i="1"/>
  <c r="E222" i="1"/>
  <c r="A223" i="1"/>
  <c r="B223" i="1"/>
  <c r="C223" i="1"/>
  <c r="D223" i="1"/>
  <c r="E223" i="1"/>
  <c r="A224" i="1"/>
  <c r="B224" i="1"/>
  <c r="C224" i="1"/>
  <c r="D224" i="1"/>
  <c r="E224" i="1"/>
  <c r="A225" i="1"/>
  <c r="B225" i="1"/>
  <c r="C225" i="1"/>
  <c r="D225" i="1"/>
  <c r="E225" i="1"/>
  <c r="A226" i="1"/>
  <c r="B226" i="1"/>
  <c r="C226" i="1"/>
  <c r="D226" i="1"/>
  <c r="E226" i="1"/>
  <c r="A227" i="1"/>
  <c r="B227" i="1"/>
  <c r="C227" i="1"/>
  <c r="D227" i="1"/>
  <c r="E227" i="1"/>
  <c r="A228" i="1"/>
  <c r="B228" i="1"/>
  <c r="C228" i="1"/>
  <c r="D228" i="1"/>
  <c r="E228" i="1"/>
  <c r="A229" i="1"/>
  <c r="B229" i="1"/>
  <c r="C229" i="1"/>
  <c r="D229" i="1"/>
  <c r="E229" i="1"/>
  <c r="A230" i="1"/>
  <c r="B230" i="1"/>
  <c r="C230" i="1"/>
  <c r="D230" i="1"/>
  <c r="E230" i="1"/>
  <c r="A231" i="1"/>
  <c r="B231" i="1"/>
  <c r="C231" i="1"/>
  <c r="D231" i="1"/>
  <c r="E231" i="1"/>
  <c r="A232" i="1"/>
  <c r="B232" i="1"/>
  <c r="C232" i="1"/>
  <c r="D232" i="1"/>
  <c r="E232" i="1"/>
  <c r="A233" i="1"/>
  <c r="B233" i="1"/>
  <c r="C233" i="1"/>
  <c r="D233" i="1"/>
  <c r="E233" i="1"/>
  <c r="A234" i="1"/>
  <c r="B234" i="1"/>
  <c r="C234" i="1"/>
  <c r="D234" i="1"/>
  <c r="E234" i="1"/>
  <c r="A235" i="1"/>
  <c r="B235" i="1"/>
  <c r="C235" i="1"/>
  <c r="D235" i="1"/>
  <c r="E235" i="1"/>
  <c r="A236" i="1"/>
  <c r="B236" i="1"/>
  <c r="C236" i="1"/>
  <c r="D236" i="1"/>
  <c r="E236" i="1"/>
  <c r="A237" i="1"/>
  <c r="B237" i="1"/>
  <c r="C237" i="1"/>
  <c r="D237" i="1"/>
  <c r="E237" i="1"/>
  <c r="A238" i="1"/>
  <c r="B238" i="1"/>
  <c r="C238" i="1"/>
  <c r="D238" i="1"/>
  <c r="E238" i="1"/>
  <c r="A239" i="1"/>
  <c r="B239" i="1"/>
  <c r="C239" i="1"/>
  <c r="D239" i="1"/>
  <c r="E239" i="1"/>
  <c r="A240" i="1"/>
  <c r="B240" i="1"/>
  <c r="C240" i="1"/>
  <c r="D240" i="1"/>
  <c r="E240" i="1"/>
  <c r="A241" i="1"/>
  <c r="B241" i="1"/>
  <c r="C241" i="1"/>
  <c r="D241" i="1"/>
  <c r="E241" i="1"/>
  <c r="A242" i="1"/>
  <c r="B242" i="1"/>
  <c r="C242" i="1"/>
  <c r="D242" i="1"/>
  <c r="E242" i="1"/>
  <c r="A243" i="1"/>
  <c r="B243" i="1"/>
  <c r="C243" i="1"/>
  <c r="D243" i="1"/>
  <c r="E243" i="1"/>
  <c r="A244" i="1"/>
  <c r="B244" i="1"/>
  <c r="C244" i="1"/>
  <c r="D244" i="1"/>
  <c r="E244" i="1"/>
  <c r="A245" i="1"/>
  <c r="B245" i="1"/>
  <c r="C245" i="1"/>
  <c r="D245" i="1"/>
  <c r="E245" i="1"/>
  <c r="A246" i="1"/>
  <c r="B246" i="1"/>
  <c r="C246" i="1"/>
  <c r="D246" i="1"/>
  <c r="E246" i="1"/>
  <c r="A247" i="1"/>
  <c r="B247" i="1"/>
  <c r="C247" i="1"/>
  <c r="D247" i="1"/>
  <c r="E247" i="1"/>
  <c r="A248" i="1"/>
  <c r="B248" i="1"/>
  <c r="C248" i="1"/>
  <c r="D248" i="1"/>
  <c r="E248" i="1"/>
  <c r="A249" i="1"/>
  <c r="B249" i="1"/>
  <c r="C249" i="1"/>
  <c r="D249" i="1"/>
  <c r="E249" i="1"/>
  <c r="A250" i="1"/>
  <c r="B250" i="1"/>
  <c r="C250" i="1"/>
  <c r="D250" i="1"/>
  <c r="E250" i="1"/>
  <c r="A251" i="1"/>
  <c r="B251" i="1"/>
  <c r="C251" i="1"/>
  <c r="D251" i="1"/>
  <c r="E251" i="1"/>
  <c r="A252" i="1"/>
  <c r="B252" i="1"/>
  <c r="C252" i="1"/>
  <c r="D252" i="1"/>
  <c r="E252" i="1"/>
  <c r="A253" i="1"/>
  <c r="B253" i="1"/>
  <c r="C253" i="1"/>
  <c r="D253" i="1"/>
  <c r="E253" i="1"/>
  <c r="A254" i="1"/>
  <c r="B254" i="1"/>
  <c r="C254" i="1"/>
  <c r="D254" i="1"/>
  <c r="E254" i="1"/>
  <c r="A255" i="1"/>
  <c r="B255" i="1"/>
  <c r="C255" i="1"/>
  <c r="D255" i="1"/>
  <c r="E255" i="1"/>
  <c r="A256" i="1"/>
  <c r="B256" i="1"/>
  <c r="C256" i="1"/>
  <c r="D256" i="1"/>
  <c r="E256" i="1"/>
  <c r="A257" i="1"/>
  <c r="B257" i="1"/>
  <c r="C257" i="1"/>
  <c r="D257" i="1"/>
  <c r="E257" i="1"/>
  <c r="A258" i="1"/>
  <c r="B258" i="1"/>
  <c r="C258" i="1"/>
  <c r="D258" i="1"/>
  <c r="E258" i="1"/>
  <c r="A259" i="1"/>
  <c r="B259" i="1"/>
  <c r="C259" i="1"/>
  <c r="D259" i="1"/>
  <c r="E259" i="1"/>
  <c r="A260" i="1"/>
  <c r="B260" i="1"/>
  <c r="C260" i="1"/>
  <c r="D260" i="1"/>
  <c r="E260" i="1"/>
  <c r="A261" i="1"/>
  <c r="B261" i="1"/>
  <c r="C261" i="1"/>
  <c r="D261" i="1"/>
  <c r="E261" i="1"/>
  <c r="A262" i="1"/>
  <c r="B262" i="1"/>
  <c r="C262" i="1"/>
  <c r="D262" i="1"/>
  <c r="E262" i="1"/>
  <c r="A263" i="1"/>
  <c r="B263" i="1"/>
  <c r="C263" i="1"/>
  <c r="D263" i="1"/>
  <c r="E263" i="1"/>
  <c r="A264" i="1"/>
  <c r="B264" i="1"/>
  <c r="C264" i="1"/>
  <c r="D264" i="1"/>
  <c r="E264" i="1"/>
  <c r="A265" i="1"/>
  <c r="B265" i="1"/>
  <c r="C265" i="1"/>
  <c r="D265" i="1"/>
  <c r="E265" i="1"/>
  <c r="A266" i="1"/>
  <c r="B266" i="1"/>
  <c r="C266" i="1"/>
  <c r="D266" i="1"/>
  <c r="E266" i="1"/>
  <c r="A267" i="1"/>
  <c r="B267" i="1"/>
  <c r="C267" i="1"/>
  <c r="D267" i="1"/>
  <c r="E267" i="1"/>
  <c r="A268" i="1"/>
  <c r="B268" i="1"/>
  <c r="C268" i="1"/>
  <c r="D268" i="1"/>
  <c r="E268" i="1"/>
  <c r="A269" i="1"/>
  <c r="B269" i="1"/>
  <c r="C269" i="1"/>
  <c r="D269" i="1"/>
  <c r="E269" i="1"/>
  <c r="A270" i="1"/>
  <c r="B270" i="1"/>
  <c r="C270" i="1"/>
  <c r="D270" i="1"/>
  <c r="E270" i="1"/>
  <c r="A271" i="1"/>
  <c r="B271" i="1"/>
  <c r="C271" i="1"/>
  <c r="D271" i="1"/>
  <c r="E271" i="1"/>
  <c r="A272" i="1"/>
  <c r="B272" i="1"/>
  <c r="C272" i="1"/>
  <c r="D272" i="1"/>
  <c r="E272" i="1"/>
  <c r="A273" i="1"/>
  <c r="B273" i="1"/>
  <c r="C273" i="1"/>
  <c r="D273" i="1"/>
  <c r="E273" i="1"/>
  <c r="A274" i="1"/>
  <c r="B274" i="1"/>
  <c r="C274" i="1"/>
  <c r="D274" i="1"/>
  <c r="E274" i="1"/>
  <c r="A275" i="1"/>
  <c r="B275" i="1"/>
  <c r="C275" i="1"/>
  <c r="D275" i="1"/>
  <c r="E275" i="1"/>
  <c r="A276" i="1"/>
  <c r="B276" i="1"/>
  <c r="C276" i="1"/>
  <c r="D276" i="1"/>
  <c r="E276" i="1"/>
  <c r="A277" i="1"/>
  <c r="B277" i="1"/>
  <c r="C277" i="1"/>
  <c r="D277" i="1"/>
  <c r="E277" i="1"/>
  <c r="A278" i="1"/>
  <c r="B278" i="1"/>
  <c r="C278" i="1"/>
  <c r="D278" i="1"/>
  <c r="E278" i="1"/>
  <c r="A279" i="1"/>
  <c r="B279" i="1"/>
  <c r="C279" i="1"/>
  <c r="D279" i="1"/>
  <c r="E279" i="1"/>
  <c r="A280" i="1"/>
  <c r="B280" i="1"/>
  <c r="C280" i="1"/>
  <c r="D280" i="1"/>
  <c r="E280" i="1"/>
  <c r="A281" i="1"/>
  <c r="B281" i="1"/>
  <c r="C281" i="1"/>
  <c r="D281" i="1"/>
  <c r="E281" i="1"/>
  <c r="A282" i="1"/>
  <c r="B282" i="1"/>
  <c r="C282" i="1"/>
  <c r="D282" i="1"/>
  <c r="E282" i="1"/>
  <c r="A283" i="1"/>
  <c r="B283" i="1"/>
  <c r="C283" i="1"/>
  <c r="D283" i="1"/>
  <c r="E283" i="1"/>
  <c r="A284" i="1"/>
  <c r="B284" i="1"/>
  <c r="C284" i="1"/>
  <c r="D284" i="1"/>
  <c r="E284" i="1"/>
  <c r="A285" i="1"/>
  <c r="B285" i="1"/>
  <c r="C285" i="1"/>
  <c r="D285" i="1"/>
  <c r="E285" i="1"/>
  <c r="A286" i="1"/>
  <c r="B286" i="1"/>
  <c r="C286" i="1"/>
  <c r="D286" i="1"/>
  <c r="E286" i="1"/>
  <c r="A287" i="1"/>
  <c r="B287" i="1"/>
  <c r="C287" i="1"/>
  <c r="D287" i="1"/>
  <c r="E287" i="1"/>
  <c r="A288" i="1"/>
  <c r="B288" i="1"/>
  <c r="C288" i="1"/>
  <c r="D288" i="1"/>
  <c r="E288" i="1"/>
  <c r="A289" i="1"/>
  <c r="B289" i="1"/>
  <c r="C289" i="1"/>
  <c r="D289" i="1"/>
  <c r="E289" i="1"/>
  <c r="A290" i="1"/>
  <c r="B290" i="1"/>
  <c r="C290" i="1"/>
  <c r="D290" i="1"/>
  <c r="E290" i="1"/>
  <c r="A291" i="1"/>
  <c r="B291" i="1"/>
  <c r="C291" i="1"/>
  <c r="D291" i="1"/>
  <c r="E291" i="1"/>
  <c r="A292" i="1"/>
  <c r="B292" i="1"/>
  <c r="C292" i="1"/>
  <c r="D292" i="1"/>
  <c r="E292" i="1"/>
  <c r="A293" i="1"/>
  <c r="B293" i="1"/>
  <c r="C293" i="1"/>
  <c r="D293" i="1"/>
  <c r="E293" i="1"/>
  <c r="A294" i="1"/>
  <c r="B294" i="1"/>
  <c r="C294" i="1"/>
  <c r="D294" i="1"/>
  <c r="E294" i="1"/>
  <c r="A295" i="1"/>
  <c r="B295" i="1"/>
  <c r="C295" i="1"/>
  <c r="D295" i="1"/>
  <c r="E295" i="1"/>
  <c r="A296" i="1"/>
  <c r="B296" i="1"/>
  <c r="C296" i="1"/>
  <c r="D296" i="1"/>
  <c r="E296" i="1"/>
  <c r="A297" i="1"/>
  <c r="B297" i="1"/>
  <c r="C297" i="1"/>
  <c r="D297" i="1"/>
  <c r="E297" i="1"/>
  <c r="A298" i="1"/>
  <c r="B298" i="1"/>
  <c r="C298" i="1"/>
  <c r="D298" i="1"/>
  <c r="E298" i="1"/>
  <c r="A299" i="1"/>
  <c r="B299" i="1"/>
  <c r="C299" i="1"/>
  <c r="D299" i="1"/>
  <c r="E299" i="1"/>
  <c r="A300" i="1"/>
  <c r="B300" i="1"/>
  <c r="C300" i="1"/>
  <c r="D300" i="1"/>
  <c r="E300" i="1"/>
  <c r="A301" i="1"/>
  <c r="B301" i="1"/>
  <c r="C301" i="1"/>
  <c r="D301" i="1"/>
  <c r="E301" i="1"/>
  <c r="A302" i="1"/>
  <c r="B302" i="1"/>
  <c r="C302" i="1"/>
  <c r="D302" i="1"/>
  <c r="E302" i="1"/>
  <c r="A303" i="1"/>
  <c r="B303" i="1"/>
  <c r="C303" i="1"/>
  <c r="D303" i="1"/>
  <c r="E303" i="1"/>
  <c r="A304" i="1"/>
  <c r="B304" i="1"/>
  <c r="C304" i="1"/>
  <c r="D304" i="1"/>
  <c r="E304" i="1"/>
  <c r="A305" i="1"/>
  <c r="B305" i="1"/>
  <c r="C305" i="1"/>
  <c r="D305" i="1"/>
  <c r="E305" i="1"/>
  <c r="A306" i="1"/>
  <c r="B306" i="1"/>
  <c r="C306" i="1"/>
  <c r="D306" i="1"/>
  <c r="E306" i="1"/>
  <c r="A307" i="1"/>
  <c r="B307" i="1"/>
  <c r="C307" i="1"/>
  <c r="D307" i="1"/>
  <c r="E307" i="1"/>
  <c r="A308" i="1"/>
  <c r="B308" i="1"/>
  <c r="C308" i="1"/>
  <c r="D308" i="1"/>
  <c r="E308" i="1"/>
  <c r="A309" i="1"/>
  <c r="B309" i="1"/>
  <c r="C309" i="1"/>
  <c r="D309" i="1"/>
  <c r="E309" i="1"/>
  <c r="A310" i="1"/>
  <c r="B310" i="1"/>
  <c r="C310" i="1"/>
  <c r="D310" i="1"/>
  <c r="E310" i="1"/>
  <c r="A311" i="1"/>
  <c r="B311" i="1"/>
  <c r="C311" i="1"/>
  <c r="D311" i="1"/>
  <c r="E311" i="1"/>
  <c r="A312" i="1"/>
  <c r="B312" i="1"/>
  <c r="C312" i="1"/>
  <c r="D312" i="1"/>
  <c r="E312" i="1"/>
  <c r="A313" i="1"/>
  <c r="B313" i="1"/>
  <c r="C313" i="1"/>
  <c r="D313" i="1"/>
  <c r="E313" i="1"/>
  <c r="A314" i="1"/>
  <c r="B314" i="1"/>
  <c r="C314" i="1"/>
  <c r="D314" i="1"/>
  <c r="E314" i="1"/>
  <c r="A315" i="1"/>
  <c r="B315" i="1"/>
  <c r="C315" i="1"/>
  <c r="D315" i="1"/>
  <c r="E315" i="1"/>
  <c r="A316" i="1"/>
  <c r="B316" i="1"/>
  <c r="C316" i="1"/>
  <c r="D316" i="1"/>
  <c r="E316" i="1"/>
  <c r="A317" i="1"/>
  <c r="B317" i="1"/>
  <c r="C317" i="1"/>
  <c r="D317" i="1"/>
  <c r="E317" i="1"/>
  <c r="A318" i="1"/>
  <c r="B318" i="1"/>
  <c r="C318" i="1"/>
  <c r="D318" i="1"/>
  <c r="E318" i="1"/>
  <c r="A319" i="1"/>
  <c r="B319" i="1"/>
  <c r="C319" i="1"/>
  <c r="D319" i="1"/>
  <c r="E319" i="1"/>
  <c r="A320" i="1"/>
  <c r="B320" i="1"/>
  <c r="C320" i="1"/>
  <c r="D320" i="1"/>
  <c r="E320" i="1"/>
  <c r="A321" i="1"/>
  <c r="B321" i="1"/>
  <c r="C321" i="1"/>
  <c r="D321" i="1"/>
  <c r="E321" i="1"/>
  <c r="A322" i="1"/>
  <c r="B322" i="1"/>
  <c r="C322" i="1"/>
  <c r="D322" i="1"/>
  <c r="E322" i="1"/>
  <c r="A323" i="1"/>
  <c r="B323" i="1"/>
  <c r="C323" i="1"/>
  <c r="D323" i="1"/>
  <c r="E323" i="1"/>
  <c r="A324" i="1"/>
  <c r="B324" i="1"/>
  <c r="C324" i="1"/>
  <c r="D324" i="1"/>
  <c r="E324" i="1"/>
  <c r="A325" i="1"/>
  <c r="B325" i="1"/>
  <c r="C325" i="1"/>
  <c r="D325" i="1"/>
  <c r="E325" i="1"/>
  <c r="A326" i="1"/>
  <c r="B326" i="1"/>
  <c r="C326" i="1"/>
  <c r="D326" i="1"/>
  <c r="E326" i="1"/>
  <c r="A327" i="1"/>
  <c r="B327" i="1"/>
  <c r="C327" i="1"/>
  <c r="D327" i="1"/>
  <c r="E327" i="1"/>
  <c r="A328" i="1"/>
  <c r="B328" i="1"/>
  <c r="C328" i="1"/>
  <c r="D328" i="1"/>
  <c r="E328" i="1"/>
  <c r="A329" i="1"/>
  <c r="B329" i="1"/>
  <c r="C329" i="1"/>
  <c r="D329" i="1"/>
  <c r="E329" i="1"/>
  <c r="A330" i="1"/>
  <c r="B330" i="1"/>
  <c r="C330" i="1"/>
  <c r="D330" i="1"/>
  <c r="E330" i="1"/>
  <c r="A331" i="1"/>
  <c r="B331" i="1"/>
  <c r="C331" i="1"/>
  <c r="D331" i="1"/>
  <c r="E331" i="1"/>
  <c r="A332" i="1"/>
  <c r="B332" i="1"/>
  <c r="C332" i="1"/>
  <c r="D332" i="1"/>
  <c r="E332" i="1"/>
  <c r="A333" i="1"/>
  <c r="B333" i="1"/>
  <c r="C333" i="1"/>
  <c r="D333" i="1"/>
  <c r="E333" i="1"/>
  <c r="A334" i="1"/>
  <c r="B334" i="1"/>
  <c r="C334" i="1"/>
  <c r="D334" i="1"/>
  <c r="E334" i="1"/>
  <c r="A335" i="1"/>
  <c r="B335" i="1"/>
  <c r="C335" i="1"/>
  <c r="D335" i="1"/>
  <c r="E335" i="1"/>
  <c r="A336" i="1"/>
  <c r="B336" i="1"/>
  <c r="C336" i="1"/>
  <c r="D336" i="1"/>
  <c r="E336" i="1"/>
  <c r="A337" i="1"/>
  <c r="B337" i="1"/>
  <c r="C337" i="1"/>
  <c r="D337" i="1"/>
  <c r="E337" i="1"/>
  <c r="A338" i="1"/>
  <c r="B338" i="1"/>
  <c r="C338" i="1"/>
  <c r="D338" i="1"/>
  <c r="E338" i="1"/>
  <c r="A339" i="1"/>
  <c r="B339" i="1"/>
  <c r="C339" i="1"/>
  <c r="D339" i="1"/>
  <c r="E339" i="1"/>
  <c r="A340" i="1"/>
  <c r="B340" i="1"/>
  <c r="C340" i="1"/>
  <c r="D340" i="1"/>
  <c r="E340" i="1"/>
  <c r="A341" i="1"/>
  <c r="B341" i="1"/>
  <c r="C341" i="1"/>
  <c r="D341" i="1"/>
  <c r="E341" i="1"/>
  <c r="A342" i="1"/>
  <c r="B342" i="1"/>
  <c r="C342" i="1"/>
  <c r="D342" i="1"/>
  <c r="E342" i="1"/>
  <c r="A343" i="1"/>
  <c r="B343" i="1"/>
  <c r="C343" i="1"/>
  <c r="D343" i="1"/>
  <c r="E343" i="1"/>
  <c r="A344" i="1"/>
  <c r="B344" i="1"/>
  <c r="C344" i="1"/>
  <c r="D344" i="1"/>
  <c r="E344" i="1"/>
  <c r="A345" i="1"/>
  <c r="B345" i="1"/>
  <c r="C345" i="1"/>
  <c r="D345" i="1"/>
  <c r="E345" i="1"/>
  <c r="A346" i="1"/>
  <c r="B346" i="1"/>
  <c r="C346" i="1"/>
  <c r="D346" i="1"/>
  <c r="E346" i="1"/>
  <c r="A347" i="1"/>
  <c r="B347" i="1"/>
  <c r="C347" i="1"/>
  <c r="D347" i="1"/>
  <c r="E347" i="1"/>
  <c r="A348" i="1"/>
  <c r="B348" i="1"/>
  <c r="C348" i="1"/>
  <c r="D348" i="1"/>
  <c r="E348" i="1"/>
  <c r="A349" i="1"/>
  <c r="B349" i="1"/>
  <c r="C349" i="1"/>
  <c r="D349" i="1"/>
  <c r="E349" i="1"/>
  <c r="A350" i="1"/>
  <c r="B350" i="1"/>
  <c r="C350" i="1"/>
  <c r="D350" i="1"/>
  <c r="E350" i="1"/>
  <c r="A351" i="1"/>
  <c r="B351" i="1"/>
  <c r="C351" i="1"/>
  <c r="D351" i="1"/>
  <c r="E351" i="1"/>
  <c r="A352" i="1"/>
  <c r="B352" i="1"/>
  <c r="C352" i="1"/>
  <c r="D352" i="1"/>
  <c r="E352" i="1"/>
  <c r="A353" i="1"/>
  <c r="B353" i="1"/>
  <c r="C353" i="1"/>
  <c r="D353" i="1"/>
  <c r="E353" i="1"/>
  <c r="A354" i="1"/>
  <c r="B354" i="1"/>
  <c r="C354" i="1"/>
  <c r="D354" i="1"/>
  <c r="E354" i="1"/>
  <c r="A355" i="1"/>
  <c r="B355" i="1"/>
  <c r="C355" i="1"/>
  <c r="D355" i="1"/>
  <c r="E355" i="1"/>
  <c r="A356" i="1"/>
  <c r="B356" i="1"/>
  <c r="C356" i="1"/>
  <c r="D356" i="1"/>
  <c r="E356" i="1"/>
  <c r="A357" i="1"/>
  <c r="B357" i="1"/>
  <c r="C357" i="1"/>
  <c r="D357" i="1"/>
  <c r="E357" i="1"/>
  <c r="A358" i="1"/>
  <c r="B358" i="1"/>
  <c r="C358" i="1"/>
  <c r="D358" i="1"/>
  <c r="E358" i="1"/>
  <c r="A359" i="1"/>
  <c r="B359" i="1"/>
  <c r="C359" i="1"/>
  <c r="D359" i="1"/>
  <c r="E359" i="1"/>
  <c r="A360" i="1"/>
  <c r="B360" i="1"/>
  <c r="C360" i="1"/>
  <c r="D360" i="1"/>
  <c r="E360" i="1"/>
  <c r="A361" i="1"/>
  <c r="B361" i="1"/>
  <c r="C361" i="1"/>
  <c r="D361" i="1"/>
  <c r="E361" i="1"/>
  <c r="A362" i="1"/>
  <c r="B362" i="1"/>
  <c r="C362" i="1"/>
  <c r="D362" i="1"/>
  <c r="E362" i="1"/>
  <c r="A363" i="1"/>
  <c r="B363" i="1"/>
  <c r="C363" i="1"/>
  <c r="D363" i="1"/>
  <c r="E363" i="1"/>
  <c r="A364" i="1"/>
  <c r="B364" i="1"/>
  <c r="C364" i="1"/>
  <c r="D364" i="1"/>
  <c r="E364" i="1"/>
  <c r="A365" i="1"/>
  <c r="B365" i="1"/>
  <c r="C365" i="1"/>
  <c r="D365" i="1"/>
  <c r="E365" i="1"/>
  <c r="A366" i="1"/>
  <c r="B366" i="1"/>
  <c r="C366" i="1"/>
  <c r="D366" i="1"/>
  <c r="E366" i="1"/>
  <c r="A367" i="1"/>
  <c r="B367" i="1"/>
  <c r="C367" i="1"/>
  <c r="D367" i="1"/>
  <c r="E367" i="1"/>
  <c r="A368" i="1"/>
  <c r="B368" i="1"/>
  <c r="C368" i="1"/>
  <c r="D368" i="1"/>
  <c r="E368" i="1"/>
  <c r="A369" i="1"/>
  <c r="B369" i="1"/>
  <c r="C369" i="1"/>
  <c r="D369" i="1"/>
  <c r="E369" i="1"/>
  <c r="A370" i="1"/>
  <c r="B370" i="1"/>
  <c r="C370" i="1"/>
  <c r="D370" i="1"/>
  <c r="E370" i="1"/>
  <c r="A371" i="1"/>
  <c r="B371" i="1"/>
  <c r="C371" i="1"/>
  <c r="D371" i="1"/>
  <c r="E371" i="1"/>
  <c r="A372" i="1"/>
  <c r="B372" i="1"/>
  <c r="C372" i="1"/>
  <c r="D372" i="1"/>
  <c r="E372" i="1"/>
  <c r="A373" i="1"/>
  <c r="B373" i="1"/>
  <c r="C373" i="1"/>
  <c r="D373" i="1"/>
  <c r="E373" i="1"/>
  <c r="A374" i="1"/>
  <c r="B374" i="1"/>
  <c r="C374" i="1"/>
  <c r="D374" i="1"/>
  <c r="E374" i="1"/>
  <c r="A375" i="1"/>
  <c r="B375" i="1"/>
  <c r="C375" i="1"/>
  <c r="D375" i="1"/>
  <c r="E375" i="1"/>
  <c r="A376" i="1"/>
  <c r="B376" i="1"/>
  <c r="C376" i="1"/>
  <c r="D376" i="1"/>
  <c r="E376" i="1"/>
  <c r="A377" i="1"/>
  <c r="B377" i="1"/>
  <c r="C377" i="1"/>
  <c r="D377" i="1"/>
  <c r="E377" i="1"/>
  <c r="A378" i="1"/>
  <c r="B378" i="1"/>
  <c r="C378" i="1"/>
  <c r="D378" i="1"/>
  <c r="E378" i="1"/>
  <c r="A379" i="1"/>
  <c r="B379" i="1"/>
  <c r="C379" i="1"/>
  <c r="D379" i="1"/>
  <c r="E379" i="1"/>
  <c r="A380" i="1"/>
  <c r="B380" i="1"/>
  <c r="C380" i="1"/>
  <c r="D380" i="1"/>
  <c r="E380" i="1"/>
  <c r="A381" i="1"/>
  <c r="B381" i="1"/>
  <c r="C381" i="1"/>
  <c r="D381" i="1"/>
  <c r="E381" i="1"/>
  <c r="A382" i="1"/>
  <c r="B382" i="1"/>
  <c r="C382" i="1"/>
  <c r="D382" i="1"/>
  <c r="E382" i="1"/>
  <c r="A383" i="1"/>
  <c r="B383" i="1"/>
  <c r="C383" i="1"/>
  <c r="D383" i="1"/>
  <c r="E383" i="1"/>
  <c r="A384" i="1"/>
  <c r="B384" i="1"/>
  <c r="C384" i="1"/>
  <c r="D384" i="1"/>
  <c r="E384" i="1"/>
  <c r="A385" i="1"/>
  <c r="B385" i="1"/>
  <c r="C385" i="1"/>
  <c r="D385" i="1"/>
  <c r="E385" i="1"/>
  <c r="A386" i="1"/>
  <c r="B386" i="1"/>
  <c r="C386" i="1"/>
  <c r="D386" i="1"/>
  <c r="E386" i="1"/>
  <c r="A387" i="1"/>
  <c r="B387" i="1"/>
  <c r="C387" i="1"/>
  <c r="D387" i="1"/>
  <c r="E387" i="1"/>
  <c r="A388" i="1"/>
  <c r="B388" i="1"/>
  <c r="C388" i="1"/>
  <c r="D388" i="1"/>
  <c r="E388" i="1"/>
  <c r="A389" i="1"/>
  <c r="B389" i="1"/>
  <c r="C389" i="1"/>
  <c r="D389" i="1"/>
  <c r="E389" i="1"/>
  <c r="A390" i="1"/>
  <c r="B390" i="1"/>
  <c r="C390" i="1"/>
  <c r="D390" i="1"/>
  <c r="E390" i="1"/>
  <c r="A391" i="1"/>
  <c r="B391" i="1"/>
  <c r="C391" i="1"/>
  <c r="D391" i="1"/>
  <c r="E391" i="1"/>
  <c r="A392" i="1"/>
  <c r="B392" i="1"/>
  <c r="C392" i="1"/>
  <c r="D392" i="1"/>
  <c r="E392" i="1"/>
  <c r="A393" i="1"/>
  <c r="B393" i="1"/>
  <c r="C393" i="1"/>
  <c r="D393" i="1"/>
  <c r="E393" i="1"/>
  <c r="A394" i="1"/>
  <c r="B394" i="1"/>
  <c r="C394" i="1"/>
  <c r="D394" i="1"/>
  <c r="E394" i="1"/>
  <c r="A395" i="1"/>
  <c r="B395" i="1"/>
  <c r="C395" i="1"/>
  <c r="D395" i="1"/>
  <c r="E395" i="1"/>
  <c r="A396" i="1"/>
  <c r="B396" i="1"/>
  <c r="C396" i="1"/>
  <c r="D396" i="1"/>
  <c r="E396" i="1"/>
  <c r="A397" i="1"/>
  <c r="B397" i="1"/>
  <c r="C397" i="1"/>
  <c r="D397" i="1"/>
  <c r="E397" i="1"/>
  <c r="A398" i="1"/>
  <c r="B398" i="1"/>
  <c r="C398" i="1"/>
  <c r="D398" i="1"/>
  <c r="E398" i="1"/>
  <c r="A399" i="1"/>
  <c r="B399" i="1"/>
  <c r="C399" i="1"/>
  <c r="D399" i="1"/>
  <c r="E399" i="1"/>
  <c r="A400" i="1"/>
  <c r="B400" i="1"/>
  <c r="C400" i="1"/>
  <c r="D400" i="1"/>
  <c r="E400" i="1"/>
  <c r="A401" i="1"/>
  <c r="B401" i="1"/>
  <c r="C401" i="1"/>
  <c r="D401" i="1"/>
  <c r="E401" i="1"/>
  <c r="A402" i="1"/>
  <c r="B402" i="1"/>
  <c r="C402" i="1"/>
  <c r="D402" i="1"/>
  <c r="E402" i="1"/>
  <c r="A403" i="1"/>
  <c r="B403" i="1"/>
  <c r="C403" i="1"/>
  <c r="D403" i="1"/>
  <c r="E403" i="1"/>
  <c r="A404" i="1"/>
  <c r="B404" i="1"/>
  <c r="C404" i="1"/>
  <c r="D404" i="1"/>
  <c r="E404" i="1"/>
  <c r="A405" i="1"/>
  <c r="B405" i="1"/>
  <c r="C405" i="1"/>
  <c r="D405" i="1"/>
  <c r="E405" i="1"/>
  <c r="A406" i="1"/>
  <c r="B406" i="1"/>
  <c r="C406" i="1"/>
  <c r="D406" i="1"/>
  <c r="E406" i="1"/>
  <c r="A407" i="1"/>
  <c r="B407" i="1"/>
  <c r="C407" i="1"/>
  <c r="D407" i="1"/>
  <c r="E407" i="1"/>
  <c r="A408" i="1"/>
  <c r="B408" i="1"/>
  <c r="C408" i="1"/>
  <c r="D408" i="1"/>
  <c r="E408" i="1"/>
  <c r="A409" i="1"/>
  <c r="B409" i="1"/>
  <c r="C409" i="1"/>
  <c r="D409" i="1"/>
  <c r="E409" i="1"/>
  <c r="A410" i="1"/>
  <c r="B410" i="1"/>
  <c r="C410" i="1"/>
  <c r="D410" i="1"/>
  <c r="E410" i="1"/>
  <c r="A411" i="1"/>
  <c r="B411" i="1"/>
  <c r="C411" i="1"/>
  <c r="D411" i="1"/>
  <c r="E411" i="1"/>
  <c r="A412" i="1"/>
  <c r="B412" i="1"/>
  <c r="C412" i="1"/>
  <c r="D412" i="1"/>
  <c r="E412" i="1"/>
  <c r="A413" i="1"/>
  <c r="B413" i="1"/>
  <c r="C413" i="1"/>
  <c r="D413" i="1"/>
  <c r="E413" i="1"/>
  <c r="A414" i="1"/>
  <c r="B414" i="1"/>
  <c r="C414" i="1"/>
  <c r="D414" i="1"/>
  <c r="E414" i="1"/>
  <c r="A415" i="1"/>
  <c r="B415" i="1"/>
  <c r="C415" i="1"/>
  <c r="D415" i="1"/>
  <c r="E415" i="1"/>
  <c r="A416" i="1"/>
  <c r="B416" i="1"/>
  <c r="C416" i="1"/>
  <c r="D416" i="1"/>
  <c r="E416" i="1"/>
  <c r="A417" i="1"/>
  <c r="B417" i="1"/>
  <c r="C417" i="1"/>
  <c r="D417" i="1"/>
  <c r="E417" i="1"/>
  <c r="A418" i="1"/>
  <c r="B418" i="1"/>
  <c r="C418" i="1"/>
  <c r="D418" i="1"/>
  <c r="E418" i="1"/>
  <c r="A419" i="1"/>
  <c r="B419" i="1"/>
  <c r="C419" i="1"/>
  <c r="D419" i="1"/>
  <c r="E419" i="1"/>
  <c r="A420" i="1"/>
  <c r="B420" i="1"/>
  <c r="C420" i="1"/>
  <c r="D420" i="1"/>
  <c r="E420" i="1"/>
  <c r="A421" i="1"/>
  <c r="B421" i="1"/>
  <c r="C421" i="1"/>
  <c r="D421" i="1"/>
  <c r="E421" i="1"/>
  <c r="A422" i="1"/>
  <c r="B422" i="1"/>
  <c r="C422" i="1"/>
  <c r="D422" i="1"/>
  <c r="E422" i="1"/>
  <c r="A423" i="1"/>
  <c r="B423" i="1"/>
  <c r="C423" i="1"/>
  <c r="D423" i="1"/>
  <c r="E423" i="1"/>
  <c r="A424" i="1"/>
  <c r="B424" i="1"/>
  <c r="C424" i="1"/>
  <c r="D424" i="1"/>
  <c r="E424" i="1"/>
  <c r="A425" i="1"/>
  <c r="B425" i="1"/>
  <c r="C425" i="1"/>
  <c r="D425" i="1"/>
  <c r="E425" i="1"/>
  <c r="A426" i="1"/>
  <c r="B426" i="1"/>
  <c r="C426" i="1"/>
  <c r="D426" i="1"/>
  <c r="E426" i="1"/>
  <c r="A427" i="1"/>
  <c r="B427" i="1"/>
  <c r="C427" i="1"/>
  <c r="D427" i="1"/>
  <c r="E427" i="1"/>
  <c r="A428" i="1"/>
  <c r="B428" i="1"/>
  <c r="C428" i="1"/>
  <c r="D428" i="1"/>
  <c r="E428" i="1"/>
  <c r="A429" i="1"/>
  <c r="B429" i="1"/>
  <c r="C429" i="1"/>
  <c r="D429" i="1"/>
  <c r="E429" i="1"/>
  <c r="A430" i="1"/>
  <c r="B430" i="1"/>
  <c r="C430" i="1"/>
  <c r="D430" i="1"/>
  <c r="E430" i="1"/>
  <c r="A431" i="1"/>
  <c r="B431" i="1"/>
  <c r="C431" i="1"/>
  <c r="D431" i="1"/>
  <c r="E431" i="1"/>
  <c r="A432" i="1"/>
  <c r="B432" i="1"/>
  <c r="C432" i="1"/>
  <c r="D432" i="1"/>
  <c r="E432" i="1"/>
  <c r="A433" i="1"/>
  <c r="B433" i="1"/>
  <c r="C433" i="1"/>
  <c r="D433" i="1"/>
  <c r="E433" i="1"/>
  <c r="A434" i="1"/>
  <c r="B434" i="1"/>
  <c r="C434" i="1"/>
  <c r="D434" i="1"/>
  <c r="E434" i="1"/>
  <c r="A435" i="1"/>
  <c r="B435" i="1"/>
  <c r="C435" i="1"/>
  <c r="D435" i="1"/>
  <c r="E435" i="1"/>
  <c r="A436" i="1"/>
  <c r="B436" i="1"/>
  <c r="C436" i="1"/>
  <c r="D436" i="1"/>
  <c r="E436" i="1"/>
  <c r="A437" i="1"/>
  <c r="B437" i="1"/>
  <c r="C437" i="1"/>
  <c r="D437" i="1"/>
  <c r="E437" i="1"/>
  <c r="A438" i="1"/>
  <c r="B438" i="1"/>
  <c r="C438" i="1"/>
  <c r="D438" i="1"/>
  <c r="E438" i="1"/>
  <c r="A439" i="1"/>
  <c r="B439" i="1"/>
  <c r="C439" i="1"/>
  <c r="D439" i="1"/>
  <c r="E439" i="1"/>
  <c r="A440" i="1"/>
  <c r="B440" i="1"/>
  <c r="C440" i="1"/>
  <c r="D440" i="1"/>
  <c r="E440" i="1"/>
  <c r="A441" i="1"/>
  <c r="B441" i="1"/>
  <c r="C441" i="1"/>
  <c r="D441" i="1"/>
  <c r="E441" i="1"/>
  <c r="A442" i="1"/>
  <c r="B442" i="1"/>
  <c r="C442" i="1"/>
  <c r="D442" i="1"/>
  <c r="E442" i="1"/>
  <c r="A443" i="1"/>
  <c r="B443" i="1"/>
  <c r="C443" i="1"/>
  <c r="D443" i="1"/>
  <c r="E443" i="1"/>
  <c r="A444" i="1"/>
  <c r="B444" i="1"/>
  <c r="C444" i="1"/>
  <c r="D444" i="1"/>
  <c r="E444" i="1"/>
  <c r="A445" i="1"/>
  <c r="B445" i="1"/>
  <c r="C445" i="1"/>
  <c r="D445" i="1"/>
  <c r="E445" i="1"/>
  <c r="A446" i="1"/>
  <c r="B446" i="1"/>
  <c r="C446" i="1"/>
  <c r="D446" i="1"/>
  <c r="E446" i="1"/>
  <c r="A447" i="1"/>
  <c r="B447" i="1"/>
  <c r="C447" i="1"/>
  <c r="D447" i="1"/>
  <c r="E447" i="1"/>
  <c r="A448" i="1"/>
  <c r="B448" i="1"/>
  <c r="C448" i="1"/>
  <c r="D448" i="1"/>
  <c r="E448" i="1"/>
  <c r="A449" i="1"/>
  <c r="B449" i="1"/>
  <c r="C449" i="1"/>
  <c r="D449" i="1"/>
  <c r="E449" i="1"/>
  <c r="A450" i="1"/>
  <c r="B450" i="1"/>
  <c r="C450" i="1"/>
  <c r="D450" i="1"/>
  <c r="E450" i="1"/>
  <c r="A451" i="1"/>
  <c r="B451" i="1"/>
  <c r="C451" i="1"/>
  <c r="D451" i="1"/>
  <c r="E451" i="1"/>
  <c r="A452" i="1"/>
  <c r="B452" i="1"/>
  <c r="C452" i="1"/>
  <c r="D452" i="1"/>
  <c r="E452" i="1"/>
  <c r="A453" i="1"/>
  <c r="B453" i="1"/>
  <c r="C453" i="1"/>
  <c r="D453" i="1"/>
  <c r="E453" i="1"/>
  <c r="A454" i="1"/>
  <c r="B454" i="1"/>
  <c r="C454" i="1"/>
  <c r="D454" i="1"/>
  <c r="E454" i="1"/>
  <c r="A455" i="1"/>
  <c r="B455" i="1"/>
  <c r="C455" i="1"/>
  <c r="D455" i="1"/>
  <c r="E455" i="1"/>
  <c r="A456" i="1"/>
  <c r="B456" i="1"/>
  <c r="C456" i="1"/>
  <c r="D456" i="1"/>
  <c r="E456" i="1"/>
  <c r="A457" i="1"/>
  <c r="B457" i="1"/>
  <c r="C457" i="1"/>
  <c r="D457" i="1"/>
  <c r="E457" i="1"/>
  <c r="A458" i="1"/>
  <c r="B458" i="1"/>
  <c r="C458" i="1"/>
  <c r="D458" i="1"/>
  <c r="E458" i="1"/>
  <c r="A459" i="1"/>
  <c r="B459" i="1"/>
  <c r="C459" i="1"/>
  <c r="D459" i="1"/>
  <c r="E459" i="1"/>
  <c r="A460" i="1"/>
  <c r="B460" i="1"/>
  <c r="C460" i="1"/>
  <c r="D460" i="1"/>
  <c r="E460" i="1"/>
  <c r="A461" i="1"/>
  <c r="B461" i="1"/>
  <c r="C461" i="1"/>
  <c r="D461" i="1"/>
  <c r="E461" i="1"/>
  <c r="A462" i="1"/>
  <c r="B462" i="1"/>
  <c r="C462" i="1"/>
  <c r="D462" i="1"/>
  <c r="E462" i="1"/>
  <c r="A463" i="1"/>
  <c r="B463" i="1"/>
  <c r="C463" i="1"/>
  <c r="D463" i="1"/>
  <c r="E463" i="1"/>
  <c r="A464" i="1"/>
  <c r="B464" i="1"/>
  <c r="C464" i="1"/>
  <c r="D464" i="1"/>
  <c r="E464" i="1"/>
  <c r="A465" i="1"/>
  <c r="B465" i="1"/>
  <c r="C465" i="1"/>
  <c r="D465" i="1"/>
  <c r="E465" i="1"/>
  <c r="A466" i="1"/>
  <c r="B466" i="1"/>
  <c r="C466" i="1"/>
  <c r="D466" i="1"/>
  <c r="E466" i="1"/>
  <c r="A467" i="1"/>
  <c r="B467" i="1"/>
  <c r="C467" i="1"/>
  <c r="D467" i="1"/>
  <c r="E467" i="1"/>
  <c r="A468" i="1"/>
  <c r="B468" i="1"/>
  <c r="C468" i="1"/>
  <c r="D468" i="1"/>
  <c r="E468" i="1"/>
  <c r="A469" i="1"/>
  <c r="B469" i="1"/>
  <c r="C469" i="1"/>
  <c r="D469" i="1"/>
  <c r="E469" i="1"/>
  <c r="A470" i="1"/>
  <c r="B470" i="1"/>
  <c r="C470" i="1"/>
  <c r="D470" i="1"/>
  <c r="E470" i="1"/>
  <c r="A471" i="1"/>
  <c r="B471" i="1"/>
  <c r="C471" i="1"/>
  <c r="D471" i="1"/>
  <c r="E471" i="1"/>
  <c r="A472" i="1"/>
  <c r="B472" i="1"/>
  <c r="C472" i="1"/>
  <c r="D472" i="1"/>
  <c r="E472" i="1"/>
  <c r="A473" i="1"/>
  <c r="B473" i="1"/>
  <c r="C473" i="1"/>
  <c r="D473" i="1"/>
  <c r="E473" i="1"/>
  <c r="A474" i="1"/>
  <c r="B474" i="1"/>
  <c r="C474" i="1"/>
  <c r="D474" i="1"/>
  <c r="E474" i="1"/>
  <c r="A475" i="1"/>
  <c r="B475" i="1"/>
  <c r="C475" i="1"/>
  <c r="D475" i="1"/>
  <c r="E475" i="1"/>
  <c r="A476" i="1"/>
  <c r="B476" i="1"/>
  <c r="C476" i="1"/>
  <c r="D476" i="1"/>
  <c r="E476" i="1"/>
  <c r="A477" i="1"/>
  <c r="B477" i="1"/>
  <c r="C477" i="1"/>
  <c r="D477" i="1"/>
  <c r="E477" i="1"/>
  <c r="A478" i="1"/>
  <c r="B478" i="1"/>
  <c r="C478" i="1"/>
  <c r="D478" i="1"/>
  <c r="E478" i="1"/>
  <c r="A479" i="1"/>
  <c r="B479" i="1"/>
  <c r="C479" i="1"/>
  <c r="D479" i="1"/>
  <c r="E479" i="1"/>
  <c r="A480" i="1"/>
  <c r="B480" i="1"/>
  <c r="C480" i="1"/>
  <c r="D480" i="1"/>
  <c r="E480" i="1"/>
  <c r="A481" i="1"/>
  <c r="B481" i="1"/>
  <c r="C481" i="1"/>
  <c r="D481" i="1"/>
  <c r="E481" i="1"/>
  <c r="A482" i="1"/>
  <c r="B482" i="1"/>
  <c r="C482" i="1"/>
  <c r="D482" i="1"/>
  <c r="E482" i="1"/>
  <c r="A483" i="1"/>
  <c r="B483" i="1"/>
  <c r="C483" i="1"/>
  <c r="D483" i="1"/>
  <c r="E483" i="1"/>
  <c r="A484" i="1"/>
  <c r="B484" i="1"/>
  <c r="C484" i="1"/>
  <c r="D484" i="1"/>
  <c r="E484" i="1"/>
  <c r="A485" i="1"/>
  <c r="B485" i="1"/>
  <c r="C485" i="1"/>
  <c r="D485" i="1"/>
  <c r="E485" i="1"/>
  <c r="A486" i="1"/>
  <c r="B486" i="1"/>
  <c r="C486" i="1"/>
  <c r="D486" i="1"/>
  <c r="E486" i="1"/>
  <c r="A487" i="1"/>
  <c r="B487" i="1"/>
  <c r="C487" i="1"/>
  <c r="D487" i="1"/>
  <c r="E487" i="1"/>
  <c r="A488" i="1"/>
  <c r="B488" i="1"/>
  <c r="C488" i="1"/>
  <c r="D488" i="1"/>
  <c r="E488" i="1"/>
  <c r="A489" i="1"/>
  <c r="B489" i="1"/>
  <c r="C489" i="1"/>
  <c r="D489" i="1"/>
  <c r="E489" i="1"/>
  <c r="A490" i="1"/>
  <c r="B490" i="1"/>
  <c r="C490" i="1"/>
  <c r="D490" i="1"/>
  <c r="E490" i="1"/>
  <c r="A491" i="1"/>
  <c r="B491" i="1"/>
  <c r="C491" i="1"/>
  <c r="D491" i="1"/>
  <c r="E491" i="1"/>
  <c r="A492" i="1"/>
  <c r="B492" i="1"/>
  <c r="C492" i="1"/>
  <c r="D492" i="1"/>
  <c r="E492" i="1"/>
  <c r="A493" i="1"/>
  <c r="B493" i="1"/>
  <c r="C493" i="1"/>
  <c r="D493" i="1"/>
  <c r="E493" i="1"/>
  <c r="A494" i="1"/>
  <c r="B494" i="1"/>
  <c r="C494" i="1"/>
  <c r="D494" i="1"/>
  <c r="E494" i="1"/>
  <c r="A495" i="1"/>
  <c r="B495" i="1"/>
  <c r="C495" i="1"/>
  <c r="D495" i="1"/>
  <c r="E495" i="1"/>
  <c r="A496" i="1"/>
  <c r="B496" i="1"/>
  <c r="C496" i="1"/>
  <c r="D496" i="1"/>
  <c r="E496" i="1"/>
  <c r="A497" i="1"/>
  <c r="B497" i="1"/>
  <c r="C497" i="1"/>
  <c r="D497" i="1"/>
  <c r="E497" i="1"/>
  <c r="A498" i="1"/>
  <c r="B498" i="1"/>
  <c r="C498" i="1"/>
  <c r="D498" i="1"/>
  <c r="E498" i="1"/>
  <c r="A499" i="1"/>
  <c r="B499" i="1"/>
  <c r="C499" i="1"/>
  <c r="D499" i="1"/>
  <c r="E499" i="1"/>
  <c r="A500" i="1"/>
  <c r="B500" i="1"/>
  <c r="C500" i="1"/>
  <c r="D500" i="1"/>
  <c r="E500" i="1"/>
  <c r="A501" i="1"/>
  <c r="B501" i="1"/>
  <c r="C501" i="1"/>
  <c r="D501" i="1"/>
  <c r="E501" i="1"/>
  <c r="A502" i="1"/>
  <c r="B502" i="1"/>
  <c r="C502" i="1"/>
  <c r="D502" i="1"/>
  <c r="E502" i="1"/>
  <c r="A503" i="1"/>
  <c r="B503" i="1"/>
  <c r="C503" i="1"/>
  <c r="D503" i="1"/>
  <c r="E503" i="1"/>
  <c r="A504" i="1"/>
  <c r="B504" i="1"/>
  <c r="C504" i="1"/>
  <c r="D504" i="1"/>
  <c r="E504" i="1"/>
  <c r="A505" i="1"/>
  <c r="B505" i="1"/>
  <c r="C505" i="1"/>
  <c r="D505" i="1"/>
  <c r="E505" i="1"/>
  <c r="A506" i="1"/>
  <c r="B506" i="1"/>
  <c r="C506" i="1"/>
  <c r="D506" i="1"/>
  <c r="E506" i="1"/>
  <c r="A507" i="1"/>
  <c r="B507" i="1"/>
  <c r="C507" i="1"/>
  <c r="D507" i="1"/>
  <c r="E507" i="1"/>
  <c r="A508" i="1"/>
  <c r="B508" i="1"/>
  <c r="C508" i="1"/>
  <c r="D508" i="1"/>
  <c r="E508" i="1"/>
  <c r="A509" i="1"/>
  <c r="B509" i="1"/>
  <c r="C509" i="1"/>
  <c r="D509" i="1"/>
  <c r="E509" i="1"/>
  <c r="A510" i="1"/>
  <c r="B510" i="1"/>
  <c r="C510" i="1"/>
  <c r="D510" i="1"/>
  <c r="E510" i="1"/>
  <c r="A511" i="1"/>
  <c r="B511" i="1"/>
  <c r="C511" i="1"/>
  <c r="D511" i="1"/>
  <c r="E511" i="1"/>
  <c r="A512" i="1"/>
  <c r="B512" i="1"/>
  <c r="C512" i="1"/>
  <c r="D512" i="1"/>
  <c r="E512" i="1"/>
  <c r="A513" i="1"/>
  <c r="B513" i="1"/>
  <c r="C513" i="1"/>
  <c r="D513" i="1"/>
  <c r="E513" i="1"/>
  <c r="A514" i="1"/>
  <c r="B514" i="1"/>
  <c r="C514" i="1"/>
  <c r="D514" i="1"/>
  <c r="E514" i="1"/>
  <c r="A515" i="1"/>
  <c r="B515" i="1"/>
  <c r="C515" i="1"/>
  <c r="D515" i="1"/>
  <c r="E515" i="1"/>
  <c r="A516" i="1"/>
  <c r="B516" i="1"/>
  <c r="C516" i="1"/>
  <c r="D516" i="1"/>
  <c r="E516" i="1"/>
  <c r="A517" i="1"/>
  <c r="B517" i="1"/>
  <c r="C517" i="1"/>
  <c r="D517" i="1"/>
  <c r="E517" i="1"/>
  <c r="A518" i="1"/>
  <c r="B518" i="1"/>
  <c r="C518" i="1"/>
  <c r="D518" i="1"/>
  <c r="E518" i="1"/>
  <c r="A519" i="1"/>
  <c r="B519" i="1"/>
  <c r="C519" i="1"/>
  <c r="D519" i="1"/>
  <c r="E519" i="1"/>
  <c r="A520" i="1"/>
  <c r="B520" i="1"/>
  <c r="C520" i="1"/>
  <c r="D520" i="1"/>
  <c r="E520" i="1"/>
  <c r="A521" i="1"/>
  <c r="B521" i="1"/>
  <c r="C521" i="1"/>
  <c r="D521" i="1"/>
  <c r="E521" i="1"/>
  <c r="A522" i="1"/>
  <c r="B522" i="1"/>
  <c r="C522" i="1"/>
  <c r="D522" i="1"/>
  <c r="E522" i="1"/>
  <c r="A523" i="1"/>
  <c r="B523" i="1"/>
  <c r="C523" i="1"/>
  <c r="D523" i="1"/>
  <c r="E523" i="1"/>
  <c r="A524" i="1"/>
  <c r="B524" i="1"/>
  <c r="C524" i="1"/>
  <c r="D524" i="1"/>
  <c r="E524" i="1"/>
  <c r="A525" i="1"/>
  <c r="B525" i="1"/>
  <c r="C525" i="1"/>
  <c r="D525" i="1"/>
  <c r="E525" i="1"/>
  <c r="A526" i="1"/>
  <c r="B526" i="1"/>
  <c r="C526" i="1"/>
  <c r="D526" i="1"/>
  <c r="E526" i="1"/>
  <c r="A527" i="1"/>
  <c r="B527" i="1"/>
  <c r="C527" i="1"/>
  <c r="D527" i="1"/>
  <c r="E527" i="1"/>
  <c r="A528" i="1"/>
  <c r="B528" i="1"/>
  <c r="C528" i="1"/>
  <c r="D528" i="1"/>
  <c r="E528" i="1"/>
  <c r="A529" i="1"/>
  <c r="B529" i="1"/>
  <c r="C529" i="1"/>
  <c r="D529" i="1"/>
  <c r="E529" i="1"/>
  <c r="A530" i="1"/>
  <c r="B530" i="1"/>
  <c r="C530" i="1"/>
  <c r="D530" i="1"/>
  <c r="E530" i="1"/>
  <c r="A531" i="1"/>
  <c r="B531" i="1"/>
  <c r="C531" i="1"/>
  <c r="D531" i="1"/>
  <c r="E531" i="1"/>
  <c r="A532" i="1"/>
  <c r="B532" i="1"/>
  <c r="C532" i="1"/>
  <c r="D532" i="1"/>
  <c r="E532" i="1"/>
  <c r="A533" i="1"/>
  <c r="B533" i="1"/>
  <c r="C533" i="1"/>
  <c r="D533" i="1"/>
  <c r="E533" i="1"/>
  <c r="A534" i="1"/>
  <c r="B534" i="1"/>
  <c r="C534" i="1"/>
  <c r="D534" i="1"/>
  <c r="E534" i="1"/>
  <c r="A535" i="1"/>
  <c r="B535" i="1"/>
  <c r="C535" i="1"/>
  <c r="D535" i="1"/>
  <c r="E535" i="1"/>
  <c r="A536" i="1"/>
  <c r="B536" i="1"/>
  <c r="C536" i="1"/>
  <c r="D536" i="1"/>
  <c r="E536" i="1"/>
  <c r="A537" i="1"/>
  <c r="B537" i="1"/>
  <c r="C537" i="1"/>
  <c r="D537" i="1"/>
  <c r="E537" i="1"/>
  <c r="A538" i="1"/>
  <c r="B538" i="1"/>
  <c r="C538" i="1"/>
  <c r="D538" i="1"/>
  <c r="E538" i="1"/>
  <c r="A539" i="1"/>
  <c r="B539" i="1"/>
  <c r="C539" i="1"/>
  <c r="D539" i="1"/>
  <c r="E539" i="1"/>
  <c r="A540" i="1"/>
  <c r="B540" i="1"/>
  <c r="C540" i="1"/>
  <c r="D540" i="1"/>
  <c r="E540" i="1"/>
  <c r="A541" i="1"/>
  <c r="B541" i="1"/>
  <c r="C541" i="1"/>
  <c r="D541" i="1"/>
  <c r="E541" i="1"/>
  <c r="A542" i="1"/>
  <c r="B542" i="1"/>
  <c r="C542" i="1"/>
  <c r="D542" i="1"/>
  <c r="E542" i="1"/>
  <c r="A543" i="1"/>
  <c r="B543" i="1"/>
  <c r="C543" i="1"/>
  <c r="D543" i="1"/>
  <c r="E543" i="1"/>
  <c r="A544" i="1"/>
  <c r="B544" i="1"/>
  <c r="C544" i="1"/>
  <c r="D544" i="1"/>
  <c r="E544" i="1"/>
  <c r="A545" i="1"/>
  <c r="B545" i="1"/>
  <c r="C545" i="1"/>
  <c r="D545" i="1"/>
  <c r="E545" i="1"/>
  <c r="A546" i="1"/>
  <c r="B546" i="1"/>
  <c r="C546" i="1"/>
  <c r="D546" i="1"/>
  <c r="E546" i="1"/>
  <c r="A547" i="1"/>
  <c r="B547" i="1"/>
  <c r="C547" i="1"/>
  <c r="D547" i="1"/>
  <c r="E547" i="1"/>
  <c r="A548" i="1"/>
  <c r="B548" i="1"/>
  <c r="C548" i="1"/>
  <c r="D548" i="1"/>
  <c r="E548" i="1"/>
  <c r="A549" i="1"/>
  <c r="B549" i="1"/>
  <c r="C549" i="1"/>
  <c r="D549" i="1"/>
  <c r="E549" i="1"/>
  <c r="A550" i="1"/>
  <c r="B550" i="1"/>
  <c r="C550" i="1"/>
  <c r="D550" i="1"/>
  <c r="E550" i="1"/>
  <c r="A551" i="1"/>
  <c r="B551" i="1"/>
  <c r="C551" i="1"/>
  <c r="D551" i="1"/>
  <c r="E551" i="1"/>
  <c r="A552" i="1"/>
  <c r="B552" i="1"/>
  <c r="C552" i="1"/>
  <c r="D552" i="1"/>
  <c r="E552" i="1"/>
  <c r="A553" i="1"/>
  <c r="B553" i="1"/>
  <c r="C553" i="1"/>
  <c r="D553" i="1"/>
  <c r="E553" i="1"/>
  <c r="A554" i="1"/>
  <c r="B554" i="1"/>
  <c r="C554" i="1"/>
  <c r="D554" i="1"/>
  <c r="E554" i="1"/>
  <c r="A555" i="1"/>
  <c r="B555" i="1"/>
  <c r="C555" i="1"/>
  <c r="D555" i="1"/>
  <c r="E555" i="1"/>
  <c r="A556" i="1"/>
  <c r="B556" i="1"/>
  <c r="C556" i="1"/>
  <c r="D556" i="1"/>
  <c r="E556" i="1"/>
  <c r="A557" i="1"/>
  <c r="B557" i="1"/>
  <c r="C557" i="1"/>
  <c r="D557" i="1"/>
  <c r="E557" i="1"/>
  <c r="A558" i="1"/>
  <c r="B558" i="1"/>
  <c r="C558" i="1"/>
  <c r="D558" i="1"/>
  <c r="E558" i="1"/>
  <c r="A559" i="1"/>
  <c r="B559" i="1"/>
  <c r="C559" i="1"/>
  <c r="D559" i="1"/>
  <c r="E559" i="1"/>
  <c r="A560" i="1"/>
  <c r="B560" i="1"/>
  <c r="C560" i="1"/>
  <c r="D560" i="1"/>
  <c r="E560" i="1"/>
  <c r="A561" i="1"/>
  <c r="B561" i="1"/>
  <c r="C561" i="1"/>
  <c r="D561" i="1"/>
  <c r="E561" i="1"/>
  <c r="A562" i="1"/>
  <c r="B562" i="1"/>
  <c r="C562" i="1"/>
  <c r="D562" i="1"/>
  <c r="E562" i="1"/>
  <c r="A563" i="1"/>
  <c r="B563" i="1"/>
  <c r="C563" i="1"/>
  <c r="D563" i="1"/>
  <c r="E563" i="1"/>
  <c r="A564" i="1"/>
  <c r="B564" i="1"/>
  <c r="C564" i="1"/>
  <c r="D564" i="1"/>
  <c r="E564" i="1"/>
  <c r="A565" i="1"/>
  <c r="B565" i="1"/>
  <c r="C565" i="1"/>
  <c r="D565" i="1"/>
  <c r="E565" i="1"/>
  <c r="A566" i="1"/>
  <c r="B566" i="1"/>
  <c r="C566" i="1"/>
  <c r="D566" i="1"/>
  <c r="E566" i="1"/>
  <c r="A567" i="1"/>
  <c r="B567" i="1"/>
  <c r="C567" i="1"/>
  <c r="D567" i="1"/>
  <c r="E567" i="1"/>
  <c r="A568" i="1"/>
  <c r="B568" i="1"/>
  <c r="C568" i="1"/>
  <c r="D568" i="1"/>
  <c r="E568" i="1"/>
  <c r="A569" i="1"/>
  <c r="B569" i="1"/>
  <c r="C569" i="1"/>
  <c r="D569" i="1"/>
  <c r="E569" i="1"/>
  <c r="A570" i="1"/>
  <c r="B570" i="1"/>
  <c r="C570" i="1"/>
  <c r="D570" i="1"/>
  <c r="E570" i="1"/>
  <c r="A571" i="1"/>
  <c r="B571" i="1"/>
  <c r="C571" i="1"/>
  <c r="D571" i="1"/>
  <c r="E571" i="1"/>
  <c r="A572" i="1"/>
  <c r="B572" i="1"/>
  <c r="C572" i="1"/>
  <c r="D572" i="1"/>
  <c r="E572" i="1"/>
  <c r="A573" i="1"/>
  <c r="B573" i="1"/>
  <c r="C573" i="1"/>
  <c r="D573" i="1"/>
  <c r="E573" i="1"/>
  <c r="A574" i="1"/>
  <c r="B574" i="1"/>
  <c r="C574" i="1"/>
  <c r="D574" i="1"/>
  <c r="E574" i="1"/>
  <c r="A575" i="1"/>
  <c r="B575" i="1"/>
  <c r="C575" i="1"/>
  <c r="D575" i="1"/>
  <c r="E575" i="1"/>
  <c r="A576" i="1"/>
  <c r="B576" i="1"/>
  <c r="C576" i="1"/>
  <c r="D576" i="1"/>
  <c r="E576" i="1"/>
  <c r="A577" i="1"/>
  <c r="B577" i="1"/>
  <c r="C577" i="1"/>
  <c r="D577" i="1"/>
  <c r="E577" i="1"/>
  <c r="A578" i="1"/>
  <c r="B578" i="1"/>
  <c r="C578" i="1"/>
  <c r="D578" i="1"/>
  <c r="E578" i="1"/>
  <c r="A579" i="1"/>
  <c r="B579" i="1"/>
  <c r="C579" i="1"/>
  <c r="D579" i="1"/>
  <c r="E579" i="1"/>
  <c r="A580" i="1"/>
  <c r="B580" i="1"/>
  <c r="C580" i="1"/>
  <c r="D580" i="1"/>
  <c r="E580" i="1"/>
  <c r="A581" i="1"/>
  <c r="B581" i="1"/>
  <c r="C581" i="1"/>
  <c r="D581" i="1"/>
  <c r="E581" i="1"/>
  <c r="A582" i="1"/>
  <c r="B582" i="1"/>
  <c r="C582" i="1"/>
  <c r="D582" i="1"/>
  <c r="E582" i="1"/>
  <c r="A583" i="1"/>
  <c r="B583" i="1"/>
  <c r="C583" i="1"/>
  <c r="D583" i="1"/>
  <c r="E583" i="1"/>
  <c r="A584" i="1"/>
  <c r="B584" i="1"/>
  <c r="C584" i="1"/>
  <c r="D584" i="1"/>
  <c r="E584" i="1"/>
  <c r="A585" i="1"/>
  <c r="B585" i="1"/>
  <c r="C585" i="1"/>
  <c r="D585" i="1"/>
  <c r="E585" i="1"/>
  <c r="A586" i="1"/>
  <c r="B586" i="1"/>
  <c r="C586" i="1"/>
  <c r="D586" i="1"/>
  <c r="E586" i="1"/>
  <c r="A587" i="1"/>
  <c r="B587" i="1"/>
  <c r="C587" i="1"/>
  <c r="D587" i="1"/>
  <c r="E587" i="1"/>
  <c r="A588" i="1"/>
  <c r="B588" i="1"/>
  <c r="C588" i="1"/>
  <c r="D588" i="1"/>
  <c r="E588" i="1"/>
  <c r="A589" i="1"/>
  <c r="B589" i="1"/>
  <c r="C589" i="1"/>
  <c r="D589" i="1"/>
  <c r="E589" i="1"/>
  <c r="A590" i="1"/>
  <c r="B590" i="1"/>
  <c r="C590" i="1"/>
  <c r="D590" i="1"/>
  <c r="E590" i="1"/>
  <c r="A591" i="1"/>
  <c r="B591" i="1"/>
  <c r="C591" i="1"/>
  <c r="D591" i="1"/>
  <c r="E591" i="1"/>
  <c r="A592" i="1"/>
  <c r="B592" i="1"/>
  <c r="C592" i="1"/>
  <c r="D592" i="1"/>
  <c r="E592" i="1"/>
  <c r="A593" i="1"/>
  <c r="B593" i="1"/>
  <c r="C593" i="1"/>
  <c r="D593" i="1"/>
  <c r="E593" i="1"/>
  <c r="A594" i="1"/>
  <c r="B594" i="1"/>
  <c r="C594" i="1"/>
  <c r="D594" i="1"/>
  <c r="E594" i="1"/>
  <c r="A595" i="1"/>
  <c r="B595" i="1"/>
  <c r="C595" i="1"/>
  <c r="D595" i="1"/>
  <c r="E595" i="1"/>
  <c r="A596" i="1"/>
  <c r="B596" i="1"/>
  <c r="C596" i="1"/>
  <c r="D596" i="1"/>
  <c r="E596" i="1"/>
  <c r="A597" i="1"/>
  <c r="B597" i="1"/>
  <c r="C597" i="1"/>
  <c r="D597" i="1"/>
  <c r="E597" i="1"/>
  <c r="A598" i="1"/>
  <c r="B598" i="1"/>
  <c r="C598" i="1"/>
  <c r="D598" i="1"/>
  <c r="E598" i="1"/>
  <c r="A599" i="1"/>
  <c r="B599" i="1"/>
  <c r="C599" i="1"/>
  <c r="D599" i="1"/>
  <c r="E599" i="1"/>
  <c r="A600" i="1"/>
  <c r="B600" i="1"/>
  <c r="C600" i="1"/>
  <c r="D600" i="1"/>
  <c r="E600" i="1"/>
  <c r="A601" i="1"/>
  <c r="B601" i="1"/>
  <c r="C601" i="1"/>
  <c r="D601" i="1"/>
  <c r="E601" i="1"/>
  <c r="A602" i="1"/>
  <c r="B602" i="1"/>
  <c r="C602" i="1"/>
  <c r="D602" i="1"/>
  <c r="E602" i="1"/>
  <c r="A603" i="1"/>
  <c r="B603" i="1"/>
  <c r="C603" i="1"/>
  <c r="D603" i="1"/>
  <c r="E603" i="1"/>
  <c r="A604" i="1"/>
  <c r="B604" i="1"/>
  <c r="C604" i="1"/>
  <c r="D604" i="1"/>
  <c r="E604" i="1"/>
  <c r="A605" i="1"/>
  <c r="B605" i="1"/>
  <c r="C605" i="1"/>
  <c r="D605" i="1"/>
  <c r="E605" i="1"/>
  <c r="A606" i="1"/>
  <c r="B606" i="1"/>
  <c r="C606" i="1"/>
  <c r="D606" i="1"/>
  <c r="E606" i="1"/>
  <c r="A607" i="1"/>
  <c r="B607" i="1"/>
  <c r="C607" i="1"/>
  <c r="D607" i="1"/>
  <c r="E607" i="1"/>
  <c r="A608" i="1"/>
  <c r="B608" i="1"/>
  <c r="C608" i="1"/>
  <c r="D608" i="1"/>
  <c r="E608" i="1"/>
  <c r="A609" i="1"/>
  <c r="B609" i="1"/>
  <c r="C609" i="1"/>
  <c r="D609" i="1"/>
  <c r="E609" i="1"/>
  <c r="A610" i="1"/>
  <c r="B610" i="1"/>
  <c r="C610" i="1"/>
  <c r="D610" i="1"/>
  <c r="E610" i="1"/>
  <c r="A611" i="1"/>
  <c r="B611" i="1"/>
  <c r="C611" i="1"/>
  <c r="D611" i="1"/>
  <c r="E611" i="1"/>
  <c r="A612" i="1"/>
  <c r="B612" i="1"/>
  <c r="C612" i="1"/>
  <c r="D612" i="1"/>
  <c r="E612" i="1"/>
  <c r="A613" i="1"/>
  <c r="B613" i="1"/>
  <c r="C613" i="1"/>
  <c r="D613" i="1"/>
  <c r="E613" i="1"/>
  <c r="A614" i="1"/>
  <c r="B614" i="1"/>
  <c r="C614" i="1"/>
  <c r="D614" i="1"/>
  <c r="E614" i="1"/>
  <c r="A615" i="1"/>
  <c r="B615" i="1"/>
  <c r="C615" i="1"/>
  <c r="D615" i="1"/>
  <c r="E615" i="1"/>
  <c r="A616" i="1"/>
  <c r="B616" i="1"/>
  <c r="C616" i="1"/>
  <c r="D616" i="1"/>
  <c r="E616" i="1"/>
  <c r="A617" i="1"/>
  <c r="B617" i="1"/>
  <c r="C617" i="1"/>
  <c r="D617" i="1"/>
  <c r="E617" i="1"/>
  <c r="A618" i="1"/>
  <c r="B618" i="1"/>
  <c r="C618" i="1"/>
  <c r="D618" i="1"/>
  <c r="E618" i="1"/>
  <c r="A619" i="1"/>
  <c r="B619" i="1"/>
  <c r="C619" i="1"/>
  <c r="D619" i="1"/>
  <c r="E619" i="1"/>
  <c r="A620" i="1"/>
  <c r="B620" i="1"/>
  <c r="C620" i="1"/>
  <c r="D620" i="1"/>
  <c r="E620" i="1"/>
  <c r="A621" i="1"/>
  <c r="B621" i="1"/>
  <c r="C621" i="1"/>
  <c r="D621" i="1"/>
  <c r="E621" i="1"/>
  <c r="A622" i="1"/>
  <c r="B622" i="1"/>
  <c r="C622" i="1"/>
  <c r="D622" i="1"/>
  <c r="E622" i="1"/>
  <c r="A623" i="1"/>
  <c r="B623" i="1"/>
  <c r="C623" i="1"/>
  <c r="D623" i="1"/>
  <c r="E623" i="1"/>
  <c r="A624" i="1"/>
  <c r="B624" i="1"/>
  <c r="C624" i="1"/>
  <c r="D624" i="1"/>
  <c r="E624" i="1"/>
  <c r="A625" i="1"/>
  <c r="B625" i="1"/>
  <c r="C625" i="1"/>
  <c r="D625" i="1"/>
  <c r="E625" i="1"/>
  <c r="A626" i="1"/>
  <c r="B626" i="1"/>
  <c r="C626" i="1"/>
  <c r="D626" i="1"/>
  <c r="E626" i="1"/>
  <c r="A627" i="1"/>
  <c r="B627" i="1"/>
  <c r="C627" i="1"/>
  <c r="D627" i="1"/>
  <c r="E627" i="1"/>
  <c r="A628" i="1"/>
  <c r="B628" i="1"/>
  <c r="C628" i="1"/>
  <c r="D628" i="1"/>
  <c r="E628" i="1"/>
  <c r="A629" i="1"/>
  <c r="B629" i="1"/>
  <c r="C629" i="1"/>
  <c r="D629" i="1"/>
  <c r="E629" i="1"/>
  <c r="A630" i="1"/>
  <c r="B630" i="1"/>
  <c r="C630" i="1"/>
  <c r="D630" i="1"/>
  <c r="E630" i="1"/>
  <c r="A631" i="1"/>
  <c r="B631" i="1"/>
  <c r="C631" i="1"/>
  <c r="D631" i="1"/>
  <c r="E631" i="1"/>
  <c r="A632" i="1"/>
  <c r="B632" i="1"/>
  <c r="C632" i="1"/>
  <c r="D632" i="1"/>
  <c r="E632" i="1"/>
  <c r="A633" i="1"/>
  <c r="B633" i="1"/>
  <c r="C633" i="1"/>
  <c r="D633" i="1"/>
  <c r="E633" i="1"/>
  <c r="A634" i="1"/>
  <c r="B634" i="1"/>
  <c r="C634" i="1"/>
  <c r="D634" i="1"/>
  <c r="E634" i="1"/>
  <c r="A635" i="1"/>
  <c r="B635" i="1"/>
  <c r="C635" i="1"/>
  <c r="D635" i="1"/>
  <c r="E635" i="1"/>
  <c r="A636" i="1"/>
  <c r="B636" i="1"/>
  <c r="C636" i="1"/>
  <c r="D636" i="1"/>
  <c r="E636" i="1"/>
  <c r="A637" i="1"/>
  <c r="B637" i="1"/>
  <c r="C637" i="1"/>
  <c r="D637" i="1"/>
  <c r="E637" i="1"/>
  <c r="A638" i="1"/>
  <c r="B638" i="1"/>
  <c r="C638" i="1"/>
  <c r="D638" i="1"/>
  <c r="E638" i="1"/>
  <c r="A639" i="1"/>
  <c r="B639" i="1"/>
  <c r="C639" i="1"/>
  <c r="D639" i="1"/>
  <c r="E639" i="1"/>
  <c r="A640" i="1"/>
  <c r="B640" i="1"/>
  <c r="C640" i="1"/>
  <c r="D640" i="1"/>
  <c r="E640" i="1"/>
  <c r="A641" i="1"/>
  <c r="B641" i="1"/>
  <c r="C641" i="1"/>
  <c r="D641" i="1"/>
  <c r="E641" i="1"/>
  <c r="A642" i="1"/>
  <c r="B642" i="1"/>
  <c r="C642" i="1"/>
  <c r="D642" i="1"/>
  <c r="E642" i="1"/>
  <c r="A643" i="1"/>
  <c r="B643" i="1"/>
  <c r="C643" i="1"/>
  <c r="D643" i="1"/>
  <c r="E643" i="1"/>
  <c r="A644" i="1"/>
  <c r="B644" i="1"/>
  <c r="C644" i="1"/>
  <c r="D644" i="1"/>
  <c r="E644" i="1"/>
  <c r="A645" i="1"/>
  <c r="B645" i="1"/>
  <c r="C645" i="1"/>
  <c r="D645" i="1"/>
  <c r="E645" i="1"/>
  <c r="A646" i="1"/>
  <c r="B646" i="1"/>
  <c r="C646" i="1"/>
  <c r="D646" i="1"/>
  <c r="E646" i="1"/>
  <c r="A647" i="1"/>
  <c r="B647" i="1"/>
  <c r="C647" i="1"/>
  <c r="D647" i="1"/>
  <c r="E647" i="1"/>
  <c r="A648" i="1"/>
  <c r="B648" i="1"/>
  <c r="C648" i="1"/>
  <c r="D648" i="1"/>
  <c r="E648" i="1"/>
  <c r="A649" i="1"/>
  <c r="B649" i="1"/>
  <c r="C649" i="1"/>
  <c r="D649" i="1"/>
  <c r="E649" i="1"/>
  <c r="A650" i="1"/>
  <c r="B650" i="1"/>
  <c r="C650" i="1"/>
  <c r="D650" i="1"/>
  <c r="E650" i="1"/>
  <c r="A651" i="1"/>
  <c r="B651" i="1"/>
  <c r="C651" i="1"/>
  <c r="D651" i="1"/>
  <c r="E651" i="1"/>
  <c r="A652" i="1"/>
  <c r="B652" i="1"/>
  <c r="C652" i="1"/>
  <c r="D652" i="1"/>
  <c r="E652" i="1"/>
  <c r="A653" i="1"/>
  <c r="B653" i="1"/>
  <c r="C653" i="1"/>
  <c r="D653" i="1"/>
  <c r="E653" i="1"/>
  <c r="A654" i="1"/>
  <c r="B654" i="1"/>
  <c r="C654" i="1"/>
  <c r="D654" i="1"/>
  <c r="E654" i="1"/>
  <c r="A655" i="1"/>
  <c r="B655" i="1"/>
  <c r="C655" i="1"/>
  <c r="D655" i="1"/>
  <c r="E655" i="1"/>
  <c r="A656" i="1"/>
  <c r="B656" i="1"/>
  <c r="C656" i="1"/>
  <c r="D656" i="1"/>
  <c r="E656" i="1"/>
  <c r="A657" i="1"/>
  <c r="B657" i="1"/>
  <c r="C657" i="1"/>
  <c r="D657" i="1"/>
  <c r="E657" i="1"/>
  <c r="A658" i="1"/>
  <c r="B658" i="1"/>
  <c r="C658" i="1"/>
  <c r="D658" i="1"/>
  <c r="E658" i="1"/>
  <c r="A659" i="1"/>
  <c r="B659" i="1"/>
  <c r="C659" i="1"/>
  <c r="D659" i="1"/>
  <c r="E659" i="1"/>
  <c r="A660" i="1"/>
  <c r="B660" i="1"/>
  <c r="C660" i="1"/>
  <c r="D660" i="1"/>
  <c r="E660" i="1"/>
  <c r="A661" i="1"/>
  <c r="B661" i="1"/>
  <c r="C661" i="1"/>
  <c r="D661" i="1"/>
  <c r="E661" i="1"/>
  <c r="A662" i="1"/>
  <c r="B662" i="1"/>
  <c r="C662" i="1"/>
  <c r="D662" i="1"/>
  <c r="E662" i="1"/>
  <c r="A663" i="1"/>
  <c r="B663" i="1"/>
  <c r="C663" i="1"/>
  <c r="D663" i="1"/>
  <c r="E663" i="1"/>
  <c r="A664" i="1"/>
  <c r="B664" i="1"/>
  <c r="C664" i="1"/>
  <c r="D664" i="1"/>
  <c r="E664" i="1"/>
  <c r="A665" i="1"/>
  <c r="B665" i="1"/>
  <c r="C665" i="1"/>
  <c r="D665" i="1"/>
  <c r="E665" i="1"/>
  <c r="A666" i="1"/>
  <c r="B666" i="1"/>
  <c r="C666" i="1"/>
  <c r="D666" i="1"/>
  <c r="E666" i="1"/>
  <c r="A667" i="1"/>
  <c r="B667" i="1"/>
  <c r="C667" i="1"/>
  <c r="D667" i="1"/>
  <c r="E667" i="1"/>
  <c r="A668" i="1"/>
  <c r="B668" i="1"/>
  <c r="C668" i="1"/>
  <c r="D668" i="1"/>
  <c r="E668" i="1"/>
  <c r="A669" i="1"/>
  <c r="B669" i="1"/>
  <c r="C669" i="1"/>
  <c r="D669" i="1"/>
  <c r="E669" i="1"/>
  <c r="A670" i="1"/>
  <c r="B670" i="1"/>
  <c r="C670" i="1"/>
  <c r="D670" i="1"/>
  <c r="E670" i="1"/>
  <c r="A671" i="1"/>
  <c r="B671" i="1"/>
  <c r="C671" i="1"/>
  <c r="D671" i="1"/>
  <c r="E671" i="1"/>
  <c r="A672" i="1"/>
  <c r="B672" i="1"/>
  <c r="C672" i="1"/>
  <c r="D672" i="1"/>
  <c r="E672" i="1"/>
  <c r="A673" i="1"/>
  <c r="B673" i="1"/>
  <c r="C673" i="1"/>
  <c r="D673" i="1"/>
  <c r="E673" i="1"/>
  <c r="A674" i="1"/>
  <c r="B674" i="1"/>
  <c r="C674" i="1"/>
  <c r="D674" i="1"/>
  <c r="E674" i="1"/>
  <c r="A675" i="1"/>
  <c r="B675" i="1"/>
  <c r="C675" i="1"/>
  <c r="D675" i="1"/>
  <c r="E675" i="1"/>
  <c r="A676" i="1"/>
  <c r="B676" i="1"/>
  <c r="C676" i="1"/>
  <c r="D676" i="1"/>
  <c r="E676" i="1"/>
  <c r="A677" i="1"/>
  <c r="B677" i="1"/>
  <c r="C677" i="1"/>
  <c r="D677" i="1"/>
  <c r="E677" i="1"/>
  <c r="A678" i="1"/>
  <c r="B678" i="1"/>
  <c r="C678" i="1"/>
  <c r="D678" i="1"/>
  <c r="E678" i="1"/>
  <c r="A679" i="1"/>
  <c r="B679" i="1"/>
  <c r="C679" i="1"/>
  <c r="D679" i="1"/>
  <c r="E679" i="1"/>
  <c r="A680" i="1"/>
  <c r="B680" i="1"/>
  <c r="C680" i="1"/>
  <c r="D680" i="1"/>
  <c r="E680" i="1"/>
  <c r="A681" i="1"/>
  <c r="B681" i="1"/>
  <c r="C681" i="1"/>
  <c r="D681" i="1"/>
  <c r="E681" i="1"/>
  <c r="A682" i="1"/>
  <c r="B682" i="1"/>
  <c r="C682" i="1"/>
  <c r="D682" i="1"/>
  <c r="E682" i="1"/>
  <c r="A683" i="1"/>
  <c r="B683" i="1"/>
  <c r="C683" i="1"/>
  <c r="D683" i="1"/>
  <c r="E683" i="1"/>
  <c r="A684" i="1"/>
  <c r="B684" i="1"/>
  <c r="C684" i="1"/>
  <c r="D684" i="1"/>
  <c r="E684" i="1"/>
  <c r="A685" i="1"/>
  <c r="B685" i="1"/>
  <c r="C685" i="1"/>
  <c r="D685" i="1"/>
  <c r="E685" i="1"/>
  <c r="A686" i="1"/>
  <c r="B686" i="1"/>
  <c r="C686" i="1"/>
  <c r="D686" i="1"/>
  <c r="E686" i="1"/>
  <c r="A687" i="1"/>
  <c r="B687" i="1"/>
  <c r="C687" i="1"/>
  <c r="D687" i="1"/>
  <c r="E687" i="1"/>
  <c r="A688" i="1"/>
  <c r="B688" i="1"/>
  <c r="C688" i="1"/>
  <c r="D688" i="1"/>
  <c r="E688" i="1"/>
  <c r="A689" i="1"/>
  <c r="B689" i="1"/>
  <c r="C689" i="1"/>
  <c r="D689" i="1"/>
  <c r="E689" i="1"/>
  <c r="A690" i="1"/>
  <c r="B690" i="1"/>
  <c r="C690" i="1"/>
  <c r="D690" i="1"/>
  <c r="E690" i="1"/>
  <c r="A691" i="1"/>
  <c r="B691" i="1"/>
  <c r="C691" i="1"/>
  <c r="D691" i="1"/>
  <c r="E691" i="1"/>
  <c r="A692" i="1"/>
  <c r="B692" i="1"/>
  <c r="C692" i="1"/>
  <c r="D692" i="1"/>
  <c r="E692" i="1"/>
  <c r="A693" i="1"/>
  <c r="B693" i="1"/>
  <c r="C693" i="1"/>
  <c r="D693" i="1"/>
  <c r="E693" i="1"/>
  <c r="A694" i="1"/>
  <c r="B694" i="1"/>
  <c r="C694" i="1"/>
  <c r="D694" i="1"/>
  <c r="E694" i="1"/>
  <c r="A695" i="1"/>
  <c r="B695" i="1"/>
  <c r="C695" i="1"/>
  <c r="D695" i="1"/>
  <c r="E695" i="1"/>
  <c r="A696" i="1"/>
  <c r="B696" i="1"/>
  <c r="C696" i="1"/>
  <c r="D696" i="1"/>
  <c r="E696" i="1"/>
  <c r="A697" i="1"/>
  <c r="B697" i="1"/>
  <c r="C697" i="1"/>
  <c r="D697" i="1"/>
  <c r="E697" i="1"/>
  <c r="A698" i="1"/>
  <c r="B698" i="1"/>
  <c r="C698" i="1"/>
  <c r="D698" i="1"/>
  <c r="E698" i="1"/>
  <c r="A699" i="1"/>
  <c r="B699" i="1"/>
  <c r="C699" i="1"/>
  <c r="D699" i="1"/>
  <c r="E699" i="1"/>
  <c r="A700" i="1"/>
  <c r="B700" i="1"/>
  <c r="C700" i="1"/>
  <c r="D700" i="1"/>
  <c r="E700" i="1"/>
  <c r="A701" i="1"/>
  <c r="B701" i="1"/>
  <c r="C701" i="1"/>
  <c r="D701" i="1"/>
  <c r="E701" i="1"/>
  <c r="A702" i="1"/>
  <c r="B702" i="1"/>
  <c r="C702" i="1"/>
  <c r="D702" i="1"/>
  <c r="E702" i="1"/>
  <c r="A703" i="1"/>
  <c r="B703" i="1"/>
  <c r="C703" i="1"/>
  <c r="D703" i="1"/>
  <c r="E703" i="1"/>
  <c r="A704" i="1"/>
  <c r="B704" i="1"/>
  <c r="C704" i="1"/>
  <c r="D704" i="1"/>
  <c r="E704" i="1"/>
  <c r="A705" i="1"/>
  <c r="B705" i="1"/>
  <c r="C705" i="1"/>
  <c r="D705" i="1"/>
  <c r="E705" i="1"/>
  <c r="A706" i="1"/>
  <c r="B706" i="1"/>
  <c r="C706" i="1"/>
  <c r="D706" i="1"/>
  <c r="E706" i="1"/>
  <c r="A707" i="1"/>
  <c r="B707" i="1"/>
  <c r="C707" i="1"/>
  <c r="D707" i="1"/>
  <c r="E707" i="1"/>
  <c r="A708" i="1"/>
  <c r="B708" i="1"/>
  <c r="C708" i="1"/>
  <c r="D708" i="1"/>
  <c r="E708" i="1"/>
  <c r="A709" i="1"/>
  <c r="B709" i="1"/>
  <c r="C709" i="1"/>
  <c r="D709" i="1"/>
  <c r="E709" i="1"/>
  <c r="A710" i="1"/>
  <c r="B710" i="1"/>
  <c r="C710" i="1"/>
  <c r="D710" i="1"/>
  <c r="E710" i="1"/>
  <c r="A711" i="1"/>
  <c r="B711" i="1"/>
  <c r="C711" i="1"/>
  <c r="D711" i="1"/>
  <c r="E711" i="1"/>
  <c r="A712" i="1"/>
  <c r="B712" i="1"/>
  <c r="C712" i="1"/>
  <c r="D712" i="1"/>
  <c r="E712" i="1"/>
  <c r="A713" i="1"/>
  <c r="B713" i="1"/>
  <c r="C713" i="1"/>
  <c r="D713" i="1"/>
  <c r="E713" i="1"/>
  <c r="A714" i="1"/>
  <c r="B714" i="1"/>
  <c r="C714" i="1"/>
  <c r="D714" i="1"/>
  <c r="E714" i="1"/>
  <c r="A715" i="1"/>
  <c r="B715" i="1"/>
  <c r="C715" i="1"/>
  <c r="D715" i="1"/>
  <c r="E715" i="1"/>
  <c r="A716" i="1"/>
  <c r="B716" i="1"/>
  <c r="C716" i="1"/>
  <c r="D716" i="1"/>
  <c r="E716" i="1"/>
  <c r="A717" i="1"/>
  <c r="B717" i="1"/>
  <c r="C717" i="1"/>
  <c r="D717" i="1"/>
  <c r="E717" i="1"/>
  <c r="A718" i="1"/>
  <c r="B718" i="1"/>
  <c r="C718" i="1"/>
  <c r="D718" i="1"/>
  <c r="E718" i="1"/>
  <c r="A719" i="1"/>
  <c r="B719" i="1"/>
  <c r="C719" i="1"/>
  <c r="D719" i="1"/>
  <c r="E719" i="1"/>
  <c r="A720" i="1"/>
  <c r="B720" i="1"/>
  <c r="C720" i="1"/>
  <c r="D720" i="1"/>
  <c r="E720" i="1"/>
  <c r="A721" i="1"/>
  <c r="B721" i="1"/>
  <c r="C721" i="1"/>
  <c r="D721" i="1"/>
  <c r="E721" i="1"/>
  <c r="A722" i="1"/>
  <c r="B722" i="1"/>
  <c r="C722" i="1"/>
  <c r="D722" i="1"/>
  <c r="E722" i="1"/>
  <c r="A723" i="1"/>
  <c r="B723" i="1"/>
  <c r="C723" i="1"/>
  <c r="D723" i="1"/>
  <c r="E723" i="1"/>
  <c r="A724" i="1"/>
  <c r="B724" i="1"/>
  <c r="C724" i="1"/>
  <c r="D724" i="1"/>
  <c r="E724" i="1"/>
  <c r="A725" i="1"/>
  <c r="B725" i="1"/>
  <c r="C725" i="1"/>
  <c r="D725" i="1"/>
  <c r="E725" i="1"/>
  <c r="A726" i="1"/>
  <c r="B726" i="1"/>
  <c r="C726" i="1"/>
  <c r="D726" i="1"/>
  <c r="E726" i="1"/>
  <c r="A727" i="1"/>
  <c r="B727" i="1"/>
  <c r="C727" i="1"/>
  <c r="D727" i="1"/>
  <c r="E727" i="1"/>
  <c r="A728" i="1"/>
  <c r="B728" i="1"/>
  <c r="C728" i="1"/>
  <c r="D728" i="1"/>
  <c r="E728" i="1"/>
  <c r="A729" i="1"/>
  <c r="B729" i="1"/>
  <c r="C729" i="1"/>
  <c r="D729" i="1"/>
  <c r="E729" i="1"/>
  <c r="A730" i="1"/>
  <c r="B730" i="1"/>
  <c r="C730" i="1"/>
  <c r="D730" i="1"/>
  <c r="E730" i="1"/>
  <c r="A731" i="1"/>
  <c r="B731" i="1"/>
  <c r="C731" i="1"/>
  <c r="D731" i="1"/>
  <c r="E731" i="1"/>
  <c r="A732" i="1"/>
  <c r="B732" i="1"/>
  <c r="C732" i="1"/>
  <c r="D732" i="1"/>
  <c r="E732" i="1"/>
  <c r="A733" i="1"/>
  <c r="B733" i="1"/>
  <c r="C733" i="1"/>
  <c r="D733" i="1"/>
  <c r="E733" i="1"/>
  <c r="A734" i="1"/>
  <c r="B734" i="1"/>
  <c r="C734" i="1"/>
  <c r="D734" i="1"/>
  <c r="E734" i="1"/>
  <c r="A735" i="1"/>
  <c r="B735" i="1"/>
  <c r="C735" i="1"/>
  <c r="D735" i="1"/>
  <c r="E735" i="1"/>
  <c r="A736" i="1"/>
  <c r="B736" i="1"/>
  <c r="C736" i="1"/>
  <c r="D736" i="1"/>
  <c r="E736" i="1"/>
  <c r="A737" i="1"/>
  <c r="B737" i="1"/>
  <c r="C737" i="1"/>
  <c r="D737" i="1"/>
  <c r="E737" i="1"/>
  <c r="A738" i="1"/>
  <c r="B738" i="1"/>
  <c r="C738" i="1"/>
  <c r="D738" i="1"/>
  <c r="E738" i="1"/>
  <c r="A739" i="1"/>
  <c r="B739" i="1"/>
  <c r="C739" i="1"/>
  <c r="D739" i="1"/>
  <c r="E739" i="1"/>
  <c r="A740" i="1"/>
  <c r="B740" i="1"/>
  <c r="C740" i="1"/>
  <c r="D740" i="1"/>
  <c r="E740" i="1"/>
  <c r="A741" i="1"/>
  <c r="B741" i="1"/>
  <c r="C741" i="1"/>
  <c r="D741" i="1"/>
  <c r="E741" i="1"/>
  <c r="A742" i="1"/>
  <c r="B742" i="1"/>
  <c r="C742" i="1"/>
  <c r="D742" i="1"/>
  <c r="E742" i="1"/>
  <c r="A743" i="1"/>
  <c r="B743" i="1"/>
  <c r="C743" i="1"/>
  <c r="D743" i="1"/>
  <c r="E743" i="1"/>
  <c r="A744" i="1"/>
  <c r="B744" i="1"/>
  <c r="C744" i="1"/>
  <c r="D744" i="1"/>
  <c r="E744" i="1"/>
  <c r="A745" i="1"/>
  <c r="B745" i="1"/>
  <c r="C745" i="1"/>
  <c r="D745" i="1"/>
  <c r="E745" i="1"/>
  <c r="A746" i="1"/>
  <c r="B746" i="1"/>
  <c r="C746" i="1"/>
  <c r="D746" i="1"/>
  <c r="E746" i="1"/>
  <c r="A747" i="1"/>
  <c r="B747" i="1"/>
  <c r="C747" i="1"/>
  <c r="D747" i="1"/>
  <c r="E747" i="1"/>
  <c r="A748" i="1"/>
  <c r="B748" i="1"/>
  <c r="C748" i="1"/>
  <c r="D748" i="1"/>
  <c r="E748" i="1"/>
  <c r="A749" i="1"/>
  <c r="B749" i="1"/>
  <c r="C749" i="1"/>
  <c r="D749" i="1"/>
  <c r="E749" i="1"/>
  <c r="A750" i="1"/>
  <c r="B750" i="1"/>
  <c r="C750" i="1"/>
  <c r="D750" i="1"/>
  <c r="E750" i="1"/>
  <c r="A751" i="1"/>
  <c r="B751" i="1"/>
  <c r="C751" i="1"/>
  <c r="D751" i="1"/>
  <c r="E751" i="1"/>
  <c r="A752" i="1"/>
  <c r="B752" i="1"/>
  <c r="C752" i="1"/>
  <c r="D752" i="1"/>
  <c r="E752" i="1"/>
  <c r="A753" i="1"/>
  <c r="B753" i="1"/>
  <c r="C753" i="1"/>
  <c r="D753" i="1"/>
  <c r="E753" i="1"/>
  <c r="A754" i="1"/>
  <c r="B754" i="1"/>
  <c r="C754" i="1"/>
  <c r="D754" i="1"/>
  <c r="E754" i="1"/>
  <c r="A755" i="1"/>
  <c r="B755" i="1"/>
  <c r="C755" i="1"/>
  <c r="D755" i="1"/>
  <c r="E755" i="1"/>
  <c r="A756" i="1"/>
  <c r="B756" i="1"/>
  <c r="C756" i="1"/>
  <c r="D756" i="1"/>
  <c r="E756" i="1"/>
  <c r="A757" i="1"/>
  <c r="B757" i="1"/>
  <c r="C757" i="1"/>
  <c r="D757" i="1"/>
  <c r="E757" i="1"/>
  <c r="A758" i="1"/>
  <c r="B758" i="1"/>
  <c r="C758" i="1"/>
  <c r="D758" i="1"/>
  <c r="E758" i="1"/>
  <c r="A759" i="1"/>
  <c r="B759" i="1"/>
  <c r="C759" i="1"/>
  <c r="D759" i="1"/>
  <c r="E759" i="1"/>
  <c r="A760" i="1"/>
  <c r="B760" i="1"/>
  <c r="C760" i="1"/>
  <c r="D760" i="1"/>
  <c r="E760" i="1"/>
  <c r="A761" i="1"/>
  <c r="B761" i="1"/>
  <c r="C761" i="1"/>
  <c r="D761" i="1"/>
  <c r="E761" i="1"/>
  <c r="A762" i="1"/>
  <c r="B762" i="1"/>
  <c r="C762" i="1"/>
  <c r="D762" i="1"/>
  <c r="E762" i="1"/>
  <c r="A763" i="1"/>
  <c r="B763" i="1"/>
  <c r="C763" i="1"/>
  <c r="D763" i="1"/>
  <c r="E763" i="1"/>
  <c r="A764" i="1"/>
  <c r="B764" i="1"/>
  <c r="C764" i="1"/>
  <c r="D764" i="1"/>
  <c r="E764" i="1"/>
  <c r="A765" i="1"/>
  <c r="B765" i="1"/>
  <c r="C765" i="1"/>
  <c r="D765" i="1"/>
  <c r="E765" i="1"/>
  <c r="A766" i="1"/>
  <c r="B766" i="1"/>
  <c r="C766" i="1"/>
  <c r="D766" i="1"/>
  <c r="E766" i="1"/>
  <c r="A767" i="1"/>
  <c r="B767" i="1"/>
  <c r="C767" i="1"/>
  <c r="D767" i="1"/>
  <c r="E767" i="1"/>
  <c r="A768" i="1"/>
  <c r="B768" i="1"/>
  <c r="C768" i="1"/>
  <c r="D768" i="1"/>
  <c r="E768" i="1"/>
  <c r="A769" i="1"/>
  <c r="B769" i="1"/>
  <c r="C769" i="1"/>
  <c r="D769" i="1"/>
  <c r="E769" i="1"/>
  <c r="A770" i="1"/>
  <c r="B770" i="1"/>
  <c r="C770" i="1"/>
  <c r="D770" i="1"/>
  <c r="E770" i="1"/>
  <c r="A771" i="1"/>
  <c r="B771" i="1"/>
  <c r="C771" i="1"/>
  <c r="D771" i="1"/>
  <c r="E771" i="1"/>
  <c r="A772" i="1"/>
  <c r="B772" i="1"/>
  <c r="C772" i="1"/>
  <c r="D772" i="1"/>
  <c r="E772" i="1"/>
  <c r="A773" i="1"/>
  <c r="B773" i="1"/>
  <c r="C773" i="1"/>
  <c r="D773" i="1"/>
  <c r="E773" i="1"/>
  <c r="A774" i="1"/>
  <c r="B774" i="1"/>
  <c r="C774" i="1"/>
  <c r="D774" i="1"/>
  <c r="E774" i="1"/>
  <c r="A775" i="1"/>
  <c r="B775" i="1"/>
  <c r="C775" i="1"/>
  <c r="D775" i="1"/>
  <c r="E775" i="1"/>
  <c r="A776" i="1"/>
  <c r="B776" i="1"/>
  <c r="C776" i="1"/>
  <c r="D776" i="1"/>
  <c r="E776" i="1"/>
  <c r="A777" i="1"/>
  <c r="B777" i="1"/>
  <c r="C777" i="1"/>
  <c r="D777" i="1"/>
  <c r="E777" i="1"/>
  <c r="A778" i="1"/>
  <c r="B778" i="1"/>
  <c r="C778" i="1"/>
  <c r="D778" i="1"/>
  <c r="E778" i="1"/>
  <c r="A779" i="1"/>
  <c r="B779" i="1"/>
  <c r="C779" i="1"/>
  <c r="D779" i="1"/>
  <c r="E779" i="1"/>
  <c r="A780" i="1"/>
  <c r="B780" i="1"/>
  <c r="C780" i="1"/>
  <c r="D780" i="1"/>
  <c r="E780" i="1"/>
  <c r="A781" i="1"/>
  <c r="B781" i="1"/>
  <c r="C781" i="1"/>
  <c r="D781" i="1"/>
  <c r="E781" i="1"/>
  <c r="A782" i="1"/>
  <c r="B782" i="1"/>
  <c r="C782" i="1"/>
  <c r="D782" i="1"/>
  <c r="E782" i="1"/>
  <c r="A783" i="1"/>
  <c r="B783" i="1"/>
  <c r="C783" i="1"/>
  <c r="D783" i="1"/>
  <c r="E783" i="1"/>
  <c r="A784" i="1"/>
  <c r="B784" i="1"/>
  <c r="C784" i="1"/>
  <c r="D784" i="1"/>
  <c r="E784" i="1"/>
  <c r="A785" i="1"/>
  <c r="B785" i="1"/>
  <c r="C785" i="1"/>
  <c r="D785" i="1"/>
  <c r="E785" i="1"/>
  <c r="A786" i="1"/>
  <c r="B786" i="1"/>
  <c r="C786" i="1"/>
  <c r="D786" i="1"/>
  <c r="E786" i="1"/>
  <c r="A787" i="1"/>
  <c r="B787" i="1"/>
  <c r="C787" i="1"/>
  <c r="D787" i="1"/>
  <c r="E787" i="1"/>
  <c r="A788" i="1"/>
  <c r="B788" i="1"/>
  <c r="C788" i="1"/>
  <c r="D788" i="1"/>
  <c r="E788" i="1"/>
  <c r="A789" i="1"/>
  <c r="B789" i="1"/>
  <c r="C789" i="1"/>
  <c r="D789" i="1"/>
  <c r="E789" i="1"/>
  <c r="A790" i="1"/>
  <c r="B790" i="1"/>
  <c r="C790" i="1"/>
  <c r="D790" i="1"/>
  <c r="E790" i="1"/>
  <c r="A791" i="1"/>
  <c r="B791" i="1"/>
  <c r="C791" i="1"/>
  <c r="D791" i="1"/>
  <c r="E791" i="1"/>
  <c r="A792" i="1"/>
  <c r="B792" i="1"/>
  <c r="C792" i="1"/>
  <c r="D792" i="1"/>
  <c r="E792" i="1"/>
  <c r="A793" i="1"/>
  <c r="B793" i="1"/>
  <c r="C793" i="1"/>
  <c r="D793" i="1"/>
  <c r="E793" i="1"/>
  <c r="A794" i="1"/>
  <c r="B794" i="1"/>
  <c r="C794" i="1"/>
  <c r="D794" i="1"/>
  <c r="E794" i="1"/>
  <c r="A795" i="1"/>
  <c r="B795" i="1"/>
  <c r="C795" i="1"/>
  <c r="D795" i="1"/>
  <c r="E795" i="1"/>
  <c r="A796" i="1"/>
  <c r="B796" i="1"/>
  <c r="C796" i="1"/>
  <c r="D796" i="1"/>
  <c r="E796" i="1"/>
  <c r="A797" i="1"/>
  <c r="B797" i="1"/>
  <c r="C797" i="1"/>
  <c r="D797" i="1"/>
  <c r="E797" i="1"/>
  <c r="A798" i="1"/>
  <c r="B798" i="1"/>
  <c r="C798" i="1"/>
  <c r="D798" i="1"/>
  <c r="E798" i="1"/>
  <c r="A799" i="1"/>
  <c r="B799" i="1"/>
  <c r="C799" i="1"/>
  <c r="D799" i="1"/>
  <c r="E799" i="1"/>
  <c r="A800" i="1"/>
  <c r="B800" i="1"/>
  <c r="C800" i="1"/>
  <c r="D800" i="1"/>
  <c r="E800" i="1"/>
  <c r="A801" i="1"/>
  <c r="B801" i="1"/>
  <c r="C801" i="1"/>
  <c r="D801" i="1"/>
  <c r="E801" i="1"/>
  <c r="A802" i="1"/>
  <c r="B802" i="1"/>
  <c r="C802" i="1"/>
  <c r="D802" i="1"/>
  <c r="E802" i="1"/>
  <c r="A803" i="1"/>
  <c r="B803" i="1"/>
  <c r="C803" i="1"/>
  <c r="D803" i="1"/>
  <c r="E803" i="1"/>
  <c r="A804" i="1"/>
  <c r="B804" i="1"/>
  <c r="C804" i="1"/>
  <c r="D804" i="1"/>
  <c r="E804" i="1"/>
  <c r="A805" i="1"/>
  <c r="B805" i="1"/>
  <c r="C805" i="1"/>
  <c r="D805" i="1"/>
  <c r="E805" i="1"/>
  <c r="A806" i="1"/>
  <c r="B806" i="1"/>
  <c r="C806" i="1"/>
  <c r="D806" i="1"/>
  <c r="E806" i="1"/>
  <c r="A807" i="1"/>
  <c r="B807" i="1"/>
  <c r="C807" i="1"/>
  <c r="D807" i="1"/>
  <c r="E807" i="1"/>
  <c r="A808" i="1"/>
  <c r="B808" i="1"/>
  <c r="C808" i="1"/>
  <c r="D808" i="1"/>
  <c r="E808" i="1"/>
  <c r="A809" i="1"/>
  <c r="B809" i="1"/>
  <c r="C809" i="1"/>
  <c r="D809" i="1"/>
  <c r="E809" i="1"/>
  <c r="A810" i="1"/>
  <c r="B810" i="1"/>
  <c r="C810" i="1"/>
  <c r="D810" i="1"/>
  <c r="E810" i="1"/>
  <c r="A811" i="1"/>
  <c r="B811" i="1"/>
  <c r="C811" i="1"/>
  <c r="D811" i="1"/>
  <c r="E811" i="1"/>
  <c r="A812" i="1"/>
  <c r="B812" i="1"/>
  <c r="C812" i="1"/>
  <c r="D812" i="1"/>
  <c r="E812" i="1"/>
  <c r="A813" i="1"/>
  <c r="B813" i="1"/>
  <c r="C813" i="1"/>
  <c r="D813" i="1"/>
  <c r="E813" i="1"/>
  <c r="A814" i="1"/>
  <c r="B814" i="1"/>
  <c r="C814" i="1"/>
  <c r="D814" i="1"/>
  <c r="E814" i="1"/>
  <c r="A815" i="1"/>
  <c r="B815" i="1"/>
  <c r="C815" i="1"/>
  <c r="D815" i="1"/>
  <c r="E815" i="1"/>
  <c r="A816" i="1"/>
  <c r="B816" i="1"/>
  <c r="C816" i="1"/>
  <c r="D816" i="1"/>
  <c r="E816" i="1"/>
  <c r="A817" i="1"/>
  <c r="B817" i="1"/>
  <c r="C817" i="1"/>
  <c r="D817" i="1"/>
  <c r="E817" i="1"/>
  <c r="A818" i="1"/>
  <c r="B818" i="1"/>
  <c r="C818" i="1"/>
  <c r="D818" i="1"/>
  <c r="E818" i="1"/>
  <c r="A819" i="1"/>
  <c r="B819" i="1"/>
  <c r="C819" i="1"/>
  <c r="D819" i="1"/>
  <c r="E819" i="1"/>
  <c r="A820" i="1"/>
  <c r="B820" i="1"/>
  <c r="C820" i="1"/>
  <c r="D820" i="1"/>
  <c r="E820" i="1"/>
  <c r="A821" i="1"/>
  <c r="B821" i="1"/>
  <c r="C821" i="1"/>
  <c r="D821" i="1"/>
  <c r="E821" i="1"/>
  <c r="A822" i="1"/>
  <c r="B822" i="1"/>
  <c r="C822" i="1"/>
  <c r="D822" i="1"/>
  <c r="E822" i="1"/>
  <c r="A823" i="1"/>
  <c r="B823" i="1"/>
  <c r="C823" i="1"/>
  <c r="D823" i="1"/>
  <c r="E823" i="1"/>
  <c r="A824" i="1"/>
  <c r="B824" i="1"/>
  <c r="C824" i="1"/>
  <c r="D824" i="1"/>
  <c r="E824" i="1"/>
  <c r="A825" i="1"/>
  <c r="B825" i="1"/>
  <c r="C825" i="1"/>
  <c r="D825" i="1"/>
  <c r="E825" i="1"/>
  <c r="A826" i="1"/>
  <c r="B826" i="1"/>
  <c r="C826" i="1"/>
  <c r="D826" i="1"/>
  <c r="E826" i="1"/>
  <c r="A827" i="1"/>
  <c r="B827" i="1"/>
  <c r="C827" i="1"/>
  <c r="D827" i="1"/>
  <c r="E827" i="1"/>
  <c r="A828" i="1"/>
  <c r="B828" i="1"/>
  <c r="C828" i="1"/>
  <c r="D828" i="1"/>
  <c r="E828" i="1"/>
  <c r="A829" i="1"/>
  <c r="B829" i="1"/>
  <c r="C829" i="1"/>
  <c r="D829" i="1"/>
  <c r="E829" i="1"/>
  <c r="A830" i="1"/>
  <c r="B830" i="1"/>
  <c r="C830" i="1"/>
  <c r="D830" i="1"/>
  <c r="E830" i="1"/>
  <c r="A831" i="1"/>
  <c r="B831" i="1"/>
  <c r="C831" i="1"/>
  <c r="D831" i="1"/>
  <c r="E831" i="1"/>
  <c r="A832" i="1"/>
  <c r="B832" i="1"/>
  <c r="C832" i="1"/>
  <c r="D832" i="1"/>
  <c r="E832" i="1"/>
  <c r="A833" i="1"/>
  <c r="B833" i="1"/>
  <c r="C833" i="1"/>
  <c r="D833" i="1"/>
  <c r="E833" i="1"/>
  <c r="A834" i="1"/>
  <c r="B834" i="1"/>
  <c r="C834" i="1"/>
  <c r="D834" i="1"/>
  <c r="E834" i="1"/>
  <c r="A835" i="1"/>
  <c r="B835" i="1"/>
  <c r="C835" i="1"/>
  <c r="D835" i="1"/>
  <c r="E835" i="1"/>
  <c r="A836" i="1"/>
  <c r="B836" i="1"/>
  <c r="C836" i="1"/>
  <c r="D836" i="1"/>
  <c r="E836" i="1"/>
  <c r="A837" i="1"/>
  <c r="B837" i="1"/>
  <c r="C837" i="1"/>
  <c r="D837" i="1"/>
  <c r="E837" i="1"/>
  <c r="A838" i="1"/>
  <c r="B838" i="1"/>
  <c r="C838" i="1"/>
  <c r="D838" i="1"/>
  <c r="E838" i="1"/>
  <c r="A839" i="1"/>
  <c r="B839" i="1"/>
  <c r="C839" i="1"/>
  <c r="D839" i="1"/>
  <c r="E839" i="1"/>
  <c r="A840" i="1"/>
  <c r="B840" i="1"/>
  <c r="C840" i="1"/>
  <c r="D840" i="1"/>
  <c r="E840" i="1"/>
  <c r="A841" i="1"/>
  <c r="B841" i="1"/>
  <c r="C841" i="1"/>
  <c r="D841" i="1"/>
  <c r="E841" i="1"/>
  <c r="A842" i="1"/>
  <c r="B842" i="1"/>
  <c r="C842" i="1"/>
  <c r="D842" i="1"/>
  <c r="E842" i="1"/>
  <c r="A843" i="1"/>
  <c r="B843" i="1"/>
  <c r="C843" i="1"/>
  <c r="D843" i="1"/>
  <c r="E843" i="1"/>
  <c r="A844" i="1"/>
  <c r="B844" i="1"/>
  <c r="C844" i="1"/>
  <c r="D844" i="1"/>
  <c r="E844" i="1"/>
  <c r="A845" i="1"/>
  <c r="B845" i="1"/>
  <c r="C845" i="1"/>
  <c r="D845" i="1"/>
  <c r="E845" i="1"/>
  <c r="A846" i="1"/>
  <c r="B846" i="1"/>
  <c r="C846" i="1"/>
  <c r="D846" i="1"/>
  <c r="E846" i="1"/>
  <c r="A847" i="1"/>
  <c r="B847" i="1"/>
  <c r="C847" i="1"/>
  <c r="D847" i="1"/>
  <c r="E847" i="1"/>
  <c r="A848" i="1"/>
  <c r="B848" i="1"/>
  <c r="C848" i="1"/>
  <c r="D848" i="1"/>
  <c r="E848" i="1"/>
  <c r="A849" i="1"/>
  <c r="B849" i="1"/>
  <c r="C849" i="1"/>
  <c r="D849" i="1"/>
  <c r="E849" i="1"/>
  <c r="A850" i="1"/>
  <c r="B850" i="1"/>
  <c r="C850" i="1"/>
  <c r="D850" i="1"/>
  <c r="E850" i="1"/>
  <c r="A851" i="1"/>
  <c r="B851" i="1"/>
  <c r="C851" i="1"/>
  <c r="D851" i="1"/>
  <c r="E851" i="1"/>
  <c r="A852" i="1"/>
  <c r="B852" i="1"/>
  <c r="C852" i="1"/>
  <c r="D852" i="1"/>
  <c r="E852" i="1"/>
  <c r="A853" i="1"/>
  <c r="B853" i="1"/>
  <c r="C853" i="1"/>
  <c r="D853" i="1"/>
  <c r="E853" i="1"/>
  <c r="A854" i="1"/>
  <c r="B854" i="1"/>
  <c r="C854" i="1"/>
  <c r="D854" i="1"/>
  <c r="E854" i="1"/>
  <c r="A855" i="1"/>
  <c r="B855" i="1"/>
  <c r="C855" i="1"/>
  <c r="D855" i="1"/>
  <c r="E855" i="1"/>
  <c r="A856" i="1"/>
  <c r="B856" i="1"/>
  <c r="C856" i="1"/>
  <c r="D856" i="1"/>
  <c r="E856" i="1"/>
  <c r="A857" i="1"/>
  <c r="B857" i="1"/>
  <c r="C857" i="1"/>
  <c r="D857" i="1"/>
  <c r="E857" i="1"/>
  <c r="A858" i="1"/>
  <c r="B858" i="1"/>
  <c r="C858" i="1"/>
  <c r="D858" i="1"/>
  <c r="E858" i="1"/>
  <c r="A859" i="1"/>
  <c r="B859" i="1"/>
  <c r="C859" i="1"/>
  <c r="D859" i="1"/>
  <c r="E859" i="1"/>
  <c r="A860" i="1"/>
  <c r="B860" i="1"/>
  <c r="C860" i="1"/>
  <c r="D860" i="1"/>
  <c r="E860" i="1"/>
  <c r="A861" i="1"/>
  <c r="B861" i="1"/>
  <c r="C861" i="1"/>
  <c r="D861" i="1"/>
  <c r="E861" i="1"/>
  <c r="A862" i="1"/>
  <c r="B862" i="1"/>
  <c r="C862" i="1"/>
  <c r="D862" i="1"/>
  <c r="E862" i="1"/>
  <c r="A863" i="1"/>
  <c r="B863" i="1"/>
  <c r="C863" i="1"/>
  <c r="D863" i="1"/>
  <c r="E863" i="1"/>
  <c r="A864" i="1"/>
  <c r="B864" i="1"/>
  <c r="C864" i="1"/>
  <c r="D864" i="1"/>
  <c r="E864" i="1"/>
  <c r="A865" i="1"/>
  <c r="B865" i="1"/>
  <c r="C865" i="1"/>
  <c r="D865" i="1"/>
  <c r="E865" i="1"/>
  <c r="A866" i="1"/>
  <c r="B866" i="1"/>
  <c r="C866" i="1"/>
  <c r="D866" i="1"/>
  <c r="E866" i="1"/>
  <c r="A867" i="1"/>
  <c r="B867" i="1"/>
  <c r="C867" i="1"/>
  <c r="D867" i="1"/>
  <c r="E867" i="1"/>
  <c r="A868" i="1"/>
  <c r="B868" i="1"/>
  <c r="C868" i="1"/>
  <c r="D868" i="1"/>
  <c r="E868" i="1"/>
  <c r="A869" i="1"/>
  <c r="B869" i="1"/>
  <c r="C869" i="1"/>
  <c r="D869" i="1"/>
  <c r="E869" i="1"/>
  <c r="A870" i="1"/>
  <c r="B870" i="1"/>
  <c r="C870" i="1"/>
  <c r="D870" i="1"/>
  <c r="E870" i="1"/>
  <c r="A871" i="1"/>
  <c r="B871" i="1"/>
  <c r="C871" i="1"/>
  <c r="D871" i="1"/>
  <c r="E871" i="1"/>
  <c r="A872" i="1"/>
  <c r="B872" i="1"/>
  <c r="C872" i="1"/>
  <c r="D872" i="1"/>
  <c r="E872" i="1"/>
  <c r="A873" i="1"/>
  <c r="B873" i="1"/>
  <c r="C873" i="1"/>
  <c r="D873" i="1"/>
  <c r="E873" i="1"/>
  <c r="A874" i="1"/>
  <c r="B874" i="1"/>
  <c r="C874" i="1"/>
  <c r="D874" i="1"/>
  <c r="E874" i="1"/>
  <c r="A875" i="1"/>
  <c r="B875" i="1"/>
  <c r="C875" i="1"/>
  <c r="D875" i="1"/>
  <c r="E875" i="1"/>
  <c r="A876" i="1"/>
  <c r="B876" i="1"/>
  <c r="C876" i="1"/>
  <c r="D876" i="1"/>
  <c r="E876" i="1"/>
  <c r="A877" i="1"/>
  <c r="B877" i="1"/>
  <c r="C877" i="1"/>
  <c r="D877" i="1"/>
  <c r="E877" i="1"/>
  <c r="A878" i="1"/>
  <c r="B878" i="1"/>
  <c r="C878" i="1"/>
  <c r="D878" i="1"/>
  <c r="E878" i="1"/>
  <c r="A879" i="1"/>
  <c r="B879" i="1"/>
  <c r="C879" i="1"/>
  <c r="D879" i="1"/>
  <c r="E879" i="1"/>
  <c r="A880" i="1"/>
  <c r="B880" i="1"/>
  <c r="C880" i="1"/>
  <c r="D880" i="1"/>
  <c r="E880" i="1"/>
  <c r="A881" i="1"/>
  <c r="B881" i="1"/>
  <c r="C881" i="1"/>
  <c r="D881" i="1"/>
  <c r="E881" i="1"/>
  <c r="A882" i="1"/>
  <c r="B882" i="1"/>
  <c r="C882" i="1"/>
  <c r="D882" i="1"/>
  <c r="E882" i="1"/>
  <c r="A883" i="1"/>
  <c r="B883" i="1"/>
  <c r="C883" i="1"/>
  <c r="D883" i="1"/>
  <c r="E883" i="1"/>
  <c r="A884" i="1"/>
  <c r="B884" i="1"/>
  <c r="C884" i="1"/>
  <c r="D884" i="1"/>
  <c r="E884" i="1"/>
  <c r="A885" i="1"/>
  <c r="B885" i="1"/>
  <c r="C885" i="1"/>
  <c r="D885" i="1"/>
  <c r="E885" i="1"/>
  <c r="A886" i="1"/>
  <c r="B886" i="1"/>
  <c r="C886" i="1"/>
  <c r="D886" i="1"/>
  <c r="E886" i="1"/>
  <c r="A887" i="1"/>
  <c r="B887" i="1"/>
  <c r="C887" i="1"/>
  <c r="D887" i="1"/>
  <c r="E887" i="1"/>
  <c r="A888" i="1"/>
  <c r="B888" i="1"/>
  <c r="C888" i="1"/>
  <c r="D888" i="1"/>
  <c r="E888" i="1"/>
  <c r="A889" i="1"/>
  <c r="B889" i="1"/>
  <c r="C889" i="1"/>
  <c r="D889" i="1"/>
  <c r="E889" i="1"/>
  <c r="A890" i="1"/>
  <c r="B890" i="1"/>
  <c r="C890" i="1"/>
  <c r="D890" i="1"/>
  <c r="E890" i="1"/>
  <c r="A891" i="1"/>
  <c r="B891" i="1"/>
  <c r="C891" i="1"/>
  <c r="D891" i="1"/>
  <c r="E891" i="1"/>
  <c r="A892" i="1"/>
  <c r="B892" i="1"/>
  <c r="C892" i="1"/>
  <c r="D892" i="1"/>
  <c r="E892" i="1"/>
  <c r="A893" i="1"/>
  <c r="B893" i="1"/>
  <c r="C893" i="1"/>
  <c r="D893" i="1"/>
  <c r="E893" i="1"/>
  <c r="A894" i="1"/>
  <c r="B894" i="1"/>
  <c r="C894" i="1"/>
  <c r="D894" i="1"/>
  <c r="E894" i="1"/>
  <c r="A895" i="1"/>
  <c r="B895" i="1"/>
  <c r="C895" i="1"/>
  <c r="D895" i="1"/>
  <c r="E895" i="1"/>
  <c r="A896" i="1"/>
  <c r="B896" i="1"/>
  <c r="C896" i="1"/>
  <c r="D896" i="1"/>
  <c r="E896" i="1"/>
  <c r="A897" i="1"/>
  <c r="B897" i="1"/>
  <c r="C897" i="1"/>
  <c r="D897" i="1"/>
  <c r="E897" i="1"/>
  <c r="A898" i="1"/>
  <c r="B898" i="1"/>
  <c r="C898" i="1"/>
  <c r="D898" i="1"/>
  <c r="E898" i="1"/>
  <c r="A899" i="1"/>
  <c r="B899" i="1"/>
  <c r="C899" i="1"/>
  <c r="D899" i="1"/>
  <c r="E899" i="1"/>
  <c r="A900" i="1"/>
  <c r="B900" i="1"/>
  <c r="C900" i="1"/>
  <c r="D900" i="1"/>
  <c r="E900" i="1"/>
  <c r="A901" i="1"/>
  <c r="B901" i="1"/>
  <c r="C901" i="1"/>
  <c r="D901" i="1"/>
  <c r="E901" i="1"/>
  <c r="A902" i="1"/>
  <c r="B902" i="1"/>
  <c r="C902" i="1"/>
  <c r="D902" i="1"/>
  <c r="E902" i="1"/>
  <c r="A903" i="1"/>
  <c r="B903" i="1"/>
  <c r="C903" i="1"/>
  <c r="D903" i="1"/>
  <c r="E903" i="1"/>
  <c r="A904" i="1"/>
  <c r="B904" i="1"/>
  <c r="C904" i="1"/>
  <c r="D904" i="1"/>
  <c r="E904" i="1"/>
  <c r="A905" i="1"/>
  <c r="B905" i="1"/>
  <c r="C905" i="1"/>
  <c r="D905" i="1"/>
  <c r="E905" i="1"/>
  <c r="A906" i="1"/>
  <c r="B906" i="1"/>
  <c r="C906" i="1"/>
  <c r="D906" i="1"/>
  <c r="E906" i="1"/>
  <c r="A907" i="1"/>
  <c r="B907" i="1"/>
  <c r="C907" i="1"/>
  <c r="D907" i="1"/>
  <c r="E907" i="1"/>
  <c r="A908" i="1"/>
  <c r="B908" i="1"/>
  <c r="C908" i="1"/>
  <c r="D908" i="1"/>
  <c r="E908" i="1"/>
  <c r="A909" i="1"/>
  <c r="B909" i="1"/>
  <c r="C909" i="1"/>
  <c r="D909" i="1"/>
  <c r="E909" i="1"/>
  <c r="A910" i="1"/>
  <c r="B910" i="1"/>
  <c r="C910" i="1"/>
  <c r="D910" i="1"/>
  <c r="E910" i="1"/>
  <c r="A911" i="1"/>
  <c r="B911" i="1"/>
  <c r="C911" i="1"/>
  <c r="D911" i="1"/>
  <c r="E911" i="1"/>
  <c r="A912" i="1"/>
  <c r="B912" i="1"/>
  <c r="C912" i="1"/>
  <c r="D912" i="1"/>
  <c r="E912" i="1"/>
  <c r="A913" i="1"/>
  <c r="B913" i="1"/>
  <c r="C913" i="1"/>
  <c r="D913" i="1"/>
  <c r="E913" i="1"/>
  <c r="A914" i="1"/>
  <c r="B914" i="1"/>
  <c r="C914" i="1"/>
  <c r="D914" i="1"/>
  <c r="E914" i="1"/>
  <c r="A915" i="1"/>
  <c r="B915" i="1"/>
  <c r="C915" i="1"/>
  <c r="D915" i="1"/>
  <c r="E915" i="1"/>
  <c r="A916" i="1"/>
  <c r="B916" i="1"/>
  <c r="C916" i="1"/>
  <c r="D916" i="1"/>
  <c r="E916" i="1"/>
  <c r="A917" i="1"/>
  <c r="B917" i="1"/>
  <c r="C917" i="1"/>
  <c r="D917" i="1"/>
  <c r="E917" i="1"/>
  <c r="A918" i="1"/>
  <c r="B918" i="1"/>
  <c r="C918" i="1"/>
  <c r="D918" i="1"/>
  <c r="E918" i="1"/>
  <c r="A919" i="1"/>
  <c r="B919" i="1"/>
  <c r="C919" i="1"/>
  <c r="D919" i="1"/>
  <c r="E919" i="1"/>
  <c r="A920" i="1"/>
  <c r="B920" i="1"/>
  <c r="C920" i="1"/>
  <c r="D920" i="1"/>
  <c r="E920" i="1"/>
  <c r="A921" i="1"/>
  <c r="B921" i="1"/>
  <c r="C921" i="1"/>
  <c r="D921" i="1"/>
  <c r="E921" i="1"/>
  <c r="A922" i="1"/>
  <c r="B922" i="1"/>
  <c r="C922" i="1"/>
  <c r="D922" i="1"/>
  <c r="E922" i="1"/>
  <c r="A923" i="1"/>
  <c r="B923" i="1"/>
  <c r="C923" i="1"/>
  <c r="D923" i="1"/>
  <c r="E923" i="1"/>
  <c r="A924" i="1"/>
  <c r="B924" i="1"/>
  <c r="C924" i="1"/>
  <c r="D924" i="1"/>
  <c r="E924" i="1"/>
  <c r="A925" i="1"/>
  <c r="B925" i="1"/>
  <c r="C925" i="1"/>
  <c r="D925" i="1"/>
  <c r="E925" i="1"/>
  <c r="A926" i="1"/>
  <c r="B926" i="1"/>
  <c r="C926" i="1"/>
  <c r="D926" i="1"/>
  <c r="E926" i="1"/>
  <c r="A927" i="1"/>
  <c r="B927" i="1"/>
  <c r="C927" i="1"/>
  <c r="D927" i="1"/>
  <c r="E927" i="1"/>
  <c r="A928" i="1"/>
  <c r="B928" i="1"/>
  <c r="C928" i="1"/>
  <c r="D928" i="1"/>
  <c r="E928" i="1"/>
  <c r="A929" i="1"/>
  <c r="B929" i="1"/>
  <c r="C929" i="1"/>
  <c r="D929" i="1"/>
  <c r="E929" i="1"/>
  <c r="A930" i="1"/>
  <c r="B930" i="1"/>
  <c r="C930" i="1"/>
  <c r="D930" i="1"/>
  <c r="E930" i="1"/>
  <c r="A931" i="1"/>
  <c r="B931" i="1"/>
  <c r="C931" i="1"/>
  <c r="D931" i="1"/>
  <c r="E931" i="1"/>
  <c r="A932" i="1"/>
  <c r="B932" i="1"/>
  <c r="C932" i="1"/>
  <c r="D932" i="1"/>
  <c r="E932" i="1"/>
  <c r="A933" i="1"/>
  <c r="B933" i="1"/>
  <c r="C933" i="1"/>
  <c r="D933" i="1"/>
  <c r="E933" i="1"/>
  <c r="A934" i="1"/>
  <c r="B934" i="1"/>
  <c r="C934" i="1"/>
  <c r="D934" i="1"/>
  <c r="E934" i="1"/>
  <c r="A935" i="1"/>
  <c r="B935" i="1"/>
  <c r="C935" i="1"/>
  <c r="D935" i="1"/>
  <c r="E935" i="1"/>
  <c r="A936" i="1"/>
  <c r="B936" i="1"/>
  <c r="C936" i="1"/>
  <c r="D936" i="1"/>
  <c r="E936" i="1"/>
  <c r="A937" i="1"/>
  <c r="B937" i="1"/>
  <c r="C937" i="1"/>
  <c r="D937" i="1"/>
  <c r="E937" i="1"/>
  <c r="A938" i="1"/>
  <c r="B938" i="1"/>
  <c r="C938" i="1"/>
  <c r="D938" i="1"/>
  <c r="E938" i="1"/>
  <c r="A939" i="1"/>
  <c r="B939" i="1"/>
  <c r="C939" i="1"/>
  <c r="D939" i="1"/>
  <c r="E939" i="1"/>
  <c r="A940" i="1"/>
  <c r="B940" i="1"/>
  <c r="C940" i="1"/>
  <c r="D940" i="1"/>
  <c r="E940" i="1"/>
  <c r="A941" i="1"/>
  <c r="B941" i="1"/>
  <c r="C941" i="1"/>
  <c r="D941" i="1"/>
  <c r="E941" i="1"/>
  <c r="A942" i="1"/>
  <c r="B942" i="1"/>
  <c r="C942" i="1"/>
  <c r="D942" i="1"/>
  <c r="E942" i="1"/>
  <c r="A943" i="1"/>
  <c r="B943" i="1"/>
  <c r="C943" i="1"/>
  <c r="D943" i="1"/>
  <c r="E943" i="1"/>
  <c r="A944" i="1"/>
  <c r="B944" i="1"/>
  <c r="C944" i="1"/>
  <c r="D944" i="1"/>
  <c r="E944" i="1"/>
  <c r="A945" i="1"/>
  <c r="B945" i="1"/>
  <c r="C945" i="1"/>
  <c r="D945" i="1"/>
  <c r="E945" i="1"/>
  <c r="A946" i="1"/>
  <c r="B946" i="1"/>
  <c r="C946" i="1"/>
  <c r="D946" i="1"/>
  <c r="E946" i="1"/>
  <c r="A947" i="1"/>
  <c r="B947" i="1"/>
  <c r="C947" i="1"/>
  <c r="D947" i="1"/>
  <c r="E947" i="1"/>
  <c r="A948" i="1"/>
  <c r="B948" i="1"/>
  <c r="C948" i="1"/>
  <c r="D948" i="1"/>
  <c r="E948" i="1"/>
  <c r="A949" i="1"/>
  <c r="B949" i="1"/>
  <c r="C949" i="1"/>
  <c r="D949" i="1"/>
  <c r="E949" i="1"/>
  <c r="A950" i="1"/>
  <c r="B950" i="1"/>
  <c r="C950" i="1"/>
  <c r="D950" i="1"/>
  <c r="E950" i="1"/>
  <c r="A951" i="1"/>
  <c r="B951" i="1"/>
  <c r="C951" i="1"/>
  <c r="D951" i="1"/>
  <c r="E951" i="1"/>
  <c r="A952" i="1"/>
  <c r="B952" i="1"/>
  <c r="C952" i="1"/>
  <c r="D952" i="1"/>
  <c r="E952" i="1"/>
  <c r="A953" i="1"/>
  <c r="B953" i="1"/>
  <c r="C953" i="1"/>
  <c r="D953" i="1"/>
  <c r="E953" i="1"/>
  <c r="A954" i="1"/>
  <c r="B954" i="1"/>
  <c r="C954" i="1"/>
  <c r="D954" i="1"/>
  <c r="E954" i="1"/>
  <c r="A955" i="1"/>
  <c r="B955" i="1"/>
  <c r="C955" i="1"/>
  <c r="D955" i="1"/>
  <c r="E955" i="1"/>
  <c r="A956" i="1"/>
  <c r="B956" i="1"/>
  <c r="C956" i="1"/>
  <c r="D956" i="1"/>
  <c r="E956" i="1"/>
  <c r="A957" i="1"/>
  <c r="B957" i="1"/>
  <c r="C957" i="1"/>
  <c r="D957" i="1"/>
  <c r="E957" i="1"/>
  <c r="A958" i="1"/>
  <c r="B958" i="1"/>
  <c r="C958" i="1"/>
  <c r="D958" i="1"/>
  <c r="E958" i="1"/>
  <c r="A959" i="1"/>
  <c r="B959" i="1"/>
  <c r="C959" i="1"/>
  <c r="D959" i="1"/>
  <c r="E959" i="1"/>
  <c r="A960" i="1"/>
  <c r="B960" i="1"/>
  <c r="C960" i="1"/>
  <c r="D960" i="1"/>
  <c r="E960" i="1"/>
  <c r="A961" i="1"/>
  <c r="B961" i="1"/>
  <c r="C961" i="1"/>
  <c r="D961" i="1"/>
  <c r="E961" i="1"/>
  <c r="A962" i="1"/>
  <c r="B962" i="1"/>
  <c r="C962" i="1"/>
  <c r="D962" i="1"/>
  <c r="E962" i="1"/>
  <c r="A963" i="1"/>
  <c r="B963" i="1"/>
  <c r="C963" i="1"/>
  <c r="D963" i="1"/>
  <c r="E963" i="1"/>
  <c r="A964" i="1"/>
  <c r="B964" i="1"/>
  <c r="C964" i="1"/>
  <c r="D964" i="1"/>
  <c r="E964" i="1"/>
  <c r="A965" i="1"/>
  <c r="B965" i="1"/>
  <c r="C965" i="1"/>
  <c r="D965" i="1"/>
  <c r="E965" i="1"/>
  <c r="A966" i="1"/>
  <c r="B966" i="1"/>
  <c r="C966" i="1"/>
  <c r="D966" i="1"/>
  <c r="E966" i="1"/>
  <c r="A967" i="1"/>
  <c r="B967" i="1"/>
  <c r="C967" i="1"/>
  <c r="D967" i="1"/>
  <c r="E967" i="1"/>
  <c r="A968" i="1"/>
  <c r="B968" i="1"/>
  <c r="C968" i="1"/>
  <c r="D968" i="1"/>
  <c r="E968" i="1"/>
  <c r="A969" i="1"/>
  <c r="B969" i="1"/>
  <c r="C969" i="1"/>
  <c r="D969" i="1"/>
  <c r="E969" i="1"/>
  <c r="A970" i="1"/>
  <c r="B970" i="1"/>
  <c r="C970" i="1"/>
  <c r="D970" i="1"/>
  <c r="E970" i="1"/>
  <c r="A971" i="1"/>
  <c r="B971" i="1"/>
  <c r="C971" i="1"/>
  <c r="D971" i="1"/>
  <c r="E971" i="1"/>
  <c r="A972" i="1"/>
  <c r="B972" i="1"/>
  <c r="C972" i="1"/>
  <c r="D972" i="1"/>
  <c r="E972" i="1"/>
  <c r="A973" i="1"/>
  <c r="B973" i="1"/>
  <c r="C973" i="1"/>
  <c r="D973" i="1"/>
  <c r="E973" i="1"/>
  <c r="A974" i="1"/>
  <c r="B974" i="1"/>
  <c r="C974" i="1"/>
  <c r="D974" i="1"/>
  <c r="E974" i="1"/>
  <c r="A975" i="1"/>
  <c r="B975" i="1"/>
  <c r="C975" i="1"/>
  <c r="D975" i="1"/>
  <c r="E975" i="1"/>
  <c r="A976" i="1"/>
  <c r="B976" i="1"/>
  <c r="C976" i="1"/>
  <c r="D976" i="1"/>
  <c r="E976" i="1"/>
  <c r="A977" i="1"/>
  <c r="B977" i="1"/>
  <c r="C977" i="1"/>
  <c r="D977" i="1"/>
  <c r="E977" i="1"/>
  <c r="A978" i="1"/>
  <c r="B978" i="1"/>
  <c r="C978" i="1"/>
  <c r="D978" i="1"/>
  <c r="E978" i="1"/>
  <c r="A979" i="1"/>
  <c r="B979" i="1"/>
  <c r="C979" i="1"/>
  <c r="D979" i="1"/>
  <c r="E979" i="1"/>
  <c r="A980" i="1"/>
  <c r="B980" i="1"/>
  <c r="C980" i="1"/>
  <c r="D980" i="1"/>
  <c r="E980" i="1"/>
  <c r="A981" i="1"/>
  <c r="B981" i="1"/>
  <c r="C981" i="1"/>
  <c r="D981" i="1"/>
  <c r="E981" i="1"/>
  <c r="A982" i="1"/>
  <c r="B982" i="1"/>
  <c r="C982" i="1"/>
  <c r="D982" i="1"/>
  <c r="E982" i="1"/>
  <c r="A983" i="1"/>
  <c r="B983" i="1"/>
  <c r="C983" i="1"/>
  <c r="D983" i="1"/>
  <c r="E983" i="1"/>
  <c r="A984" i="1"/>
  <c r="B984" i="1"/>
  <c r="C984" i="1"/>
  <c r="D984" i="1"/>
  <c r="E984" i="1"/>
  <c r="A985" i="1"/>
  <c r="B985" i="1"/>
  <c r="C985" i="1"/>
  <c r="D985" i="1"/>
  <c r="E985" i="1"/>
  <c r="A986" i="1"/>
  <c r="B986" i="1"/>
  <c r="C986" i="1"/>
  <c r="D986" i="1"/>
  <c r="E986" i="1"/>
  <c r="A987" i="1"/>
  <c r="B987" i="1"/>
  <c r="C987" i="1"/>
  <c r="D987" i="1"/>
  <c r="E987" i="1"/>
  <c r="A988" i="1"/>
  <c r="B988" i="1"/>
  <c r="C988" i="1"/>
  <c r="D988" i="1"/>
  <c r="E988" i="1"/>
  <c r="A989" i="1"/>
  <c r="B989" i="1"/>
  <c r="C989" i="1"/>
  <c r="D989" i="1"/>
  <c r="E989" i="1"/>
  <c r="A990" i="1"/>
  <c r="B990" i="1"/>
  <c r="C990" i="1"/>
  <c r="D990" i="1"/>
  <c r="E990" i="1"/>
  <c r="A991" i="1"/>
  <c r="B991" i="1"/>
  <c r="C991" i="1"/>
  <c r="D991" i="1"/>
  <c r="E991" i="1"/>
  <c r="A992" i="1"/>
  <c r="B992" i="1"/>
  <c r="C992" i="1"/>
  <c r="D992" i="1"/>
  <c r="E992" i="1"/>
  <c r="A993" i="1"/>
  <c r="B993" i="1"/>
  <c r="C993" i="1"/>
  <c r="D993" i="1"/>
  <c r="E993" i="1"/>
  <c r="A994" i="1"/>
  <c r="B994" i="1"/>
  <c r="C994" i="1"/>
  <c r="D994" i="1"/>
  <c r="E994" i="1"/>
  <c r="A995" i="1"/>
  <c r="B995" i="1"/>
  <c r="C995" i="1"/>
  <c r="D995" i="1"/>
  <c r="E995" i="1"/>
  <c r="A996" i="1"/>
  <c r="B996" i="1"/>
  <c r="C996" i="1"/>
  <c r="D996" i="1"/>
  <c r="E996" i="1"/>
  <c r="A997" i="1"/>
  <c r="B997" i="1"/>
  <c r="C997" i="1"/>
  <c r="D997" i="1"/>
  <c r="E997" i="1"/>
  <c r="A998" i="1"/>
  <c r="B998" i="1"/>
  <c r="C998" i="1"/>
  <c r="D998" i="1"/>
  <c r="E998" i="1"/>
  <c r="A999" i="1"/>
  <c r="B999" i="1"/>
  <c r="C999" i="1"/>
  <c r="D999" i="1"/>
  <c r="E999" i="1"/>
  <c r="A1000" i="1"/>
  <c r="B1000" i="1"/>
  <c r="C1000" i="1"/>
  <c r="D1000" i="1"/>
  <c r="E1000" i="1"/>
  <c r="A1001" i="1"/>
  <c r="B1001" i="1"/>
  <c r="C1001" i="1"/>
  <c r="D1001" i="1"/>
  <c r="E1001" i="1"/>
  <c r="A1002" i="1"/>
  <c r="B1002" i="1"/>
  <c r="C1002" i="1"/>
  <c r="D1002" i="1"/>
  <c r="E1002" i="1"/>
  <c r="A1003" i="1"/>
  <c r="B1003" i="1"/>
  <c r="C1003" i="1"/>
  <c r="D1003" i="1"/>
  <c r="E1003" i="1"/>
  <c r="A1004" i="1"/>
  <c r="B1004" i="1"/>
  <c r="C1004" i="1"/>
  <c r="D1004" i="1"/>
  <c r="E1004" i="1"/>
  <c r="A1005" i="1"/>
  <c r="B1005" i="1"/>
  <c r="C1005" i="1"/>
  <c r="D1005" i="1"/>
  <c r="E1005" i="1"/>
  <c r="A1006" i="1"/>
  <c r="B1006" i="1"/>
  <c r="C1006" i="1"/>
  <c r="D1006" i="1"/>
  <c r="E1006" i="1"/>
  <c r="A1007" i="1"/>
  <c r="B1007" i="1"/>
  <c r="C1007" i="1"/>
  <c r="D1007" i="1"/>
  <c r="E1007" i="1"/>
  <c r="A1008" i="1"/>
  <c r="B1008" i="1"/>
  <c r="C1008" i="1"/>
  <c r="D1008" i="1"/>
  <c r="E1008" i="1"/>
  <c r="A1009" i="1"/>
  <c r="B1009" i="1"/>
  <c r="C1009" i="1"/>
  <c r="D1009" i="1"/>
  <c r="E1009" i="1"/>
  <c r="A1010" i="1"/>
  <c r="B1010" i="1"/>
  <c r="C1010" i="1"/>
  <c r="D1010" i="1"/>
  <c r="E1010" i="1"/>
  <c r="A1011" i="1"/>
  <c r="B1011" i="1"/>
  <c r="C1011" i="1"/>
  <c r="D1011" i="1"/>
  <c r="E1011" i="1"/>
  <c r="A1012" i="1"/>
  <c r="B1012" i="1"/>
  <c r="C1012" i="1"/>
  <c r="D1012" i="1"/>
  <c r="E1012" i="1"/>
  <c r="A1013" i="1"/>
  <c r="B1013" i="1"/>
  <c r="C1013" i="1"/>
  <c r="D1013" i="1"/>
  <c r="E1013" i="1"/>
  <c r="A1014" i="1"/>
  <c r="B1014" i="1"/>
  <c r="C1014" i="1"/>
  <c r="D1014" i="1"/>
  <c r="E1014" i="1"/>
  <c r="A1015" i="1"/>
  <c r="B1015" i="1"/>
  <c r="C1015" i="1"/>
  <c r="D1015" i="1"/>
  <c r="E1015" i="1"/>
  <c r="A1016" i="1"/>
  <c r="B1016" i="1"/>
  <c r="C1016" i="1"/>
  <c r="D1016" i="1"/>
  <c r="E1016" i="1"/>
  <c r="A1017" i="1"/>
  <c r="B1017" i="1"/>
  <c r="C1017" i="1"/>
  <c r="D1017" i="1"/>
  <c r="E1017" i="1"/>
  <c r="A1018" i="1"/>
  <c r="B1018" i="1"/>
  <c r="C1018" i="1"/>
  <c r="D1018" i="1"/>
  <c r="E1018" i="1"/>
  <c r="A1019" i="1"/>
  <c r="B1019" i="1"/>
  <c r="C1019" i="1"/>
  <c r="D1019" i="1"/>
  <c r="E1019" i="1"/>
  <c r="A1020" i="1"/>
  <c r="B1020" i="1"/>
  <c r="C1020" i="1"/>
  <c r="D1020" i="1"/>
  <c r="E1020" i="1"/>
  <c r="A1021" i="1"/>
  <c r="B1021" i="1"/>
  <c r="C1021" i="1"/>
  <c r="D1021" i="1"/>
  <c r="E1021" i="1"/>
  <c r="A1022" i="1"/>
  <c r="B1022" i="1"/>
  <c r="C1022" i="1"/>
  <c r="D1022" i="1"/>
  <c r="E1022" i="1"/>
  <c r="A1023" i="1"/>
  <c r="B1023" i="1"/>
  <c r="C1023" i="1"/>
  <c r="D1023" i="1"/>
  <c r="E1023" i="1"/>
  <c r="A1024" i="1"/>
  <c r="B1024" i="1"/>
  <c r="C1024" i="1"/>
  <c r="D1024" i="1"/>
  <c r="E1024" i="1"/>
  <c r="A1025" i="1"/>
  <c r="B1025" i="1"/>
  <c r="C1025" i="1"/>
  <c r="D1025" i="1"/>
  <c r="E1025" i="1"/>
  <c r="A1026" i="1"/>
  <c r="B1026" i="1"/>
  <c r="C1026" i="1"/>
  <c r="D1026" i="1"/>
  <c r="E1026" i="1"/>
  <c r="A1027" i="1"/>
  <c r="B1027" i="1"/>
  <c r="C1027" i="1"/>
  <c r="D1027" i="1"/>
  <c r="E1027" i="1"/>
  <c r="A1028" i="1"/>
  <c r="B1028" i="1"/>
  <c r="C1028" i="1"/>
  <c r="D1028" i="1"/>
  <c r="E1028" i="1"/>
  <c r="A1029" i="1"/>
  <c r="B1029" i="1"/>
  <c r="C1029" i="1"/>
  <c r="D1029" i="1"/>
  <c r="E1029" i="1"/>
  <c r="A1030" i="1"/>
  <c r="B1030" i="1"/>
  <c r="C1030" i="1"/>
  <c r="D1030" i="1"/>
  <c r="E1030" i="1"/>
  <c r="A1031" i="1"/>
  <c r="B1031" i="1"/>
  <c r="C1031" i="1"/>
  <c r="D1031" i="1"/>
  <c r="E1031" i="1"/>
  <c r="A1032" i="1"/>
  <c r="B1032" i="1"/>
  <c r="C1032" i="1"/>
  <c r="D1032" i="1"/>
  <c r="E1032" i="1"/>
  <c r="A1033" i="1"/>
  <c r="B1033" i="1"/>
  <c r="C1033" i="1"/>
  <c r="D1033" i="1"/>
  <c r="E1033" i="1"/>
  <c r="A1034" i="1"/>
  <c r="B1034" i="1"/>
  <c r="C1034" i="1"/>
  <c r="D1034" i="1"/>
  <c r="E1034" i="1"/>
  <c r="A1035" i="1"/>
  <c r="B1035" i="1"/>
  <c r="C1035" i="1"/>
  <c r="D1035" i="1"/>
  <c r="E1035" i="1"/>
  <c r="A1036" i="1"/>
  <c r="B1036" i="1"/>
  <c r="C1036" i="1"/>
  <c r="D1036" i="1"/>
  <c r="E1036" i="1"/>
  <c r="A1037" i="1"/>
  <c r="B1037" i="1"/>
  <c r="C1037" i="1"/>
  <c r="D1037" i="1"/>
  <c r="E1037" i="1"/>
  <c r="A1038" i="1"/>
  <c r="B1038" i="1"/>
  <c r="C1038" i="1"/>
  <c r="D1038" i="1"/>
  <c r="E1038" i="1"/>
  <c r="A1039" i="1"/>
  <c r="B1039" i="1"/>
  <c r="C1039" i="1"/>
  <c r="D1039" i="1"/>
  <c r="E1039" i="1"/>
  <c r="A1040" i="1"/>
  <c r="B1040" i="1"/>
  <c r="C1040" i="1"/>
  <c r="D1040" i="1"/>
  <c r="E1040" i="1"/>
  <c r="A1041" i="1"/>
  <c r="B1041" i="1"/>
  <c r="C1041" i="1"/>
  <c r="D1041" i="1"/>
  <c r="E1041" i="1"/>
  <c r="A1042" i="1"/>
  <c r="B1042" i="1"/>
  <c r="C1042" i="1"/>
  <c r="D1042" i="1"/>
  <c r="E1042" i="1"/>
  <c r="A1043" i="1"/>
  <c r="B1043" i="1"/>
  <c r="C1043" i="1"/>
  <c r="D1043" i="1"/>
  <c r="E1043" i="1"/>
  <c r="A1044" i="1"/>
  <c r="B1044" i="1"/>
  <c r="C1044" i="1"/>
  <c r="D1044" i="1"/>
  <c r="E1044" i="1"/>
  <c r="A1045" i="1"/>
  <c r="B1045" i="1"/>
  <c r="C1045" i="1"/>
  <c r="D1045" i="1"/>
  <c r="E1045" i="1"/>
  <c r="A1046" i="1"/>
  <c r="B1046" i="1"/>
  <c r="C1046" i="1"/>
  <c r="D1046" i="1"/>
  <c r="E1046" i="1"/>
  <c r="A1047" i="1"/>
  <c r="B1047" i="1"/>
  <c r="C1047" i="1"/>
  <c r="D1047" i="1"/>
  <c r="E1047" i="1"/>
  <c r="A1048" i="1"/>
  <c r="B1048" i="1"/>
  <c r="C1048" i="1"/>
  <c r="D1048" i="1"/>
  <c r="E1048" i="1"/>
  <c r="A1049" i="1"/>
  <c r="B1049" i="1"/>
  <c r="C1049" i="1"/>
  <c r="D1049" i="1"/>
  <c r="E1049" i="1"/>
  <c r="A1050" i="1"/>
  <c r="B1050" i="1"/>
  <c r="C1050" i="1"/>
  <c r="D1050" i="1"/>
  <c r="E1050" i="1"/>
  <c r="A1051" i="1"/>
  <c r="B1051" i="1"/>
  <c r="C1051" i="1"/>
  <c r="D1051" i="1"/>
  <c r="E1051" i="1"/>
  <c r="A1052" i="1"/>
  <c r="B1052" i="1"/>
  <c r="C1052" i="1"/>
  <c r="D1052" i="1"/>
  <c r="E1052" i="1"/>
  <c r="A1053" i="1"/>
  <c r="B1053" i="1"/>
  <c r="C1053" i="1"/>
  <c r="D1053" i="1"/>
  <c r="E1053" i="1"/>
  <c r="A1054" i="1"/>
  <c r="B1054" i="1"/>
  <c r="C1054" i="1"/>
  <c r="D1054" i="1"/>
  <c r="E1054" i="1"/>
  <c r="A1055" i="1"/>
  <c r="B1055" i="1"/>
  <c r="C1055" i="1"/>
  <c r="D1055" i="1"/>
  <c r="E1055" i="1"/>
  <c r="A1056" i="1"/>
  <c r="B1056" i="1"/>
  <c r="C1056" i="1"/>
  <c r="D1056" i="1"/>
  <c r="E1056" i="1"/>
  <c r="A1057" i="1"/>
  <c r="B1057" i="1"/>
  <c r="C1057" i="1"/>
  <c r="D1057" i="1"/>
  <c r="E1057" i="1"/>
  <c r="A1058" i="1"/>
  <c r="B1058" i="1"/>
  <c r="C1058" i="1"/>
  <c r="D1058" i="1"/>
  <c r="E1058" i="1"/>
  <c r="A1059" i="1"/>
  <c r="B1059" i="1"/>
  <c r="C1059" i="1"/>
  <c r="D1059" i="1"/>
  <c r="E1059" i="1"/>
  <c r="A1060" i="1"/>
  <c r="B1060" i="1"/>
  <c r="C1060" i="1"/>
  <c r="D1060" i="1"/>
  <c r="E1060" i="1"/>
  <c r="A1061" i="1"/>
  <c r="B1061" i="1"/>
  <c r="C1061" i="1"/>
  <c r="D1061" i="1"/>
  <c r="E1061" i="1"/>
  <c r="A1062" i="1"/>
  <c r="B1062" i="1"/>
  <c r="C1062" i="1"/>
  <c r="D1062" i="1"/>
  <c r="E1062" i="1"/>
  <c r="A1063" i="1"/>
  <c r="B1063" i="1"/>
  <c r="C1063" i="1"/>
  <c r="D1063" i="1"/>
  <c r="E1063" i="1"/>
  <c r="A1064" i="1"/>
  <c r="B1064" i="1"/>
  <c r="C1064" i="1"/>
  <c r="D1064" i="1"/>
  <c r="E1064" i="1"/>
  <c r="A1065" i="1"/>
  <c r="B1065" i="1"/>
  <c r="C1065" i="1"/>
  <c r="D1065" i="1"/>
  <c r="E1065" i="1"/>
  <c r="A1066" i="1"/>
  <c r="B1066" i="1"/>
  <c r="C1066" i="1"/>
  <c r="D1066" i="1"/>
  <c r="E1066" i="1"/>
  <c r="A1067" i="1"/>
  <c r="B1067" i="1"/>
  <c r="C1067" i="1"/>
  <c r="D1067" i="1"/>
  <c r="E1067" i="1"/>
  <c r="A1068" i="1"/>
  <c r="B1068" i="1"/>
  <c r="C1068" i="1"/>
  <c r="D1068" i="1"/>
  <c r="E1068" i="1"/>
  <c r="A1069" i="1"/>
  <c r="B1069" i="1"/>
  <c r="C1069" i="1"/>
  <c r="D1069" i="1"/>
  <c r="E1069" i="1"/>
  <c r="A1070" i="1"/>
  <c r="B1070" i="1"/>
  <c r="C1070" i="1"/>
  <c r="D1070" i="1"/>
  <c r="E1070" i="1"/>
  <c r="A1071" i="1"/>
  <c r="B1071" i="1"/>
  <c r="C1071" i="1"/>
  <c r="D1071" i="1"/>
  <c r="E1071" i="1"/>
  <c r="A1072" i="1"/>
  <c r="B1072" i="1"/>
  <c r="C1072" i="1"/>
  <c r="D1072" i="1"/>
  <c r="E1072" i="1"/>
  <c r="A1073" i="1"/>
  <c r="B1073" i="1"/>
  <c r="C1073" i="1"/>
  <c r="D1073" i="1"/>
  <c r="E1073" i="1"/>
  <c r="A1074" i="1"/>
  <c r="B1074" i="1"/>
  <c r="C1074" i="1"/>
  <c r="D1074" i="1"/>
  <c r="E1074" i="1"/>
  <c r="A1075" i="1"/>
  <c r="B1075" i="1"/>
  <c r="C1075" i="1"/>
  <c r="D1075" i="1"/>
  <c r="E1075" i="1"/>
  <c r="A1076" i="1"/>
  <c r="B1076" i="1"/>
  <c r="C1076" i="1"/>
  <c r="D1076" i="1"/>
  <c r="E1076" i="1"/>
  <c r="A1077" i="1"/>
  <c r="B1077" i="1"/>
  <c r="C1077" i="1"/>
  <c r="D1077" i="1"/>
  <c r="E1077" i="1"/>
  <c r="A1078" i="1"/>
  <c r="B1078" i="1"/>
  <c r="C1078" i="1"/>
  <c r="D1078" i="1"/>
  <c r="E1078" i="1"/>
  <c r="A1079" i="1"/>
  <c r="B1079" i="1"/>
  <c r="C1079" i="1"/>
  <c r="D1079" i="1"/>
  <c r="E1079" i="1"/>
  <c r="A1080" i="1"/>
  <c r="B1080" i="1"/>
  <c r="C1080" i="1"/>
  <c r="D1080" i="1"/>
  <c r="E1080" i="1"/>
  <c r="A1081" i="1"/>
  <c r="B1081" i="1"/>
  <c r="C1081" i="1"/>
  <c r="D1081" i="1"/>
  <c r="E1081" i="1"/>
  <c r="A1082" i="1"/>
  <c r="B1082" i="1"/>
  <c r="C1082" i="1"/>
  <c r="D1082" i="1"/>
  <c r="E1082" i="1"/>
  <c r="A1083" i="1"/>
  <c r="B1083" i="1"/>
  <c r="C1083" i="1"/>
  <c r="D1083" i="1"/>
  <c r="E1083" i="1"/>
  <c r="A1084" i="1"/>
  <c r="B1084" i="1"/>
  <c r="C1084" i="1"/>
  <c r="D1084" i="1"/>
  <c r="E1084" i="1"/>
  <c r="A1085" i="1"/>
  <c r="B1085" i="1"/>
  <c r="C1085" i="1"/>
  <c r="D1085" i="1"/>
  <c r="E1085" i="1"/>
  <c r="A1086" i="1"/>
  <c r="B1086" i="1"/>
  <c r="C1086" i="1"/>
  <c r="D1086" i="1"/>
  <c r="E1086" i="1"/>
  <c r="A1087" i="1"/>
  <c r="B1087" i="1"/>
  <c r="C1087" i="1"/>
  <c r="D1087" i="1"/>
  <c r="E1087" i="1"/>
  <c r="A1088" i="1"/>
  <c r="B1088" i="1"/>
  <c r="C1088" i="1"/>
  <c r="D1088" i="1"/>
  <c r="E1088" i="1"/>
  <c r="A1089" i="1"/>
  <c r="B1089" i="1"/>
  <c r="C1089" i="1"/>
  <c r="D1089" i="1"/>
  <c r="E1089" i="1"/>
  <c r="A1090" i="1"/>
  <c r="B1090" i="1"/>
  <c r="C1090" i="1"/>
  <c r="D1090" i="1"/>
  <c r="E1090" i="1"/>
  <c r="A1091" i="1"/>
  <c r="B1091" i="1"/>
  <c r="C1091" i="1"/>
  <c r="D1091" i="1"/>
  <c r="E1091" i="1"/>
  <c r="A1092" i="1"/>
  <c r="B1092" i="1"/>
  <c r="C1092" i="1"/>
  <c r="D1092" i="1"/>
  <c r="E1092" i="1"/>
  <c r="A1093" i="1"/>
  <c r="B1093" i="1"/>
  <c r="C1093" i="1"/>
  <c r="D1093" i="1"/>
  <c r="E1093" i="1"/>
  <c r="A1094" i="1"/>
  <c r="B1094" i="1"/>
  <c r="C1094" i="1"/>
  <c r="D1094" i="1"/>
  <c r="E1094" i="1"/>
  <c r="A1095" i="1"/>
  <c r="B1095" i="1"/>
  <c r="C1095" i="1"/>
  <c r="D1095" i="1"/>
  <c r="E1095" i="1"/>
  <c r="A1096" i="1"/>
  <c r="B1096" i="1"/>
  <c r="C1096" i="1"/>
  <c r="D1096" i="1"/>
  <c r="E1096" i="1"/>
  <c r="A1097" i="1"/>
  <c r="B1097" i="1"/>
  <c r="C1097" i="1"/>
  <c r="D1097" i="1"/>
  <c r="E1097" i="1"/>
  <c r="A1098" i="1"/>
  <c r="B1098" i="1"/>
  <c r="C1098" i="1"/>
  <c r="D1098" i="1"/>
  <c r="E1098" i="1"/>
  <c r="A1099" i="1"/>
  <c r="B1099" i="1"/>
  <c r="C1099" i="1"/>
  <c r="D1099" i="1"/>
  <c r="E1099" i="1"/>
  <c r="A1100" i="1"/>
  <c r="B1100" i="1"/>
  <c r="C1100" i="1"/>
  <c r="D1100" i="1"/>
  <c r="E1100" i="1"/>
  <c r="A1101" i="1"/>
  <c r="B1101" i="1"/>
  <c r="C1101" i="1"/>
  <c r="D1101" i="1"/>
  <c r="E1101" i="1"/>
  <c r="A1102" i="1"/>
  <c r="B1102" i="1"/>
  <c r="C1102" i="1"/>
  <c r="D1102" i="1"/>
  <c r="E1102" i="1"/>
  <c r="A1103" i="1"/>
  <c r="B1103" i="1"/>
  <c r="C1103" i="1"/>
  <c r="D1103" i="1"/>
  <c r="E1103" i="1"/>
  <c r="A1104" i="1"/>
  <c r="B1104" i="1"/>
  <c r="C1104" i="1"/>
  <c r="D1104" i="1"/>
  <c r="E1104" i="1"/>
  <c r="A1105" i="1"/>
  <c r="B1105" i="1"/>
  <c r="C1105" i="1"/>
  <c r="D1105" i="1"/>
  <c r="E1105" i="1"/>
  <c r="A1106" i="1"/>
  <c r="B1106" i="1"/>
  <c r="C1106" i="1"/>
  <c r="D1106" i="1"/>
  <c r="E1106" i="1"/>
  <c r="A1107" i="1"/>
  <c r="B1107" i="1"/>
  <c r="C1107" i="1"/>
  <c r="D1107" i="1"/>
  <c r="E1107" i="1"/>
  <c r="A1108" i="1"/>
  <c r="B1108" i="1"/>
  <c r="C1108" i="1"/>
  <c r="D1108" i="1"/>
  <c r="E1108" i="1"/>
  <c r="A1109" i="1"/>
  <c r="B1109" i="1"/>
  <c r="C1109" i="1"/>
  <c r="D1109" i="1"/>
  <c r="E1109" i="1"/>
  <c r="A1110" i="1"/>
  <c r="B1110" i="1"/>
  <c r="C1110" i="1"/>
  <c r="D1110" i="1"/>
  <c r="E1110" i="1"/>
  <c r="A1111" i="1"/>
  <c r="B1111" i="1"/>
  <c r="C1111" i="1"/>
  <c r="D1111" i="1"/>
  <c r="E1111" i="1"/>
  <c r="A1112" i="1"/>
  <c r="B1112" i="1"/>
  <c r="C1112" i="1"/>
  <c r="D1112" i="1"/>
  <c r="E1112" i="1"/>
  <c r="A1113" i="1"/>
  <c r="B1113" i="1"/>
  <c r="C1113" i="1"/>
  <c r="D1113" i="1"/>
  <c r="E1113" i="1"/>
  <c r="A1114" i="1"/>
  <c r="B1114" i="1"/>
  <c r="C1114" i="1"/>
  <c r="D1114" i="1"/>
  <c r="E1114" i="1"/>
  <c r="A1115" i="1"/>
  <c r="B1115" i="1"/>
  <c r="C1115" i="1"/>
  <c r="D1115" i="1"/>
  <c r="E1115" i="1"/>
  <c r="A1116" i="1"/>
  <c r="B1116" i="1"/>
  <c r="C1116" i="1"/>
  <c r="D1116" i="1"/>
  <c r="E1116" i="1"/>
  <c r="A1117" i="1"/>
  <c r="B1117" i="1"/>
  <c r="C1117" i="1"/>
  <c r="D1117" i="1"/>
  <c r="E1117" i="1"/>
  <c r="A1118" i="1"/>
  <c r="B1118" i="1"/>
  <c r="C1118" i="1"/>
  <c r="D1118" i="1"/>
  <c r="E1118" i="1"/>
  <c r="A1119" i="1"/>
  <c r="B1119" i="1"/>
  <c r="C1119" i="1"/>
  <c r="D1119" i="1"/>
  <c r="E1119" i="1"/>
  <c r="A1120" i="1"/>
  <c r="B1120" i="1"/>
  <c r="C1120" i="1"/>
  <c r="D1120" i="1"/>
  <c r="E1120" i="1"/>
  <c r="A1121" i="1"/>
  <c r="B1121" i="1"/>
  <c r="C1121" i="1"/>
  <c r="D1121" i="1"/>
  <c r="E1121" i="1"/>
  <c r="A1122" i="1"/>
  <c r="B1122" i="1"/>
  <c r="C1122" i="1"/>
  <c r="D1122" i="1"/>
  <c r="E1122" i="1"/>
  <c r="A1123" i="1"/>
  <c r="B1123" i="1"/>
  <c r="C1123" i="1"/>
  <c r="D1123" i="1"/>
  <c r="E1123" i="1"/>
  <c r="A1124" i="1"/>
  <c r="B1124" i="1"/>
  <c r="C1124" i="1"/>
  <c r="D1124" i="1"/>
  <c r="E1124" i="1"/>
  <c r="A1125" i="1"/>
  <c r="B1125" i="1"/>
  <c r="C1125" i="1"/>
  <c r="D1125" i="1"/>
  <c r="E1125" i="1"/>
  <c r="A1126" i="1"/>
  <c r="B1126" i="1"/>
  <c r="C1126" i="1"/>
  <c r="D1126" i="1"/>
  <c r="E1126" i="1"/>
  <c r="A1127" i="1"/>
  <c r="B1127" i="1"/>
  <c r="C1127" i="1"/>
  <c r="D1127" i="1"/>
  <c r="E1127" i="1"/>
  <c r="A1128" i="1"/>
  <c r="B1128" i="1"/>
  <c r="C1128" i="1"/>
  <c r="D1128" i="1"/>
  <c r="E1128" i="1"/>
  <c r="A1129" i="1"/>
  <c r="B1129" i="1"/>
  <c r="C1129" i="1"/>
  <c r="D1129" i="1"/>
  <c r="E1129" i="1"/>
  <c r="A1130" i="1"/>
  <c r="B1130" i="1"/>
  <c r="C1130" i="1"/>
  <c r="D1130" i="1"/>
  <c r="E1130" i="1"/>
  <c r="A1131" i="1"/>
  <c r="B1131" i="1"/>
  <c r="C1131" i="1"/>
  <c r="D1131" i="1"/>
  <c r="E1131" i="1"/>
  <c r="A1132" i="1"/>
  <c r="B1132" i="1"/>
  <c r="C1132" i="1"/>
  <c r="D1132" i="1"/>
  <c r="E1132" i="1"/>
  <c r="A1133" i="1"/>
  <c r="B1133" i="1"/>
  <c r="C1133" i="1"/>
  <c r="D1133" i="1"/>
  <c r="E1133" i="1"/>
  <c r="A1134" i="1"/>
  <c r="B1134" i="1"/>
  <c r="C1134" i="1"/>
  <c r="D1134" i="1"/>
  <c r="E1134" i="1"/>
  <c r="A1135" i="1"/>
  <c r="B1135" i="1"/>
  <c r="C1135" i="1"/>
  <c r="D1135" i="1"/>
  <c r="E1135" i="1"/>
  <c r="A1136" i="1"/>
  <c r="B1136" i="1"/>
  <c r="C1136" i="1"/>
  <c r="D1136" i="1"/>
  <c r="E1136" i="1"/>
  <c r="A1137" i="1"/>
  <c r="B1137" i="1"/>
  <c r="C1137" i="1"/>
  <c r="D1137" i="1"/>
  <c r="E1137" i="1"/>
  <c r="A1138" i="1"/>
  <c r="B1138" i="1"/>
  <c r="C1138" i="1"/>
  <c r="D1138" i="1"/>
  <c r="E1138" i="1"/>
  <c r="A1139" i="1"/>
  <c r="B1139" i="1"/>
  <c r="C1139" i="1"/>
  <c r="D1139" i="1"/>
  <c r="E1139" i="1"/>
  <c r="A1140" i="1"/>
  <c r="B1140" i="1"/>
  <c r="C1140" i="1"/>
  <c r="D1140" i="1"/>
  <c r="E1140" i="1"/>
  <c r="A1141" i="1"/>
  <c r="B1141" i="1"/>
  <c r="C1141" i="1"/>
  <c r="D1141" i="1"/>
  <c r="E1141" i="1"/>
  <c r="A1142" i="1"/>
  <c r="B1142" i="1"/>
  <c r="C1142" i="1"/>
  <c r="D1142" i="1"/>
  <c r="E1142" i="1"/>
  <c r="A1143" i="1"/>
  <c r="B1143" i="1"/>
  <c r="C1143" i="1"/>
  <c r="D1143" i="1"/>
  <c r="E1143" i="1"/>
  <c r="A1144" i="1"/>
  <c r="B1144" i="1"/>
  <c r="C1144" i="1"/>
  <c r="D1144" i="1"/>
  <c r="E1144" i="1"/>
  <c r="A1145" i="1"/>
  <c r="B1145" i="1"/>
  <c r="C1145" i="1"/>
  <c r="D1145" i="1"/>
  <c r="E1145" i="1"/>
  <c r="A1146" i="1"/>
  <c r="B1146" i="1"/>
  <c r="C1146" i="1"/>
  <c r="D1146" i="1"/>
  <c r="E1146" i="1"/>
  <c r="A1147" i="1"/>
  <c r="B1147" i="1"/>
  <c r="C1147" i="1"/>
  <c r="D1147" i="1"/>
  <c r="E1147" i="1"/>
  <c r="A1148" i="1"/>
  <c r="B1148" i="1"/>
  <c r="C1148" i="1"/>
  <c r="D1148" i="1"/>
  <c r="E1148" i="1"/>
  <c r="A1149" i="1"/>
  <c r="B1149" i="1"/>
  <c r="C1149" i="1"/>
  <c r="D1149" i="1"/>
  <c r="E1149" i="1"/>
  <c r="A1150" i="1"/>
  <c r="B1150" i="1"/>
  <c r="C1150" i="1"/>
  <c r="D1150" i="1"/>
  <c r="E1150" i="1"/>
  <c r="A1151" i="1"/>
  <c r="B1151" i="1"/>
  <c r="C1151" i="1"/>
  <c r="D1151" i="1"/>
  <c r="E1151" i="1"/>
  <c r="A1152" i="1"/>
  <c r="B1152" i="1"/>
  <c r="C1152" i="1"/>
  <c r="D1152" i="1"/>
  <c r="E1152" i="1"/>
  <c r="A1153" i="1"/>
  <c r="B1153" i="1"/>
  <c r="C1153" i="1"/>
  <c r="D1153" i="1"/>
  <c r="E1153" i="1"/>
  <c r="A1154" i="1"/>
  <c r="B1154" i="1"/>
  <c r="C1154" i="1"/>
  <c r="D1154" i="1"/>
  <c r="E1154" i="1"/>
  <c r="A1155" i="1"/>
  <c r="B1155" i="1"/>
  <c r="C1155" i="1"/>
  <c r="D1155" i="1"/>
  <c r="E1155" i="1"/>
  <c r="A1156" i="1"/>
  <c r="B1156" i="1"/>
  <c r="C1156" i="1"/>
  <c r="D1156" i="1"/>
  <c r="E1156" i="1"/>
  <c r="A1157" i="1"/>
  <c r="B1157" i="1"/>
  <c r="C1157" i="1"/>
  <c r="D1157" i="1"/>
  <c r="E1157" i="1"/>
  <c r="A1158" i="1"/>
  <c r="B1158" i="1"/>
  <c r="C1158" i="1"/>
  <c r="D1158" i="1"/>
  <c r="E1158" i="1"/>
  <c r="A1159" i="1"/>
  <c r="B1159" i="1"/>
  <c r="C1159" i="1"/>
  <c r="D1159" i="1"/>
  <c r="E1159" i="1"/>
  <c r="A1160" i="1"/>
  <c r="B1160" i="1"/>
  <c r="C1160" i="1"/>
  <c r="D1160" i="1"/>
  <c r="E1160" i="1"/>
  <c r="A1161" i="1"/>
  <c r="B1161" i="1"/>
  <c r="C1161" i="1"/>
  <c r="D1161" i="1"/>
  <c r="E1161" i="1"/>
  <c r="A1162" i="1"/>
  <c r="B1162" i="1"/>
  <c r="C1162" i="1"/>
  <c r="D1162" i="1"/>
  <c r="E1162" i="1"/>
  <c r="A1163" i="1"/>
  <c r="B1163" i="1"/>
  <c r="C1163" i="1"/>
  <c r="D1163" i="1"/>
  <c r="E1163" i="1"/>
  <c r="A1164" i="1"/>
  <c r="B1164" i="1"/>
  <c r="C1164" i="1"/>
  <c r="D1164" i="1"/>
  <c r="E1164" i="1"/>
  <c r="A1165" i="1"/>
  <c r="B1165" i="1"/>
  <c r="C1165" i="1"/>
  <c r="D1165" i="1"/>
  <c r="E1165" i="1"/>
  <c r="A1166" i="1"/>
  <c r="B1166" i="1"/>
  <c r="C1166" i="1"/>
  <c r="D1166" i="1"/>
  <c r="E1166" i="1"/>
  <c r="A1167" i="1"/>
  <c r="B1167" i="1"/>
  <c r="C1167" i="1"/>
  <c r="D1167" i="1"/>
  <c r="E1167" i="1"/>
  <c r="A1168" i="1"/>
  <c r="B1168" i="1"/>
  <c r="C1168" i="1"/>
  <c r="D1168" i="1"/>
  <c r="E1168" i="1"/>
  <c r="A1169" i="1"/>
  <c r="B1169" i="1"/>
  <c r="C1169" i="1"/>
  <c r="D1169" i="1"/>
  <c r="E1169" i="1"/>
  <c r="A1170" i="1"/>
  <c r="B1170" i="1"/>
  <c r="C1170" i="1"/>
  <c r="D1170" i="1"/>
  <c r="E1170" i="1"/>
  <c r="A1171" i="1"/>
  <c r="B1171" i="1"/>
  <c r="C1171" i="1"/>
  <c r="D1171" i="1"/>
  <c r="E1171" i="1"/>
  <c r="A1172" i="1"/>
  <c r="B1172" i="1"/>
  <c r="C1172" i="1"/>
  <c r="D1172" i="1"/>
  <c r="E1172" i="1"/>
  <c r="A1173" i="1"/>
  <c r="B1173" i="1"/>
  <c r="C1173" i="1"/>
  <c r="D1173" i="1"/>
  <c r="E1173" i="1"/>
  <c r="A1174" i="1"/>
  <c r="B1174" i="1"/>
  <c r="C1174" i="1"/>
  <c r="D1174" i="1"/>
  <c r="E1174" i="1"/>
  <c r="A1175" i="1"/>
  <c r="B1175" i="1"/>
  <c r="C1175" i="1"/>
  <c r="D1175" i="1"/>
  <c r="E1175" i="1"/>
  <c r="A1176" i="1"/>
  <c r="B1176" i="1"/>
  <c r="C1176" i="1"/>
  <c r="D1176" i="1"/>
  <c r="E1176" i="1"/>
  <c r="A1177" i="1"/>
  <c r="B1177" i="1"/>
  <c r="C1177" i="1"/>
  <c r="D1177" i="1"/>
  <c r="E1177" i="1"/>
  <c r="A1178" i="1"/>
  <c r="B1178" i="1"/>
  <c r="C1178" i="1"/>
  <c r="D1178" i="1"/>
  <c r="E1178" i="1"/>
  <c r="A1179" i="1"/>
  <c r="B1179" i="1"/>
  <c r="C1179" i="1"/>
  <c r="D1179" i="1"/>
  <c r="E1179" i="1"/>
  <c r="A1180" i="1"/>
  <c r="B1180" i="1"/>
  <c r="C1180" i="1"/>
  <c r="D1180" i="1"/>
  <c r="E1180" i="1"/>
  <c r="A1181" i="1"/>
  <c r="B1181" i="1"/>
  <c r="C1181" i="1"/>
  <c r="D1181" i="1"/>
  <c r="E1181" i="1"/>
  <c r="A1182" i="1"/>
  <c r="B1182" i="1"/>
  <c r="C1182" i="1"/>
  <c r="D1182" i="1"/>
  <c r="E1182" i="1"/>
  <c r="A1183" i="1"/>
  <c r="B1183" i="1"/>
  <c r="C1183" i="1"/>
  <c r="D1183" i="1"/>
  <c r="E1183" i="1"/>
  <c r="A1184" i="1"/>
  <c r="B1184" i="1"/>
  <c r="C1184" i="1"/>
  <c r="D1184" i="1"/>
  <c r="E1184" i="1"/>
  <c r="A1185" i="1"/>
  <c r="B1185" i="1"/>
  <c r="C1185" i="1"/>
  <c r="D1185" i="1"/>
  <c r="E1185" i="1"/>
  <c r="A1186" i="1"/>
  <c r="B1186" i="1"/>
  <c r="C1186" i="1"/>
  <c r="D1186" i="1"/>
  <c r="E1186" i="1"/>
  <c r="A1187" i="1"/>
  <c r="B1187" i="1"/>
  <c r="C1187" i="1"/>
  <c r="D1187" i="1"/>
  <c r="E1187" i="1"/>
  <c r="A1188" i="1"/>
  <c r="B1188" i="1"/>
  <c r="C1188" i="1"/>
  <c r="D1188" i="1"/>
  <c r="E1188" i="1"/>
  <c r="A1189" i="1"/>
  <c r="B1189" i="1"/>
  <c r="C1189" i="1"/>
  <c r="D1189" i="1"/>
  <c r="E1189" i="1"/>
  <c r="A1190" i="1"/>
  <c r="B1190" i="1"/>
  <c r="C1190" i="1"/>
  <c r="D1190" i="1"/>
  <c r="E1190" i="1"/>
  <c r="A1191" i="1"/>
  <c r="B1191" i="1"/>
  <c r="C1191" i="1"/>
  <c r="D1191" i="1"/>
  <c r="E1191" i="1"/>
  <c r="A1192" i="1"/>
  <c r="B1192" i="1"/>
  <c r="C1192" i="1"/>
  <c r="D1192" i="1"/>
  <c r="E1192" i="1"/>
  <c r="A1193" i="1"/>
  <c r="B1193" i="1"/>
  <c r="C1193" i="1"/>
  <c r="D1193" i="1"/>
  <c r="E1193" i="1"/>
  <c r="A1194" i="1"/>
  <c r="B1194" i="1"/>
  <c r="C1194" i="1"/>
  <c r="D1194" i="1"/>
  <c r="E1194" i="1"/>
  <c r="A1195" i="1"/>
  <c r="B1195" i="1"/>
  <c r="C1195" i="1"/>
  <c r="D1195" i="1"/>
  <c r="E1195" i="1"/>
  <c r="A1196" i="1"/>
  <c r="B1196" i="1"/>
  <c r="C1196" i="1"/>
  <c r="D1196" i="1"/>
  <c r="E1196" i="1"/>
  <c r="A1197" i="1"/>
  <c r="B1197" i="1"/>
  <c r="C1197" i="1"/>
  <c r="D1197" i="1"/>
  <c r="E1197" i="1"/>
  <c r="A1198" i="1"/>
  <c r="B1198" i="1"/>
  <c r="C1198" i="1"/>
  <c r="D1198" i="1"/>
  <c r="E1198" i="1"/>
  <c r="A1199" i="1"/>
  <c r="B1199" i="1"/>
  <c r="C1199" i="1"/>
  <c r="D1199" i="1"/>
  <c r="E1199" i="1"/>
  <c r="A1200" i="1"/>
  <c r="B1200" i="1"/>
  <c r="C1200" i="1"/>
  <c r="D1200" i="1"/>
  <c r="E1200" i="1"/>
  <c r="A1201" i="1"/>
  <c r="B1201" i="1"/>
  <c r="C1201" i="1"/>
  <c r="D1201" i="1"/>
  <c r="E1201" i="1"/>
  <c r="A1202" i="1"/>
  <c r="B1202" i="1"/>
  <c r="C1202" i="1"/>
  <c r="D1202" i="1"/>
  <c r="E1202" i="1"/>
  <c r="A1203" i="1"/>
  <c r="B1203" i="1"/>
  <c r="C1203" i="1"/>
  <c r="D1203" i="1"/>
  <c r="E1203" i="1"/>
  <c r="A1204" i="1"/>
  <c r="B1204" i="1"/>
  <c r="C1204" i="1"/>
  <c r="D1204" i="1"/>
  <c r="E1204" i="1"/>
  <c r="A1205" i="1"/>
  <c r="B1205" i="1"/>
  <c r="C1205" i="1"/>
  <c r="D1205" i="1"/>
  <c r="E1205" i="1"/>
  <c r="A1206" i="1"/>
  <c r="B1206" i="1"/>
  <c r="C1206" i="1"/>
  <c r="D1206" i="1"/>
  <c r="E1206" i="1"/>
  <c r="A1207" i="1"/>
  <c r="B1207" i="1"/>
  <c r="C1207" i="1"/>
  <c r="D1207" i="1"/>
  <c r="E1207" i="1"/>
  <c r="A1208" i="1"/>
  <c r="B1208" i="1"/>
  <c r="C1208" i="1"/>
  <c r="D1208" i="1"/>
  <c r="E1208" i="1"/>
  <c r="A1209" i="1"/>
  <c r="B1209" i="1"/>
  <c r="C1209" i="1"/>
  <c r="D1209" i="1"/>
  <c r="E1209" i="1"/>
  <c r="A1210" i="1"/>
  <c r="B1210" i="1"/>
  <c r="C1210" i="1"/>
  <c r="D1210" i="1"/>
  <c r="E1210" i="1"/>
  <c r="A1211" i="1"/>
  <c r="B1211" i="1"/>
  <c r="C1211" i="1"/>
  <c r="D1211" i="1"/>
  <c r="E1211" i="1"/>
  <c r="A1212" i="1"/>
  <c r="B1212" i="1"/>
  <c r="C1212" i="1"/>
  <c r="D1212" i="1"/>
  <c r="E1212" i="1"/>
  <c r="A1213" i="1"/>
  <c r="B1213" i="1"/>
  <c r="C1213" i="1"/>
  <c r="D1213" i="1"/>
  <c r="E1213" i="1"/>
  <c r="A1214" i="1"/>
  <c r="B1214" i="1"/>
  <c r="C1214" i="1"/>
  <c r="D1214" i="1"/>
  <c r="E1214" i="1"/>
  <c r="A1215" i="1"/>
  <c r="B1215" i="1"/>
  <c r="C1215" i="1"/>
  <c r="D1215" i="1"/>
  <c r="E1215" i="1"/>
  <c r="A1216" i="1"/>
  <c r="B1216" i="1"/>
  <c r="C1216" i="1"/>
  <c r="D1216" i="1"/>
  <c r="E1216" i="1"/>
  <c r="A1217" i="1"/>
  <c r="B1217" i="1"/>
  <c r="C1217" i="1"/>
  <c r="D1217" i="1"/>
  <c r="E1217" i="1"/>
  <c r="A1218" i="1"/>
  <c r="B1218" i="1"/>
  <c r="C1218" i="1"/>
  <c r="D1218" i="1"/>
  <c r="E1218" i="1"/>
  <c r="A1219" i="1"/>
  <c r="B1219" i="1"/>
  <c r="C1219" i="1"/>
  <c r="D1219" i="1"/>
  <c r="E1219" i="1"/>
  <c r="A1220" i="1"/>
  <c r="B1220" i="1"/>
  <c r="C1220" i="1"/>
  <c r="D1220" i="1"/>
  <c r="E1220" i="1"/>
  <c r="A1221" i="1"/>
  <c r="B1221" i="1"/>
  <c r="C1221" i="1"/>
  <c r="D1221" i="1"/>
  <c r="E1221" i="1"/>
  <c r="A1222" i="1"/>
  <c r="B1222" i="1"/>
  <c r="C1222" i="1"/>
  <c r="D1222" i="1"/>
  <c r="E1222" i="1"/>
  <c r="A1223" i="1"/>
  <c r="B1223" i="1"/>
  <c r="C1223" i="1"/>
  <c r="D1223" i="1"/>
  <c r="E1223" i="1"/>
  <c r="A1224" i="1"/>
  <c r="B1224" i="1"/>
  <c r="C1224" i="1"/>
  <c r="D1224" i="1"/>
  <c r="E1224" i="1"/>
  <c r="A1225" i="1"/>
  <c r="B1225" i="1"/>
  <c r="C1225" i="1"/>
  <c r="D1225" i="1"/>
  <c r="E1225" i="1"/>
  <c r="A1226" i="1"/>
  <c r="B1226" i="1"/>
  <c r="C1226" i="1"/>
  <c r="D1226" i="1"/>
  <c r="E1226" i="1"/>
  <c r="A1227" i="1"/>
  <c r="B1227" i="1"/>
  <c r="C1227" i="1"/>
  <c r="D1227" i="1"/>
  <c r="E1227" i="1"/>
  <c r="A1228" i="1"/>
  <c r="B1228" i="1"/>
  <c r="C1228" i="1"/>
  <c r="D1228" i="1"/>
  <c r="E1228" i="1"/>
  <c r="A1229" i="1"/>
  <c r="B1229" i="1"/>
  <c r="C1229" i="1"/>
  <c r="D1229" i="1"/>
  <c r="E1229" i="1"/>
  <c r="A1230" i="1"/>
  <c r="B1230" i="1"/>
  <c r="C1230" i="1"/>
  <c r="D1230" i="1"/>
  <c r="E1230" i="1"/>
  <c r="A1231" i="1"/>
  <c r="B1231" i="1"/>
  <c r="C1231" i="1"/>
  <c r="D1231" i="1"/>
  <c r="E1231" i="1"/>
  <c r="A1232" i="1"/>
  <c r="B1232" i="1"/>
  <c r="C1232" i="1"/>
  <c r="D1232" i="1"/>
  <c r="E1232" i="1"/>
  <c r="A1233" i="1"/>
  <c r="B1233" i="1"/>
  <c r="C1233" i="1"/>
  <c r="D1233" i="1"/>
  <c r="E1233" i="1"/>
  <c r="A1234" i="1"/>
  <c r="B1234" i="1"/>
  <c r="C1234" i="1"/>
  <c r="D1234" i="1"/>
  <c r="E1234" i="1"/>
  <c r="A1235" i="1"/>
  <c r="B1235" i="1"/>
  <c r="C1235" i="1"/>
  <c r="D1235" i="1"/>
  <c r="E1235" i="1"/>
  <c r="A1236" i="1"/>
  <c r="B1236" i="1"/>
  <c r="C1236" i="1"/>
  <c r="D1236" i="1"/>
  <c r="E1236" i="1"/>
  <c r="A1237" i="1"/>
  <c r="B1237" i="1"/>
  <c r="C1237" i="1"/>
  <c r="D1237" i="1"/>
  <c r="E1237" i="1"/>
  <c r="A1238" i="1"/>
  <c r="B1238" i="1"/>
  <c r="C1238" i="1"/>
  <c r="D1238" i="1"/>
  <c r="E1238" i="1"/>
  <c r="A1239" i="1"/>
  <c r="B1239" i="1"/>
  <c r="C1239" i="1"/>
  <c r="D1239" i="1"/>
  <c r="E1239" i="1"/>
  <c r="A1240" i="1"/>
  <c r="B1240" i="1"/>
  <c r="C1240" i="1"/>
  <c r="D1240" i="1"/>
  <c r="E1240" i="1"/>
  <c r="A1241" i="1"/>
  <c r="B1241" i="1"/>
  <c r="C1241" i="1"/>
  <c r="D1241" i="1"/>
  <c r="E1241" i="1"/>
  <c r="A1242" i="1"/>
  <c r="B1242" i="1"/>
  <c r="C1242" i="1"/>
  <c r="D1242" i="1"/>
  <c r="E1242" i="1"/>
  <c r="A1243" i="1"/>
  <c r="B1243" i="1"/>
  <c r="C1243" i="1"/>
  <c r="D1243" i="1"/>
  <c r="E1243" i="1"/>
  <c r="A1244" i="1"/>
  <c r="B1244" i="1"/>
  <c r="C1244" i="1"/>
  <c r="D1244" i="1"/>
  <c r="E1244" i="1"/>
  <c r="A1245" i="1"/>
  <c r="B1245" i="1"/>
  <c r="C1245" i="1"/>
  <c r="D1245" i="1"/>
  <c r="E1245" i="1"/>
  <c r="A1246" i="1"/>
  <c r="B1246" i="1"/>
  <c r="C1246" i="1"/>
  <c r="D1246" i="1"/>
  <c r="E1246" i="1"/>
  <c r="A1247" i="1"/>
  <c r="B1247" i="1"/>
  <c r="C1247" i="1"/>
  <c r="D1247" i="1"/>
  <c r="E1247" i="1"/>
  <c r="A1248" i="1"/>
  <c r="B1248" i="1"/>
  <c r="C1248" i="1"/>
  <c r="D1248" i="1"/>
  <c r="E1248" i="1"/>
  <c r="A1249" i="1"/>
  <c r="B1249" i="1"/>
  <c r="C1249" i="1"/>
  <c r="D1249" i="1"/>
  <c r="E1249" i="1"/>
  <c r="A1250" i="1"/>
  <c r="B1250" i="1"/>
  <c r="C1250" i="1"/>
  <c r="D1250" i="1"/>
  <c r="E1250" i="1"/>
  <c r="A1251" i="1"/>
  <c r="B1251" i="1"/>
  <c r="C1251" i="1"/>
  <c r="D1251" i="1"/>
  <c r="E1251" i="1"/>
  <c r="A1252" i="1"/>
  <c r="B1252" i="1"/>
  <c r="C1252" i="1"/>
  <c r="D1252" i="1"/>
  <c r="E1252" i="1"/>
  <c r="A1253" i="1"/>
  <c r="B1253" i="1"/>
  <c r="C1253" i="1"/>
  <c r="D1253" i="1"/>
  <c r="E1253" i="1"/>
  <c r="A1254" i="1"/>
  <c r="B1254" i="1"/>
  <c r="C1254" i="1"/>
  <c r="D1254" i="1"/>
  <c r="E1254" i="1"/>
  <c r="A1255" i="1"/>
  <c r="B1255" i="1"/>
  <c r="C1255" i="1"/>
  <c r="D1255" i="1"/>
  <c r="E1255" i="1"/>
  <c r="A1256" i="1"/>
  <c r="B1256" i="1"/>
  <c r="C1256" i="1"/>
  <c r="D1256" i="1"/>
  <c r="E1256" i="1"/>
  <c r="A1257" i="1"/>
  <c r="B1257" i="1"/>
  <c r="C1257" i="1"/>
  <c r="D1257" i="1"/>
  <c r="E1257" i="1"/>
  <c r="A1258" i="1"/>
  <c r="B1258" i="1"/>
  <c r="C1258" i="1"/>
  <c r="D1258" i="1"/>
  <c r="E1258" i="1"/>
  <c r="A1259" i="1"/>
  <c r="B1259" i="1"/>
  <c r="C1259" i="1"/>
  <c r="D1259" i="1"/>
  <c r="E1259" i="1"/>
  <c r="A1260" i="1"/>
  <c r="B1260" i="1"/>
  <c r="C1260" i="1"/>
  <c r="D1260" i="1"/>
  <c r="E1260" i="1"/>
  <c r="A1261" i="1"/>
  <c r="B1261" i="1"/>
  <c r="C1261" i="1"/>
  <c r="D1261" i="1"/>
  <c r="E1261" i="1"/>
  <c r="A1262" i="1"/>
  <c r="B1262" i="1"/>
  <c r="C1262" i="1"/>
  <c r="D1262" i="1"/>
  <c r="E1262" i="1"/>
  <c r="A1263" i="1"/>
  <c r="B1263" i="1"/>
  <c r="C1263" i="1"/>
  <c r="D1263" i="1"/>
  <c r="E1263" i="1"/>
  <c r="A1264" i="1"/>
  <c r="B1264" i="1"/>
  <c r="C1264" i="1"/>
  <c r="D1264" i="1"/>
  <c r="E1264" i="1"/>
  <c r="A1265" i="1"/>
  <c r="B1265" i="1"/>
  <c r="C1265" i="1"/>
  <c r="D1265" i="1"/>
  <c r="E1265" i="1"/>
  <c r="A1266" i="1"/>
  <c r="B1266" i="1"/>
  <c r="C1266" i="1"/>
  <c r="D1266" i="1"/>
  <c r="E1266" i="1"/>
  <c r="A1267" i="1"/>
  <c r="B1267" i="1"/>
  <c r="C1267" i="1"/>
  <c r="D1267" i="1"/>
  <c r="E1267" i="1"/>
  <c r="A1268" i="1"/>
  <c r="B1268" i="1"/>
  <c r="C1268" i="1"/>
  <c r="D1268" i="1"/>
  <c r="E1268" i="1"/>
  <c r="A1269" i="1"/>
  <c r="B1269" i="1"/>
  <c r="C1269" i="1"/>
  <c r="D1269" i="1"/>
  <c r="E1269" i="1"/>
  <c r="A1270" i="1"/>
  <c r="B1270" i="1"/>
  <c r="C1270" i="1"/>
  <c r="D1270" i="1"/>
  <c r="E1270" i="1"/>
  <c r="A1271" i="1"/>
  <c r="B1271" i="1"/>
  <c r="C1271" i="1"/>
  <c r="D1271" i="1"/>
  <c r="E1271" i="1"/>
  <c r="A1272" i="1"/>
  <c r="B1272" i="1"/>
  <c r="C1272" i="1"/>
  <c r="D1272" i="1"/>
  <c r="E1272" i="1"/>
  <c r="A1273" i="1"/>
  <c r="B1273" i="1"/>
  <c r="C1273" i="1"/>
  <c r="D1273" i="1"/>
  <c r="E1273" i="1"/>
  <c r="A1274" i="1"/>
  <c r="B1274" i="1"/>
  <c r="C1274" i="1"/>
  <c r="D1274" i="1"/>
  <c r="E1274" i="1"/>
  <c r="A1275" i="1"/>
  <c r="B1275" i="1"/>
  <c r="C1275" i="1"/>
  <c r="D1275" i="1"/>
  <c r="E1275" i="1"/>
  <c r="A1276" i="1"/>
  <c r="B1276" i="1"/>
  <c r="C1276" i="1"/>
  <c r="D1276" i="1"/>
  <c r="E1276" i="1"/>
  <c r="A1277" i="1"/>
  <c r="B1277" i="1"/>
  <c r="C1277" i="1"/>
  <c r="D1277" i="1"/>
  <c r="E1277" i="1"/>
  <c r="A1278" i="1"/>
  <c r="B1278" i="1"/>
  <c r="C1278" i="1"/>
  <c r="D1278" i="1"/>
  <c r="E1278" i="1"/>
  <c r="A1279" i="1"/>
  <c r="B1279" i="1"/>
  <c r="C1279" i="1"/>
  <c r="D1279" i="1"/>
  <c r="E1279" i="1"/>
  <c r="A1280" i="1"/>
  <c r="B1280" i="1"/>
  <c r="C1280" i="1"/>
  <c r="D1280" i="1"/>
  <c r="E1280" i="1"/>
  <c r="A1281" i="1"/>
  <c r="B1281" i="1"/>
  <c r="C1281" i="1"/>
  <c r="D1281" i="1"/>
  <c r="E1281" i="1"/>
  <c r="A1282" i="1"/>
  <c r="B1282" i="1"/>
  <c r="C1282" i="1"/>
  <c r="D1282" i="1"/>
  <c r="E1282" i="1"/>
  <c r="A1283" i="1"/>
  <c r="B1283" i="1"/>
  <c r="C1283" i="1"/>
  <c r="D1283" i="1"/>
  <c r="E1283" i="1"/>
  <c r="A1284" i="1"/>
  <c r="B1284" i="1"/>
  <c r="C1284" i="1"/>
  <c r="D1284" i="1"/>
  <c r="E1284" i="1"/>
  <c r="A1285" i="1"/>
  <c r="B1285" i="1"/>
  <c r="C1285" i="1"/>
  <c r="D1285" i="1"/>
  <c r="E1285" i="1"/>
  <c r="A1286" i="1"/>
  <c r="B1286" i="1"/>
  <c r="C1286" i="1"/>
  <c r="D1286" i="1"/>
  <c r="E1286" i="1"/>
  <c r="A1287" i="1"/>
  <c r="B1287" i="1"/>
  <c r="C1287" i="1"/>
  <c r="D1287" i="1"/>
  <c r="E1287" i="1"/>
  <c r="A1288" i="1"/>
  <c r="B1288" i="1"/>
  <c r="C1288" i="1"/>
  <c r="D1288" i="1"/>
  <c r="E1288" i="1"/>
  <c r="A1289" i="1"/>
  <c r="B1289" i="1"/>
  <c r="C1289" i="1"/>
  <c r="D1289" i="1"/>
  <c r="E1289" i="1"/>
  <c r="A1290" i="1"/>
  <c r="B1290" i="1"/>
  <c r="C1290" i="1"/>
  <c r="D1290" i="1"/>
  <c r="E1290" i="1"/>
  <c r="A1291" i="1"/>
  <c r="B1291" i="1"/>
  <c r="C1291" i="1"/>
  <c r="D1291" i="1"/>
  <c r="E1291" i="1"/>
  <c r="A1292" i="1"/>
  <c r="B1292" i="1"/>
  <c r="C1292" i="1"/>
  <c r="D1292" i="1"/>
  <c r="E1292" i="1"/>
  <c r="A1293" i="1"/>
  <c r="B1293" i="1"/>
  <c r="C1293" i="1"/>
  <c r="D1293" i="1"/>
  <c r="E1293" i="1"/>
  <c r="A1294" i="1"/>
  <c r="B1294" i="1"/>
  <c r="C1294" i="1"/>
  <c r="D1294" i="1"/>
  <c r="E1294" i="1"/>
  <c r="A1295" i="1"/>
  <c r="B1295" i="1"/>
  <c r="C1295" i="1"/>
  <c r="D1295" i="1"/>
  <c r="E1295" i="1"/>
  <c r="A1296" i="1"/>
  <c r="B1296" i="1"/>
  <c r="C1296" i="1"/>
  <c r="D1296" i="1"/>
  <c r="E1296" i="1"/>
  <c r="A1297" i="1"/>
  <c r="B1297" i="1"/>
  <c r="C1297" i="1"/>
  <c r="D1297" i="1"/>
  <c r="E1297" i="1"/>
  <c r="A1298" i="1"/>
  <c r="B1298" i="1"/>
  <c r="C1298" i="1"/>
  <c r="D1298" i="1"/>
  <c r="E1298" i="1"/>
  <c r="A1299" i="1"/>
  <c r="B1299" i="1"/>
  <c r="C1299" i="1"/>
  <c r="D1299" i="1"/>
  <c r="E1299" i="1"/>
  <c r="A1300" i="1"/>
  <c r="B1300" i="1"/>
  <c r="C1300" i="1"/>
  <c r="D1300" i="1"/>
  <c r="E1300" i="1"/>
  <c r="A1301" i="1"/>
  <c r="B1301" i="1"/>
  <c r="C1301" i="1"/>
  <c r="D1301" i="1"/>
  <c r="E1301" i="1"/>
  <c r="A1302" i="1"/>
  <c r="B1302" i="1"/>
  <c r="C1302" i="1"/>
  <c r="D1302" i="1"/>
  <c r="E1302" i="1"/>
  <c r="A1303" i="1"/>
  <c r="B1303" i="1"/>
  <c r="C1303" i="1"/>
  <c r="D1303" i="1"/>
  <c r="E1303" i="1"/>
  <c r="A1304" i="1"/>
  <c r="B1304" i="1"/>
  <c r="C1304" i="1"/>
  <c r="D1304" i="1"/>
  <c r="E1304" i="1"/>
  <c r="A1305" i="1"/>
  <c r="B1305" i="1"/>
  <c r="C1305" i="1"/>
  <c r="D1305" i="1"/>
  <c r="E1305" i="1"/>
  <c r="A1306" i="1"/>
  <c r="B1306" i="1"/>
  <c r="C1306" i="1"/>
  <c r="D1306" i="1"/>
  <c r="E1306" i="1"/>
  <c r="A1307" i="1"/>
  <c r="B1307" i="1"/>
  <c r="C1307" i="1"/>
  <c r="D1307" i="1"/>
  <c r="E1307" i="1"/>
  <c r="A1308" i="1"/>
  <c r="B1308" i="1"/>
  <c r="C1308" i="1"/>
  <c r="D1308" i="1"/>
  <c r="E1308" i="1"/>
  <c r="A1309" i="1"/>
  <c r="B1309" i="1"/>
  <c r="C1309" i="1"/>
  <c r="D1309" i="1"/>
  <c r="E1309" i="1"/>
  <c r="A1310" i="1"/>
  <c r="B1310" i="1"/>
  <c r="C1310" i="1"/>
  <c r="D1310" i="1"/>
  <c r="E1310" i="1"/>
  <c r="A1311" i="1"/>
  <c r="B1311" i="1"/>
  <c r="C1311" i="1"/>
  <c r="D1311" i="1"/>
  <c r="E1311" i="1"/>
  <c r="A1312" i="1"/>
  <c r="B1312" i="1"/>
  <c r="C1312" i="1"/>
  <c r="D1312" i="1"/>
  <c r="E1312" i="1"/>
  <c r="A1313" i="1"/>
  <c r="B1313" i="1"/>
  <c r="C1313" i="1"/>
  <c r="D1313" i="1"/>
  <c r="E1313" i="1"/>
  <c r="A1314" i="1"/>
  <c r="B1314" i="1"/>
  <c r="C1314" i="1"/>
  <c r="D1314" i="1"/>
  <c r="E1314" i="1"/>
  <c r="A1315" i="1"/>
  <c r="B1315" i="1"/>
  <c r="C1315" i="1"/>
  <c r="D1315" i="1"/>
  <c r="E1315" i="1"/>
  <c r="A1316" i="1"/>
  <c r="B1316" i="1"/>
  <c r="C1316" i="1"/>
  <c r="D1316" i="1"/>
  <c r="E1316" i="1"/>
  <c r="A1317" i="1"/>
  <c r="B1317" i="1"/>
  <c r="C1317" i="1"/>
  <c r="D1317" i="1"/>
  <c r="E1317" i="1"/>
  <c r="A1318" i="1"/>
  <c r="B1318" i="1"/>
  <c r="C1318" i="1"/>
  <c r="D1318" i="1"/>
  <c r="E1318" i="1"/>
  <c r="A1319" i="1"/>
  <c r="B1319" i="1"/>
  <c r="C1319" i="1"/>
  <c r="D1319" i="1"/>
  <c r="E1319" i="1"/>
  <c r="A1320" i="1"/>
  <c r="B1320" i="1"/>
  <c r="C1320" i="1"/>
  <c r="D1320" i="1"/>
  <c r="E1320" i="1"/>
  <c r="A1321" i="1"/>
  <c r="B1321" i="1"/>
  <c r="C1321" i="1"/>
  <c r="D1321" i="1"/>
  <c r="E1321" i="1"/>
  <c r="A1322" i="1"/>
  <c r="B1322" i="1"/>
  <c r="C1322" i="1"/>
  <c r="D1322" i="1"/>
  <c r="E1322" i="1"/>
  <c r="A1323" i="1"/>
  <c r="B1323" i="1"/>
  <c r="C1323" i="1"/>
  <c r="D1323" i="1"/>
  <c r="E1323" i="1"/>
  <c r="A1324" i="1"/>
  <c r="B1324" i="1"/>
  <c r="C1324" i="1"/>
  <c r="D1324" i="1"/>
  <c r="E1324" i="1"/>
  <c r="A1325" i="1"/>
  <c r="B1325" i="1"/>
  <c r="C1325" i="1"/>
  <c r="D1325" i="1"/>
  <c r="E1325" i="1"/>
  <c r="A1326" i="1"/>
  <c r="B1326" i="1"/>
  <c r="C1326" i="1"/>
  <c r="D1326" i="1"/>
  <c r="E1326" i="1"/>
  <c r="A1327" i="1"/>
  <c r="B1327" i="1"/>
  <c r="C1327" i="1"/>
  <c r="D1327" i="1"/>
  <c r="E1327" i="1"/>
  <c r="A1328" i="1"/>
  <c r="B1328" i="1"/>
  <c r="C1328" i="1"/>
  <c r="D1328" i="1"/>
  <c r="E1328" i="1"/>
  <c r="A1329" i="1"/>
  <c r="B1329" i="1"/>
  <c r="C1329" i="1"/>
  <c r="D1329" i="1"/>
  <c r="E1329" i="1"/>
  <c r="A1330" i="1"/>
  <c r="B1330" i="1"/>
  <c r="C1330" i="1"/>
  <c r="D1330" i="1"/>
  <c r="E1330" i="1"/>
  <c r="A1331" i="1"/>
  <c r="B1331" i="1"/>
  <c r="C1331" i="1"/>
  <c r="D1331" i="1"/>
  <c r="E1331" i="1"/>
  <c r="A1332" i="1"/>
  <c r="B1332" i="1"/>
  <c r="C1332" i="1"/>
  <c r="D1332" i="1"/>
  <c r="E1332" i="1"/>
  <c r="A1333" i="1"/>
  <c r="B1333" i="1"/>
  <c r="C1333" i="1"/>
  <c r="D1333" i="1"/>
  <c r="E1333" i="1"/>
  <c r="A1334" i="1"/>
  <c r="B1334" i="1"/>
  <c r="C1334" i="1"/>
  <c r="D1334" i="1"/>
  <c r="E1334" i="1"/>
  <c r="A1335" i="1"/>
  <c r="B1335" i="1"/>
  <c r="C1335" i="1"/>
  <c r="D1335" i="1"/>
  <c r="E1335" i="1"/>
  <c r="A1336" i="1"/>
  <c r="B1336" i="1"/>
  <c r="C1336" i="1"/>
  <c r="D1336" i="1"/>
  <c r="E1336" i="1"/>
  <c r="A1337" i="1"/>
  <c r="B1337" i="1"/>
  <c r="C1337" i="1"/>
  <c r="D1337" i="1"/>
  <c r="E1337" i="1"/>
  <c r="A1338" i="1"/>
  <c r="B1338" i="1"/>
  <c r="C1338" i="1"/>
  <c r="D1338" i="1"/>
  <c r="E1338" i="1"/>
  <c r="A1339" i="1"/>
  <c r="B1339" i="1"/>
  <c r="C1339" i="1"/>
  <c r="D1339" i="1"/>
  <c r="E1339" i="1"/>
  <c r="A1340" i="1"/>
  <c r="B1340" i="1"/>
  <c r="C1340" i="1"/>
  <c r="D1340" i="1"/>
  <c r="E1340" i="1"/>
  <c r="A1341" i="1"/>
  <c r="B1341" i="1"/>
  <c r="C1341" i="1"/>
  <c r="D1341" i="1"/>
  <c r="E1341" i="1"/>
  <c r="A1342" i="1"/>
  <c r="B1342" i="1"/>
  <c r="C1342" i="1"/>
  <c r="D1342" i="1"/>
  <c r="E1342" i="1"/>
  <c r="A1343" i="1"/>
  <c r="B1343" i="1"/>
  <c r="C1343" i="1"/>
  <c r="D1343" i="1"/>
  <c r="E1343" i="1"/>
  <c r="A1344" i="1"/>
  <c r="B1344" i="1"/>
  <c r="C1344" i="1"/>
  <c r="D1344" i="1"/>
  <c r="E1344" i="1"/>
  <c r="A1345" i="1"/>
  <c r="B1345" i="1"/>
  <c r="C1345" i="1"/>
  <c r="D1345" i="1"/>
  <c r="E1345" i="1"/>
  <c r="A1346" i="1"/>
  <c r="B1346" i="1"/>
  <c r="C1346" i="1"/>
  <c r="D1346" i="1"/>
  <c r="E1346" i="1"/>
  <c r="A1347" i="1"/>
  <c r="B1347" i="1"/>
  <c r="C1347" i="1"/>
  <c r="D1347" i="1"/>
  <c r="E1347" i="1"/>
  <c r="A1348" i="1"/>
  <c r="B1348" i="1"/>
  <c r="C1348" i="1"/>
  <c r="D1348" i="1"/>
  <c r="E1348" i="1"/>
  <c r="A1349" i="1"/>
  <c r="B1349" i="1"/>
  <c r="C1349" i="1"/>
  <c r="D1349" i="1"/>
  <c r="E1349" i="1"/>
  <c r="A1350" i="1"/>
  <c r="B1350" i="1"/>
  <c r="C1350" i="1"/>
  <c r="D1350" i="1"/>
  <c r="E1350" i="1"/>
  <c r="A1351" i="1"/>
  <c r="B1351" i="1"/>
  <c r="C1351" i="1"/>
  <c r="D1351" i="1"/>
  <c r="E1351" i="1"/>
  <c r="A1352" i="1"/>
  <c r="B1352" i="1"/>
  <c r="C1352" i="1"/>
  <c r="D1352" i="1"/>
  <c r="E1352" i="1"/>
  <c r="A1353" i="1"/>
  <c r="B1353" i="1"/>
  <c r="C1353" i="1"/>
  <c r="D1353" i="1"/>
  <c r="E1353" i="1"/>
  <c r="A1354" i="1"/>
  <c r="B1354" i="1"/>
  <c r="C1354" i="1"/>
  <c r="D1354" i="1"/>
  <c r="E1354" i="1"/>
  <c r="A1355" i="1"/>
  <c r="B1355" i="1"/>
  <c r="C1355" i="1"/>
  <c r="D1355" i="1"/>
  <c r="E1355" i="1"/>
  <c r="A1356" i="1"/>
  <c r="B1356" i="1"/>
  <c r="C1356" i="1"/>
  <c r="D1356" i="1"/>
  <c r="E1356" i="1"/>
  <c r="A1357" i="1"/>
  <c r="B1357" i="1"/>
  <c r="C1357" i="1"/>
  <c r="D1357" i="1"/>
  <c r="E1357" i="1"/>
  <c r="A1358" i="1"/>
  <c r="B1358" i="1"/>
  <c r="C1358" i="1"/>
  <c r="D1358" i="1"/>
  <c r="E1358" i="1"/>
  <c r="A1359" i="1"/>
  <c r="B1359" i="1"/>
  <c r="C1359" i="1"/>
  <c r="D1359" i="1"/>
  <c r="E1359" i="1"/>
  <c r="A1360" i="1"/>
  <c r="B1360" i="1"/>
  <c r="C1360" i="1"/>
  <c r="D1360" i="1"/>
  <c r="E1360" i="1"/>
  <c r="A1361" i="1"/>
  <c r="B1361" i="1"/>
  <c r="C1361" i="1"/>
  <c r="D1361" i="1"/>
  <c r="E1361" i="1"/>
  <c r="A1362" i="1"/>
  <c r="B1362" i="1"/>
  <c r="C1362" i="1"/>
  <c r="D1362" i="1"/>
  <c r="E1362" i="1"/>
  <c r="A1363" i="1"/>
  <c r="B1363" i="1"/>
  <c r="C1363" i="1"/>
  <c r="D1363" i="1"/>
  <c r="E1363" i="1"/>
  <c r="A1364" i="1"/>
  <c r="B1364" i="1"/>
  <c r="C1364" i="1"/>
  <c r="D1364" i="1"/>
  <c r="E1364" i="1"/>
  <c r="A1365" i="1"/>
  <c r="B1365" i="1"/>
  <c r="C1365" i="1"/>
  <c r="D1365" i="1"/>
  <c r="E1365" i="1"/>
  <c r="A1366" i="1"/>
  <c r="B1366" i="1"/>
  <c r="C1366" i="1"/>
  <c r="D1366" i="1"/>
  <c r="E1366" i="1"/>
  <c r="A1367" i="1"/>
  <c r="B1367" i="1"/>
  <c r="C1367" i="1"/>
  <c r="D1367" i="1"/>
  <c r="E1367" i="1"/>
  <c r="A1368" i="1"/>
  <c r="B1368" i="1"/>
  <c r="C1368" i="1"/>
  <c r="D1368" i="1"/>
  <c r="E1368" i="1"/>
  <c r="A1369" i="1"/>
  <c r="B1369" i="1"/>
  <c r="C1369" i="1"/>
  <c r="D1369" i="1"/>
  <c r="E1369" i="1"/>
  <c r="A1370" i="1"/>
  <c r="B1370" i="1"/>
  <c r="C1370" i="1"/>
  <c r="D1370" i="1"/>
  <c r="E1370" i="1"/>
  <c r="A1371" i="1"/>
  <c r="B1371" i="1"/>
  <c r="C1371" i="1"/>
  <c r="D1371" i="1"/>
  <c r="E1371" i="1"/>
  <c r="A1372" i="1"/>
  <c r="B1372" i="1"/>
  <c r="C1372" i="1"/>
  <c r="D1372" i="1"/>
  <c r="E1372" i="1"/>
  <c r="A1373" i="1"/>
  <c r="B1373" i="1"/>
  <c r="C1373" i="1"/>
  <c r="D1373" i="1"/>
  <c r="E1373" i="1"/>
  <c r="A1374" i="1"/>
  <c r="B1374" i="1"/>
  <c r="C1374" i="1"/>
  <c r="D1374" i="1"/>
  <c r="E1374" i="1"/>
  <c r="A1375" i="1"/>
  <c r="B1375" i="1"/>
  <c r="C1375" i="1"/>
  <c r="D1375" i="1"/>
  <c r="E1375" i="1"/>
  <c r="A1376" i="1"/>
  <c r="B1376" i="1"/>
  <c r="C1376" i="1"/>
  <c r="D1376" i="1"/>
  <c r="E1376" i="1"/>
  <c r="A1377" i="1"/>
  <c r="B1377" i="1"/>
  <c r="C1377" i="1"/>
  <c r="D1377" i="1"/>
  <c r="E1377" i="1"/>
  <c r="A1378" i="1"/>
  <c r="B1378" i="1"/>
  <c r="C1378" i="1"/>
  <c r="D1378" i="1"/>
  <c r="E1378" i="1"/>
  <c r="A1379" i="1"/>
  <c r="B1379" i="1"/>
  <c r="C1379" i="1"/>
  <c r="D1379" i="1"/>
  <c r="E1379" i="1"/>
  <c r="A1380" i="1"/>
  <c r="B1380" i="1"/>
  <c r="C1380" i="1"/>
  <c r="D1380" i="1"/>
  <c r="E1380" i="1"/>
  <c r="A1381" i="1"/>
  <c r="B1381" i="1"/>
  <c r="C1381" i="1"/>
  <c r="D1381" i="1"/>
  <c r="E1381" i="1"/>
  <c r="A1382" i="1"/>
  <c r="B1382" i="1"/>
  <c r="C1382" i="1"/>
  <c r="D1382" i="1"/>
  <c r="E1382" i="1"/>
  <c r="A1383" i="1"/>
  <c r="B1383" i="1"/>
  <c r="C1383" i="1"/>
  <c r="D1383" i="1"/>
  <c r="E1383" i="1"/>
  <c r="A1384" i="1"/>
  <c r="B1384" i="1"/>
  <c r="C1384" i="1"/>
  <c r="D1384" i="1"/>
  <c r="E1384" i="1"/>
  <c r="A1385" i="1"/>
  <c r="B1385" i="1"/>
  <c r="C1385" i="1"/>
  <c r="D1385" i="1"/>
  <c r="E1385" i="1"/>
  <c r="A1386" i="1"/>
  <c r="B1386" i="1"/>
  <c r="C1386" i="1"/>
  <c r="D1386" i="1"/>
  <c r="E1386" i="1"/>
  <c r="A1387" i="1"/>
  <c r="B1387" i="1"/>
  <c r="C1387" i="1"/>
  <c r="D1387" i="1"/>
  <c r="E1387" i="1"/>
  <c r="A1388" i="1"/>
  <c r="B1388" i="1"/>
  <c r="C1388" i="1"/>
  <c r="D1388" i="1"/>
  <c r="E1388" i="1"/>
  <c r="A1389" i="1"/>
  <c r="B1389" i="1"/>
  <c r="C1389" i="1"/>
  <c r="D1389" i="1"/>
  <c r="E1389" i="1"/>
  <c r="A1390" i="1"/>
  <c r="B1390" i="1"/>
  <c r="C1390" i="1"/>
  <c r="D1390" i="1"/>
  <c r="E1390" i="1"/>
  <c r="A1391" i="1"/>
  <c r="B1391" i="1"/>
  <c r="C1391" i="1"/>
  <c r="D1391" i="1"/>
  <c r="E1391" i="1"/>
  <c r="A1392" i="1"/>
  <c r="B1392" i="1"/>
  <c r="C1392" i="1"/>
  <c r="D1392" i="1"/>
  <c r="E1392" i="1"/>
  <c r="A1393" i="1"/>
  <c r="B1393" i="1"/>
  <c r="C1393" i="1"/>
  <c r="D1393" i="1"/>
  <c r="E1393" i="1"/>
  <c r="A1394" i="1"/>
  <c r="B1394" i="1"/>
  <c r="C1394" i="1"/>
  <c r="D1394" i="1"/>
  <c r="E1394" i="1"/>
  <c r="A1395" i="1"/>
  <c r="B1395" i="1"/>
  <c r="C1395" i="1"/>
  <c r="D1395" i="1"/>
  <c r="E1395" i="1"/>
  <c r="A1396" i="1"/>
  <c r="B1396" i="1"/>
  <c r="C1396" i="1"/>
  <c r="D1396" i="1"/>
  <c r="E1396" i="1"/>
  <c r="A1397" i="1"/>
  <c r="B1397" i="1"/>
  <c r="C1397" i="1"/>
  <c r="D1397" i="1"/>
  <c r="E1397" i="1"/>
  <c r="A1398" i="1"/>
  <c r="B1398" i="1"/>
  <c r="C1398" i="1"/>
  <c r="D1398" i="1"/>
  <c r="E1398" i="1"/>
  <c r="A1399" i="1"/>
  <c r="B1399" i="1"/>
  <c r="C1399" i="1"/>
  <c r="D1399" i="1"/>
  <c r="E1399" i="1"/>
  <c r="A1400" i="1"/>
  <c r="B1400" i="1"/>
  <c r="C1400" i="1"/>
  <c r="D1400" i="1"/>
  <c r="E1400" i="1"/>
  <c r="A1401" i="1"/>
  <c r="B1401" i="1"/>
  <c r="C1401" i="1"/>
  <c r="D1401" i="1"/>
  <c r="E1401" i="1"/>
  <c r="A1402" i="1"/>
  <c r="B1402" i="1"/>
  <c r="C1402" i="1"/>
  <c r="D1402" i="1"/>
  <c r="E1402" i="1"/>
  <c r="A1403" i="1"/>
  <c r="B1403" i="1"/>
  <c r="C1403" i="1"/>
  <c r="D1403" i="1"/>
  <c r="E1403" i="1"/>
  <c r="A1404" i="1"/>
  <c r="B1404" i="1"/>
  <c r="C1404" i="1"/>
  <c r="D1404" i="1"/>
  <c r="E1404" i="1"/>
  <c r="A1405" i="1"/>
  <c r="B1405" i="1"/>
  <c r="C1405" i="1"/>
  <c r="D1405" i="1"/>
  <c r="E1405" i="1"/>
  <c r="A1406" i="1"/>
  <c r="B1406" i="1"/>
  <c r="C1406" i="1"/>
  <c r="D1406" i="1"/>
  <c r="E1406" i="1"/>
  <c r="A1407" i="1"/>
  <c r="B1407" i="1"/>
  <c r="C1407" i="1"/>
  <c r="D1407" i="1"/>
  <c r="E1407" i="1"/>
  <c r="A1408" i="1"/>
  <c r="B1408" i="1"/>
  <c r="C1408" i="1"/>
  <c r="D1408" i="1"/>
  <c r="E1408" i="1"/>
  <c r="A1409" i="1"/>
  <c r="B1409" i="1"/>
  <c r="C1409" i="1"/>
  <c r="D1409" i="1"/>
  <c r="E1409" i="1"/>
  <c r="A1410" i="1"/>
  <c r="B1410" i="1"/>
  <c r="C1410" i="1"/>
  <c r="D1410" i="1"/>
  <c r="E1410" i="1"/>
  <c r="A1411" i="1"/>
  <c r="B1411" i="1"/>
  <c r="C1411" i="1"/>
  <c r="D1411" i="1"/>
  <c r="E1411" i="1"/>
  <c r="A1412" i="1"/>
  <c r="B1412" i="1"/>
  <c r="C1412" i="1"/>
  <c r="D1412" i="1"/>
  <c r="E1412" i="1"/>
  <c r="A1413" i="1"/>
  <c r="B1413" i="1"/>
  <c r="C1413" i="1"/>
  <c r="D1413" i="1"/>
  <c r="E1413" i="1"/>
  <c r="A1414" i="1"/>
  <c r="B1414" i="1"/>
  <c r="C1414" i="1"/>
  <c r="D1414" i="1"/>
  <c r="E1414" i="1"/>
  <c r="A1415" i="1"/>
  <c r="B1415" i="1"/>
  <c r="C1415" i="1"/>
  <c r="D1415" i="1"/>
  <c r="E1415" i="1"/>
  <c r="A1416" i="1"/>
  <c r="B1416" i="1"/>
  <c r="C1416" i="1"/>
  <c r="D1416" i="1"/>
  <c r="E1416" i="1"/>
  <c r="A1417" i="1"/>
  <c r="B1417" i="1"/>
  <c r="C1417" i="1"/>
  <c r="D1417" i="1"/>
  <c r="E1417" i="1"/>
  <c r="A1418" i="1"/>
  <c r="B1418" i="1"/>
  <c r="C1418" i="1"/>
  <c r="D1418" i="1"/>
  <c r="E1418" i="1"/>
  <c r="A1419" i="1"/>
  <c r="B1419" i="1"/>
  <c r="C1419" i="1"/>
  <c r="D1419" i="1"/>
  <c r="E1419" i="1"/>
  <c r="A1420" i="1"/>
  <c r="B1420" i="1"/>
  <c r="C1420" i="1"/>
  <c r="D1420" i="1"/>
  <c r="E1420" i="1"/>
  <c r="A1421" i="1"/>
  <c r="B1421" i="1"/>
  <c r="C1421" i="1"/>
  <c r="D1421" i="1"/>
  <c r="E1421" i="1"/>
  <c r="A1422" i="1"/>
  <c r="B1422" i="1"/>
  <c r="C1422" i="1"/>
  <c r="D1422" i="1"/>
  <c r="E1422" i="1"/>
  <c r="A1423" i="1"/>
  <c r="B1423" i="1"/>
  <c r="C1423" i="1"/>
  <c r="D1423" i="1"/>
  <c r="E1423" i="1"/>
  <c r="A1424" i="1"/>
  <c r="B1424" i="1"/>
  <c r="C1424" i="1"/>
  <c r="D1424" i="1"/>
  <c r="E1424" i="1"/>
  <c r="A1425" i="1"/>
  <c r="B1425" i="1"/>
  <c r="C1425" i="1"/>
  <c r="D1425" i="1"/>
  <c r="E1425" i="1"/>
  <c r="A1426" i="1"/>
  <c r="B1426" i="1"/>
  <c r="C1426" i="1"/>
  <c r="D1426" i="1"/>
  <c r="E1426" i="1"/>
  <c r="A1427" i="1"/>
  <c r="B1427" i="1"/>
  <c r="C1427" i="1"/>
  <c r="D1427" i="1"/>
  <c r="E1427" i="1"/>
  <c r="A1428" i="1"/>
  <c r="B1428" i="1"/>
  <c r="C1428" i="1"/>
  <c r="D1428" i="1"/>
  <c r="E1428" i="1"/>
  <c r="A1429" i="1"/>
  <c r="B1429" i="1"/>
  <c r="C1429" i="1"/>
  <c r="D1429" i="1"/>
  <c r="E1429" i="1"/>
  <c r="A1430" i="1"/>
  <c r="B1430" i="1"/>
  <c r="C1430" i="1"/>
  <c r="D1430" i="1"/>
  <c r="E1430" i="1"/>
  <c r="A1431" i="1"/>
  <c r="B1431" i="1"/>
  <c r="C1431" i="1"/>
  <c r="D1431" i="1"/>
  <c r="E1431" i="1"/>
  <c r="A1432" i="1"/>
  <c r="B1432" i="1"/>
  <c r="C1432" i="1"/>
  <c r="D1432" i="1"/>
  <c r="E1432" i="1"/>
  <c r="A1433" i="1"/>
  <c r="B1433" i="1"/>
  <c r="C1433" i="1"/>
  <c r="D1433" i="1"/>
  <c r="E1433" i="1"/>
  <c r="A1434" i="1"/>
  <c r="B1434" i="1"/>
  <c r="C1434" i="1"/>
  <c r="D1434" i="1"/>
  <c r="E1434" i="1"/>
  <c r="A1435" i="1"/>
  <c r="B1435" i="1"/>
  <c r="C1435" i="1"/>
  <c r="D1435" i="1"/>
  <c r="E1435" i="1"/>
  <c r="A1436" i="1"/>
  <c r="B1436" i="1"/>
  <c r="C1436" i="1"/>
  <c r="D1436" i="1"/>
  <c r="E1436" i="1"/>
  <c r="A1437" i="1"/>
  <c r="B1437" i="1"/>
  <c r="C1437" i="1"/>
  <c r="D1437" i="1"/>
  <c r="E1437" i="1"/>
  <c r="A1438" i="1"/>
  <c r="B1438" i="1"/>
  <c r="C1438" i="1"/>
  <c r="D1438" i="1"/>
  <c r="E1438" i="1"/>
  <c r="A1439" i="1"/>
  <c r="B1439" i="1"/>
  <c r="C1439" i="1"/>
  <c r="D1439" i="1"/>
  <c r="E1439" i="1"/>
  <c r="A1440" i="1"/>
  <c r="B1440" i="1"/>
  <c r="C1440" i="1"/>
  <c r="D1440" i="1"/>
  <c r="E1440" i="1"/>
  <c r="A1441" i="1"/>
  <c r="B1441" i="1"/>
  <c r="C1441" i="1"/>
  <c r="D1441" i="1"/>
  <c r="E1441" i="1"/>
  <c r="A1442" i="1"/>
  <c r="B1442" i="1"/>
  <c r="C1442" i="1"/>
  <c r="D1442" i="1"/>
  <c r="E1442" i="1"/>
  <c r="A1443" i="1"/>
  <c r="B1443" i="1"/>
  <c r="C1443" i="1"/>
  <c r="D1443" i="1"/>
  <c r="E1443" i="1"/>
  <c r="A1444" i="1"/>
  <c r="B1444" i="1"/>
  <c r="C1444" i="1"/>
  <c r="D1444" i="1"/>
  <c r="E1444" i="1"/>
  <c r="A1445" i="1"/>
  <c r="B1445" i="1"/>
  <c r="C1445" i="1"/>
  <c r="D1445" i="1"/>
  <c r="E1445" i="1"/>
  <c r="A1446" i="1"/>
  <c r="B1446" i="1"/>
  <c r="C1446" i="1"/>
  <c r="D1446" i="1"/>
  <c r="E1446" i="1"/>
  <c r="A1447" i="1"/>
  <c r="B1447" i="1"/>
  <c r="C1447" i="1"/>
  <c r="D1447" i="1"/>
  <c r="E1447" i="1"/>
  <c r="A1448" i="1"/>
  <c r="B1448" i="1"/>
  <c r="C1448" i="1"/>
  <c r="D1448" i="1"/>
  <c r="E1448" i="1"/>
  <c r="A1449" i="1"/>
  <c r="B1449" i="1"/>
  <c r="C1449" i="1"/>
  <c r="D1449" i="1"/>
  <c r="E1449" i="1"/>
  <c r="A1450" i="1"/>
  <c r="B1450" i="1"/>
  <c r="C1450" i="1"/>
  <c r="D1450" i="1"/>
  <c r="E1450" i="1"/>
  <c r="A1451" i="1"/>
  <c r="B1451" i="1"/>
  <c r="C1451" i="1"/>
  <c r="D1451" i="1"/>
  <c r="E1451" i="1"/>
  <c r="A1452" i="1"/>
  <c r="B1452" i="1"/>
  <c r="C1452" i="1"/>
  <c r="D1452" i="1"/>
  <c r="E1452" i="1"/>
  <c r="A1453" i="1"/>
  <c r="B1453" i="1"/>
  <c r="C1453" i="1"/>
  <c r="D1453" i="1"/>
  <c r="E1453" i="1"/>
  <c r="A1454" i="1"/>
  <c r="B1454" i="1"/>
  <c r="C1454" i="1"/>
  <c r="D1454" i="1"/>
  <c r="E1454" i="1"/>
  <c r="A1455" i="1"/>
  <c r="B1455" i="1"/>
  <c r="C1455" i="1"/>
  <c r="D1455" i="1"/>
  <c r="E1455" i="1"/>
  <c r="A1456" i="1"/>
  <c r="B1456" i="1"/>
  <c r="C1456" i="1"/>
  <c r="D1456" i="1"/>
  <c r="E1456" i="1"/>
  <c r="A1457" i="1"/>
  <c r="B1457" i="1"/>
  <c r="C1457" i="1"/>
  <c r="D1457" i="1"/>
  <c r="E1457" i="1"/>
  <c r="A1458" i="1"/>
  <c r="B1458" i="1"/>
  <c r="C1458" i="1"/>
  <c r="D1458" i="1"/>
  <c r="E1458" i="1"/>
  <c r="A1459" i="1"/>
  <c r="B1459" i="1"/>
  <c r="C1459" i="1"/>
  <c r="D1459" i="1"/>
  <c r="E1459" i="1"/>
  <c r="A1460" i="1"/>
  <c r="B1460" i="1"/>
  <c r="C1460" i="1"/>
  <c r="D1460" i="1"/>
  <c r="E1460" i="1"/>
  <c r="A1461" i="1"/>
  <c r="B1461" i="1"/>
  <c r="C1461" i="1"/>
  <c r="D1461" i="1"/>
  <c r="E1461" i="1"/>
  <c r="A1462" i="1"/>
  <c r="B1462" i="1"/>
  <c r="C1462" i="1"/>
  <c r="D1462" i="1"/>
  <c r="E1462" i="1"/>
  <c r="A1463" i="1"/>
  <c r="B1463" i="1"/>
  <c r="C1463" i="1"/>
  <c r="D1463" i="1"/>
  <c r="E1463" i="1"/>
  <c r="A1464" i="1"/>
  <c r="B1464" i="1"/>
  <c r="C1464" i="1"/>
  <c r="D1464" i="1"/>
  <c r="E1464" i="1"/>
  <c r="A1465" i="1"/>
  <c r="B1465" i="1"/>
  <c r="C1465" i="1"/>
  <c r="D1465" i="1"/>
  <c r="E1465" i="1"/>
  <c r="A1466" i="1"/>
  <c r="B1466" i="1"/>
  <c r="C1466" i="1"/>
  <c r="D1466" i="1"/>
  <c r="E1466" i="1"/>
  <c r="A1467" i="1"/>
  <c r="B1467" i="1"/>
  <c r="C1467" i="1"/>
  <c r="D1467" i="1"/>
  <c r="E1467" i="1"/>
  <c r="A1468" i="1"/>
  <c r="B1468" i="1"/>
  <c r="C1468" i="1"/>
  <c r="D1468" i="1"/>
  <c r="E1468" i="1"/>
  <c r="A1469" i="1"/>
  <c r="B1469" i="1"/>
  <c r="C1469" i="1"/>
  <c r="D1469" i="1"/>
  <c r="E1469" i="1"/>
  <c r="A1470" i="1"/>
  <c r="B1470" i="1"/>
  <c r="C1470" i="1"/>
  <c r="D1470" i="1"/>
  <c r="E1470" i="1"/>
  <c r="A1471" i="1"/>
  <c r="B1471" i="1"/>
  <c r="C1471" i="1"/>
  <c r="D1471" i="1"/>
  <c r="E1471" i="1"/>
  <c r="A1472" i="1"/>
  <c r="B1472" i="1"/>
  <c r="C1472" i="1"/>
  <c r="D1472" i="1"/>
  <c r="E1472" i="1"/>
  <c r="A1473" i="1"/>
  <c r="B1473" i="1"/>
  <c r="C1473" i="1"/>
  <c r="D1473" i="1"/>
  <c r="E1473" i="1"/>
  <c r="A1474" i="1"/>
  <c r="B1474" i="1"/>
  <c r="C1474" i="1"/>
  <c r="D1474" i="1"/>
  <c r="E1474" i="1"/>
  <c r="A1475" i="1"/>
  <c r="B1475" i="1"/>
  <c r="C1475" i="1"/>
  <c r="D1475" i="1"/>
  <c r="E1475" i="1"/>
  <c r="A1476" i="1"/>
  <c r="B1476" i="1"/>
  <c r="C1476" i="1"/>
  <c r="D1476" i="1"/>
  <c r="E1476" i="1"/>
  <c r="A1477" i="1"/>
  <c r="B1477" i="1"/>
  <c r="C1477" i="1"/>
  <c r="D1477" i="1"/>
  <c r="E1477" i="1"/>
  <c r="A1478" i="1"/>
  <c r="B1478" i="1"/>
  <c r="C1478" i="1"/>
  <c r="D1478" i="1"/>
  <c r="E1478" i="1"/>
  <c r="A1479" i="1"/>
  <c r="B1479" i="1"/>
  <c r="C1479" i="1"/>
  <c r="D1479" i="1"/>
  <c r="E1479" i="1"/>
  <c r="A1480" i="1"/>
  <c r="B1480" i="1"/>
  <c r="C1480" i="1"/>
  <c r="D1480" i="1"/>
  <c r="E1480" i="1"/>
  <c r="A1481" i="1"/>
  <c r="B1481" i="1"/>
  <c r="C1481" i="1"/>
  <c r="D1481" i="1"/>
  <c r="E1481" i="1"/>
  <c r="A1482" i="1"/>
  <c r="B1482" i="1"/>
  <c r="C1482" i="1"/>
  <c r="D1482" i="1"/>
  <c r="E1482" i="1"/>
  <c r="A1483" i="1"/>
  <c r="B1483" i="1"/>
  <c r="C1483" i="1"/>
  <c r="D1483" i="1"/>
  <c r="E1483" i="1"/>
  <c r="A1484" i="1"/>
  <c r="B1484" i="1"/>
  <c r="C1484" i="1"/>
  <c r="D1484" i="1"/>
  <c r="E1484" i="1"/>
  <c r="A1485" i="1"/>
  <c r="B1485" i="1"/>
  <c r="C1485" i="1"/>
  <c r="D1485" i="1"/>
  <c r="E1485" i="1"/>
  <c r="A1486" i="1"/>
  <c r="B1486" i="1"/>
  <c r="C1486" i="1"/>
  <c r="D1486" i="1"/>
  <c r="E1486" i="1"/>
  <c r="A1487" i="1"/>
  <c r="B1487" i="1"/>
  <c r="C1487" i="1"/>
  <c r="D1487" i="1"/>
  <c r="E1487" i="1"/>
  <c r="A1488" i="1"/>
  <c r="B1488" i="1"/>
  <c r="C1488" i="1"/>
  <c r="D1488" i="1"/>
  <c r="E1488" i="1"/>
  <c r="A1489" i="1"/>
  <c r="B1489" i="1"/>
  <c r="C1489" i="1"/>
  <c r="D1489" i="1"/>
  <c r="E1489" i="1"/>
  <c r="A1490" i="1"/>
  <c r="B1490" i="1"/>
  <c r="C1490" i="1"/>
  <c r="D1490" i="1"/>
  <c r="E1490" i="1"/>
  <c r="A1491" i="1"/>
  <c r="B1491" i="1"/>
  <c r="C1491" i="1"/>
  <c r="D1491" i="1"/>
  <c r="E1491" i="1"/>
  <c r="A1492" i="1"/>
  <c r="B1492" i="1"/>
  <c r="C1492" i="1"/>
  <c r="D1492" i="1"/>
  <c r="E1492" i="1"/>
  <c r="A1493" i="1"/>
  <c r="B1493" i="1"/>
  <c r="C1493" i="1"/>
  <c r="D1493" i="1"/>
  <c r="E1493" i="1"/>
  <c r="A1494" i="1"/>
  <c r="B1494" i="1"/>
  <c r="C1494" i="1"/>
  <c r="D1494" i="1"/>
  <c r="E1494" i="1"/>
  <c r="A1495" i="1"/>
  <c r="B1495" i="1"/>
  <c r="C1495" i="1"/>
  <c r="D1495" i="1"/>
  <c r="E1495" i="1"/>
  <c r="A1496" i="1"/>
  <c r="B1496" i="1"/>
  <c r="C1496" i="1"/>
  <c r="D1496" i="1"/>
  <c r="E1496" i="1"/>
  <c r="A1497" i="1"/>
  <c r="B1497" i="1"/>
  <c r="C1497" i="1"/>
  <c r="D1497" i="1"/>
  <c r="E1497" i="1"/>
  <c r="A1498" i="1"/>
  <c r="B1498" i="1"/>
  <c r="C1498" i="1"/>
  <c r="D1498" i="1"/>
  <c r="E1498" i="1"/>
  <c r="A1499" i="1"/>
  <c r="B1499" i="1"/>
  <c r="C1499" i="1"/>
  <c r="D1499" i="1"/>
  <c r="E1499" i="1"/>
  <c r="A1500" i="1"/>
  <c r="B1500" i="1"/>
  <c r="C1500" i="1"/>
  <c r="D1500" i="1"/>
  <c r="E1500" i="1"/>
  <c r="A1501" i="1"/>
  <c r="B1501" i="1"/>
  <c r="C1501" i="1"/>
  <c r="D1501" i="1"/>
  <c r="E1501" i="1"/>
  <c r="A1502" i="1"/>
  <c r="B1502" i="1"/>
  <c r="C1502" i="1"/>
  <c r="D1502" i="1"/>
  <c r="E1502" i="1"/>
  <c r="A1503" i="1"/>
  <c r="B1503" i="1"/>
  <c r="C1503" i="1"/>
  <c r="D1503" i="1"/>
  <c r="E1503" i="1"/>
  <c r="A1504" i="1"/>
  <c r="B1504" i="1"/>
  <c r="C1504" i="1"/>
  <c r="D1504" i="1"/>
  <c r="E1504" i="1"/>
  <c r="A1505" i="1"/>
  <c r="B1505" i="1"/>
  <c r="C1505" i="1"/>
  <c r="D1505" i="1"/>
  <c r="E1505" i="1"/>
  <c r="A1506" i="1"/>
  <c r="B1506" i="1"/>
  <c r="C1506" i="1"/>
  <c r="D1506" i="1"/>
  <c r="E1506" i="1"/>
  <c r="A1507" i="1"/>
  <c r="B1507" i="1"/>
  <c r="C1507" i="1"/>
  <c r="D1507" i="1"/>
  <c r="E1507" i="1"/>
  <c r="A1508" i="1"/>
  <c r="B1508" i="1"/>
  <c r="C1508" i="1"/>
  <c r="D1508" i="1"/>
  <c r="E1508" i="1"/>
  <c r="A1509" i="1"/>
  <c r="B1509" i="1"/>
  <c r="C1509" i="1"/>
  <c r="D1509" i="1"/>
  <c r="E1509" i="1"/>
  <c r="A1510" i="1"/>
  <c r="B1510" i="1"/>
  <c r="C1510" i="1"/>
  <c r="D1510" i="1"/>
  <c r="E1510" i="1"/>
  <c r="A1511" i="1"/>
  <c r="B1511" i="1"/>
  <c r="C1511" i="1"/>
  <c r="D1511" i="1"/>
  <c r="E1511" i="1"/>
  <c r="A1512" i="1"/>
  <c r="B1512" i="1"/>
  <c r="C1512" i="1"/>
  <c r="D1512" i="1"/>
  <c r="E1512" i="1"/>
  <c r="A1513" i="1"/>
  <c r="B1513" i="1"/>
  <c r="C1513" i="1"/>
  <c r="D1513" i="1"/>
  <c r="E1513" i="1"/>
  <c r="A1514" i="1"/>
  <c r="B1514" i="1"/>
  <c r="C1514" i="1"/>
  <c r="D1514" i="1"/>
  <c r="E1514" i="1"/>
  <c r="A1515" i="1"/>
  <c r="B1515" i="1"/>
  <c r="C1515" i="1"/>
  <c r="D1515" i="1"/>
  <c r="E1515" i="1"/>
  <c r="A1516" i="1"/>
  <c r="B1516" i="1"/>
  <c r="C1516" i="1"/>
  <c r="D1516" i="1"/>
  <c r="E1516" i="1"/>
  <c r="A1517" i="1"/>
  <c r="B1517" i="1"/>
  <c r="C1517" i="1"/>
  <c r="D1517" i="1"/>
  <c r="E1517" i="1"/>
  <c r="A1518" i="1"/>
  <c r="B1518" i="1"/>
  <c r="C1518" i="1"/>
  <c r="D1518" i="1"/>
  <c r="E1518" i="1"/>
  <c r="A1519" i="1"/>
  <c r="B1519" i="1"/>
  <c r="C1519" i="1"/>
  <c r="D1519" i="1"/>
  <c r="E1519" i="1"/>
  <c r="A1520" i="1"/>
  <c r="B1520" i="1"/>
  <c r="C1520" i="1"/>
  <c r="D1520" i="1"/>
  <c r="E1520" i="1"/>
  <c r="A1521" i="1"/>
  <c r="B1521" i="1"/>
  <c r="C1521" i="1"/>
  <c r="D1521" i="1"/>
  <c r="E1521" i="1"/>
  <c r="A1522" i="1"/>
  <c r="B1522" i="1"/>
  <c r="C1522" i="1"/>
  <c r="D1522" i="1"/>
  <c r="E1522" i="1"/>
  <c r="A1523" i="1"/>
  <c r="B1523" i="1"/>
  <c r="C1523" i="1"/>
  <c r="D1523" i="1"/>
  <c r="E1523" i="1"/>
  <c r="A1524" i="1"/>
  <c r="B1524" i="1"/>
  <c r="C1524" i="1"/>
  <c r="D1524" i="1"/>
  <c r="E1524" i="1"/>
  <c r="A1525" i="1"/>
  <c r="B1525" i="1"/>
  <c r="C1525" i="1"/>
  <c r="D1525" i="1"/>
  <c r="E1525" i="1"/>
  <c r="A1526" i="1"/>
  <c r="B1526" i="1"/>
  <c r="C1526" i="1"/>
  <c r="D1526" i="1"/>
  <c r="E1526" i="1"/>
  <c r="A1527" i="1"/>
  <c r="B1527" i="1"/>
  <c r="C1527" i="1"/>
  <c r="D1527" i="1"/>
  <c r="E1527" i="1"/>
  <c r="A1528" i="1"/>
  <c r="B1528" i="1"/>
  <c r="C1528" i="1"/>
  <c r="D1528" i="1"/>
  <c r="E1528" i="1"/>
  <c r="A1529" i="1"/>
  <c r="B1529" i="1"/>
  <c r="C1529" i="1"/>
  <c r="D1529" i="1"/>
  <c r="E1529" i="1"/>
  <c r="A1530" i="1"/>
  <c r="B1530" i="1"/>
  <c r="C1530" i="1"/>
  <c r="D1530" i="1"/>
  <c r="E1530" i="1"/>
  <c r="A1531" i="1"/>
  <c r="B1531" i="1"/>
  <c r="C1531" i="1"/>
  <c r="D1531" i="1"/>
  <c r="E1531" i="1"/>
  <c r="A1532" i="1"/>
  <c r="B1532" i="1"/>
  <c r="C1532" i="1"/>
  <c r="D1532" i="1"/>
  <c r="E1532" i="1"/>
  <c r="A1533" i="1"/>
  <c r="B1533" i="1"/>
  <c r="C1533" i="1"/>
  <c r="D1533" i="1"/>
  <c r="E1533" i="1"/>
  <c r="A1534" i="1"/>
  <c r="B1534" i="1"/>
  <c r="C1534" i="1"/>
  <c r="D1534" i="1"/>
  <c r="E1534" i="1"/>
  <c r="A1535" i="1"/>
  <c r="B1535" i="1"/>
  <c r="C1535" i="1"/>
  <c r="D1535" i="1"/>
  <c r="E1535" i="1"/>
  <c r="A1536" i="1"/>
  <c r="B1536" i="1"/>
  <c r="C1536" i="1"/>
  <c r="D1536" i="1"/>
  <c r="E1536" i="1"/>
  <c r="A1537" i="1"/>
  <c r="B1537" i="1"/>
  <c r="C1537" i="1"/>
  <c r="D1537" i="1"/>
  <c r="E1537" i="1"/>
  <c r="A1538" i="1"/>
  <c r="B1538" i="1"/>
  <c r="C1538" i="1"/>
  <c r="D1538" i="1"/>
  <c r="E1538" i="1"/>
  <c r="A1539" i="1"/>
  <c r="B1539" i="1"/>
  <c r="C1539" i="1"/>
  <c r="D1539" i="1"/>
  <c r="E1539" i="1"/>
  <c r="A1540" i="1"/>
  <c r="B1540" i="1"/>
  <c r="C1540" i="1"/>
  <c r="D1540" i="1"/>
  <c r="E1540" i="1"/>
  <c r="A1541" i="1"/>
  <c r="B1541" i="1"/>
  <c r="C1541" i="1"/>
  <c r="D1541" i="1"/>
  <c r="E1541" i="1"/>
  <c r="A1542" i="1"/>
  <c r="B1542" i="1"/>
  <c r="C1542" i="1"/>
  <c r="D1542" i="1"/>
  <c r="E1542" i="1"/>
  <c r="A1543" i="1"/>
  <c r="B1543" i="1"/>
  <c r="C1543" i="1"/>
  <c r="D1543" i="1"/>
  <c r="E1543" i="1"/>
  <c r="A1544" i="1"/>
  <c r="B1544" i="1"/>
  <c r="C1544" i="1"/>
  <c r="D1544" i="1"/>
  <c r="E1544" i="1"/>
  <c r="A1545" i="1"/>
  <c r="B1545" i="1"/>
  <c r="C1545" i="1"/>
  <c r="D1545" i="1"/>
  <c r="E1545" i="1"/>
  <c r="A1546" i="1"/>
  <c r="B1546" i="1"/>
  <c r="C1546" i="1"/>
  <c r="D1546" i="1"/>
  <c r="E1546" i="1"/>
  <c r="A1547" i="1"/>
  <c r="B1547" i="1"/>
  <c r="C1547" i="1"/>
  <c r="D1547" i="1"/>
  <c r="E1547" i="1"/>
  <c r="A1548" i="1"/>
  <c r="B1548" i="1"/>
  <c r="C1548" i="1"/>
  <c r="D1548" i="1"/>
  <c r="E1548" i="1"/>
  <c r="A1549" i="1"/>
  <c r="B1549" i="1"/>
  <c r="C1549" i="1"/>
  <c r="D1549" i="1"/>
  <c r="E1549" i="1"/>
  <c r="A1550" i="1"/>
  <c r="B1550" i="1"/>
  <c r="C1550" i="1"/>
  <c r="D1550" i="1"/>
  <c r="E1550" i="1"/>
  <c r="A1551" i="1"/>
  <c r="B1551" i="1"/>
  <c r="C1551" i="1"/>
  <c r="D1551" i="1"/>
  <c r="E1551" i="1"/>
  <c r="A1552" i="1"/>
  <c r="B1552" i="1"/>
  <c r="C1552" i="1"/>
  <c r="D1552" i="1"/>
  <c r="E1552" i="1"/>
  <c r="A1553" i="1"/>
  <c r="B1553" i="1"/>
  <c r="C1553" i="1"/>
  <c r="D1553" i="1"/>
  <c r="E1553" i="1"/>
  <c r="A1554" i="1"/>
  <c r="B1554" i="1"/>
  <c r="C1554" i="1"/>
  <c r="D1554" i="1"/>
  <c r="E1554" i="1"/>
  <c r="A1555" i="1"/>
  <c r="B1555" i="1"/>
  <c r="C1555" i="1"/>
  <c r="D1555" i="1"/>
  <c r="E1555" i="1"/>
  <c r="A1556" i="1"/>
  <c r="B1556" i="1"/>
  <c r="C1556" i="1"/>
  <c r="D1556" i="1"/>
  <c r="E1556" i="1"/>
  <c r="A1557" i="1"/>
  <c r="B1557" i="1"/>
  <c r="C1557" i="1"/>
  <c r="D1557" i="1"/>
  <c r="E1557" i="1"/>
  <c r="A1558" i="1"/>
  <c r="B1558" i="1"/>
  <c r="C1558" i="1"/>
  <c r="D1558" i="1"/>
  <c r="E1558" i="1"/>
  <c r="A1559" i="1"/>
  <c r="B1559" i="1"/>
  <c r="C1559" i="1"/>
  <c r="D1559" i="1"/>
  <c r="E1559" i="1"/>
  <c r="A1560" i="1"/>
  <c r="B1560" i="1"/>
  <c r="C1560" i="1"/>
  <c r="D1560" i="1"/>
  <c r="E1560" i="1"/>
  <c r="A1561" i="1"/>
  <c r="B1561" i="1"/>
  <c r="C1561" i="1"/>
  <c r="D1561" i="1"/>
  <c r="E1561" i="1"/>
  <c r="A1562" i="1"/>
  <c r="B1562" i="1"/>
  <c r="C1562" i="1"/>
  <c r="D1562" i="1"/>
  <c r="E1562" i="1"/>
  <c r="A1563" i="1"/>
  <c r="B1563" i="1"/>
  <c r="C1563" i="1"/>
  <c r="D1563" i="1"/>
  <c r="E1563" i="1"/>
  <c r="A1564" i="1"/>
  <c r="B1564" i="1"/>
  <c r="C1564" i="1"/>
  <c r="D1564" i="1"/>
  <c r="E1564" i="1"/>
  <c r="A1565" i="1"/>
  <c r="B1565" i="1"/>
  <c r="C1565" i="1"/>
  <c r="D1565" i="1"/>
  <c r="E1565" i="1"/>
  <c r="A1566" i="1"/>
  <c r="B1566" i="1"/>
  <c r="C1566" i="1"/>
  <c r="D1566" i="1"/>
  <c r="E1566" i="1"/>
  <c r="A1567" i="1"/>
  <c r="B1567" i="1"/>
  <c r="C1567" i="1"/>
  <c r="D1567" i="1"/>
  <c r="E1567" i="1"/>
  <c r="A1568" i="1"/>
  <c r="B1568" i="1"/>
  <c r="C1568" i="1"/>
  <c r="D1568" i="1"/>
  <c r="E1568" i="1"/>
  <c r="A1569" i="1"/>
  <c r="B1569" i="1"/>
  <c r="C1569" i="1"/>
  <c r="D1569" i="1"/>
  <c r="E1569" i="1"/>
  <c r="A1570" i="1"/>
  <c r="B1570" i="1"/>
  <c r="C1570" i="1"/>
  <c r="D1570" i="1"/>
  <c r="E1570" i="1"/>
  <c r="A1571" i="1"/>
  <c r="B1571" i="1"/>
  <c r="C1571" i="1"/>
  <c r="D1571" i="1"/>
  <c r="E1571" i="1"/>
  <c r="A1572" i="1"/>
  <c r="B1572" i="1"/>
  <c r="C1572" i="1"/>
  <c r="D1572" i="1"/>
  <c r="E1572" i="1"/>
  <c r="A1573" i="1"/>
  <c r="B1573" i="1"/>
  <c r="C1573" i="1"/>
  <c r="D1573" i="1"/>
  <c r="E1573" i="1"/>
  <c r="A1574" i="1"/>
  <c r="B1574" i="1"/>
  <c r="C1574" i="1"/>
  <c r="D1574" i="1"/>
  <c r="E1574" i="1"/>
  <c r="A1575" i="1"/>
  <c r="B1575" i="1"/>
  <c r="C1575" i="1"/>
  <c r="D1575" i="1"/>
  <c r="E1575" i="1"/>
  <c r="A1576" i="1"/>
  <c r="B1576" i="1"/>
  <c r="C1576" i="1"/>
  <c r="D1576" i="1"/>
  <c r="E1576" i="1"/>
  <c r="A1577" i="1"/>
  <c r="B1577" i="1"/>
  <c r="C1577" i="1"/>
  <c r="D1577" i="1"/>
  <c r="E1577" i="1"/>
  <c r="A1578" i="1"/>
  <c r="B1578" i="1"/>
  <c r="C1578" i="1"/>
  <c r="D1578" i="1"/>
  <c r="E1578" i="1"/>
  <c r="A1579" i="1"/>
  <c r="B1579" i="1"/>
  <c r="C1579" i="1"/>
  <c r="D1579" i="1"/>
  <c r="E1579" i="1"/>
  <c r="A1580" i="1"/>
  <c r="B1580" i="1"/>
  <c r="C1580" i="1"/>
  <c r="D1580" i="1"/>
  <c r="E1580" i="1"/>
  <c r="A1581" i="1"/>
  <c r="B1581" i="1"/>
  <c r="C1581" i="1"/>
  <c r="D1581" i="1"/>
  <c r="E1581" i="1"/>
  <c r="A1582" i="1"/>
  <c r="B1582" i="1"/>
  <c r="C1582" i="1"/>
  <c r="D1582" i="1"/>
  <c r="E1582" i="1"/>
  <c r="A1583" i="1"/>
  <c r="B1583" i="1"/>
  <c r="C1583" i="1"/>
  <c r="D1583" i="1"/>
  <c r="E1583" i="1"/>
  <c r="A1584" i="1"/>
  <c r="B1584" i="1"/>
  <c r="C1584" i="1"/>
  <c r="D1584" i="1"/>
  <c r="E1584" i="1"/>
  <c r="A1585" i="1"/>
  <c r="B1585" i="1"/>
  <c r="C1585" i="1"/>
  <c r="D1585" i="1"/>
  <c r="E1585" i="1"/>
  <c r="A1586" i="1"/>
  <c r="B1586" i="1"/>
  <c r="C1586" i="1"/>
  <c r="D1586" i="1"/>
  <c r="E1586" i="1"/>
  <c r="A1587" i="1"/>
  <c r="B1587" i="1"/>
  <c r="C1587" i="1"/>
  <c r="D1587" i="1"/>
  <c r="E1587" i="1"/>
  <c r="A1588" i="1"/>
  <c r="B1588" i="1"/>
  <c r="C1588" i="1"/>
  <c r="D1588" i="1"/>
  <c r="E1588" i="1"/>
  <c r="A1589" i="1"/>
  <c r="B1589" i="1"/>
  <c r="C1589" i="1"/>
  <c r="D1589" i="1"/>
  <c r="E1589" i="1"/>
  <c r="A1590" i="1"/>
  <c r="B1590" i="1"/>
  <c r="C1590" i="1"/>
  <c r="D1590" i="1"/>
  <c r="E1590" i="1"/>
  <c r="A1591" i="1"/>
  <c r="B1591" i="1"/>
  <c r="C1591" i="1"/>
  <c r="D1591" i="1"/>
  <c r="E1591" i="1"/>
  <c r="A1592" i="1"/>
  <c r="B1592" i="1"/>
  <c r="C1592" i="1"/>
  <c r="D1592" i="1"/>
  <c r="E1592" i="1"/>
  <c r="A1593" i="1"/>
  <c r="B1593" i="1"/>
  <c r="C1593" i="1"/>
  <c r="D1593" i="1"/>
  <c r="E1593" i="1"/>
  <c r="A1594" i="1"/>
  <c r="B1594" i="1"/>
  <c r="C1594" i="1"/>
  <c r="D1594" i="1"/>
  <c r="E1594" i="1"/>
  <c r="A1595" i="1"/>
  <c r="B1595" i="1"/>
  <c r="C1595" i="1"/>
  <c r="D1595" i="1"/>
  <c r="E1595" i="1"/>
  <c r="A1596" i="1"/>
  <c r="B1596" i="1"/>
  <c r="C1596" i="1"/>
  <c r="D1596" i="1"/>
  <c r="E1596" i="1"/>
  <c r="A1597" i="1"/>
  <c r="B1597" i="1"/>
  <c r="C1597" i="1"/>
  <c r="D1597" i="1"/>
  <c r="E1597" i="1"/>
  <c r="A1598" i="1"/>
  <c r="B1598" i="1"/>
  <c r="C1598" i="1"/>
  <c r="D1598" i="1"/>
  <c r="E1598" i="1"/>
  <c r="A1599" i="1"/>
  <c r="B1599" i="1"/>
  <c r="C1599" i="1"/>
  <c r="D1599" i="1"/>
  <c r="E1599" i="1"/>
  <c r="A1600" i="1"/>
  <c r="B1600" i="1"/>
  <c r="C1600" i="1"/>
  <c r="D1600" i="1"/>
  <c r="E1600" i="1"/>
  <c r="A1601" i="1"/>
  <c r="B1601" i="1"/>
  <c r="C1601" i="1"/>
  <c r="D1601" i="1"/>
  <c r="E1601" i="1"/>
  <c r="A1602" i="1"/>
  <c r="B1602" i="1"/>
  <c r="C1602" i="1"/>
  <c r="D1602" i="1"/>
  <c r="E1602" i="1"/>
  <c r="A1603" i="1"/>
  <c r="B1603" i="1"/>
  <c r="C1603" i="1"/>
  <c r="D1603" i="1"/>
  <c r="E1603" i="1"/>
  <c r="A1604" i="1"/>
  <c r="B1604" i="1"/>
  <c r="C1604" i="1"/>
  <c r="D1604" i="1"/>
  <c r="E1604" i="1"/>
  <c r="A1605" i="1"/>
  <c r="B1605" i="1"/>
  <c r="C1605" i="1"/>
  <c r="D1605" i="1"/>
  <c r="E1605" i="1"/>
  <c r="A1606" i="1"/>
  <c r="B1606" i="1"/>
  <c r="C1606" i="1"/>
  <c r="D1606" i="1"/>
  <c r="E1606" i="1"/>
  <c r="A1607" i="1"/>
  <c r="B1607" i="1"/>
  <c r="C1607" i="1"/>
  <c r="D1607" i="1"/>
  <c r="E1607" i="1"/>
  <c r="A1608" i="1"/>
  <c r="B1608" i="1"/>
  <c r="C1608" i="1"/>
  <c r="D1608" i="1"/>
  <c r="E1608" i="1"/>
  <c r="A1609" i="1"/>
  <c r="B1609" i="1"/>
  <c r="C1609" i="1"/>
  <c r="D1609" i="1"/>
  <c r="E1609" i="1"/>
  <c r="A1610" i="1"/>
  <c r="B1610" i="1"/>
  <c r="C1610" i="1"/>
  <c r="D1610" i="1"/>
  <c r="E1610" i="1"/>
  <c r="A1611" i="1"/>
  <c r="B1611" i="1"/>
  <c r="C1611" i="1"/>
  <c r="D1611" i="1"/>
  <c r="E1611" i="1"/>
  <c r="A1612" i="1"/>
  <c r="B1612" i="1"/>
  <c r="C1612" i="1"/>
  <c r="D1612" i="1"/>
  <c r="E1612" i="1"/>
  <c r="A1613" i="1"/>
  <c r="B1613" i="1"/>
  <c r="C1613" i="1"/>
  <c r="D1613" i="1"/>
  <c r="E1613" i="1"/>
  <c r="A1614" i="1"/>
  <c r="B1614" i="1"/>
  <c r="C1614" i="1"/>
  <c r="D1614" i="1"/>
  <c r="E1614" i="1"/>
  <c r="A1615" i="1"/>
  <c r="B1615" i="1"/>
  <c r="C1615" i="1"/>
  <c r="D1615" i="1"/>
  <c r="E1615" i="1"/>
  <c r="A1616" i="1"/>
  <c r="B1616" i="1"/>
  <c r="C1616" i="1"/>
  <c r="D1616" i="1"/>
  <c r="E1616" i="1"/>
  <c r="A1617" i="1"/>
  <c r="B1617" i="1"/>
  <c r="C1617" i="1"/>
  <c r="D1617" i="1"/>
  <c r="E1617" i="1"/>
  <c r="A1618" i="1"/>
  <c r="B1618" i="1"/>
  <c r="C1618" i="1"/>
  <c r="D1618" i="1"/>
  <c r="E1618" i="1"/>
  <c r="A1619" i="1"/>
  <c r="B1619" i="1"/>
  <c r="C1619" i="1"/>
  <c r="D1619" i="1"/>
  <c r="E1619" i="1"/>
  <c r="A1620" i="1"/>
  <c r="B1620" i="1"/>
  <c r="C1620" i="1"/>
  <c r="D1620" i="1"/>
  <c r="E1620" i="1"/>
  <c r="A1621" i="1"/>
  <c r="B1621" i="1"/>
  <c r="C1621" i="1"/>
  <c r="D1621" i="1"/>
  <c r="E1621" i="1"/>
  <c r="A1622" i="1"/>
  <c r="B1622" i="1"/>
  <c r="C1622" i="1"/>
  <c r="D1622" i="1"/>
  <c r="E1622" i="1"/>
  <c r="A1623" i="1"/>
  <c r="B1623" i="1"/>
  <c r="C1623" i="1"/>
  <c r="D1623" i="1"/>
  <c r="E1623" i="1"/>
  <c r="A1624" i="1"/>
  <c r="B1624" i="1"/>
  <c r="C1624" i="1"/>
  <c r="D1624" i="1"/>
  <c r="E1624" i="1"/>
  <c r="A1625" i="1"/>
  <c r="B1625" i="1"/>
  <c r="C1625" i="1"/>
  <c r="D1625" i="1"/>
  <c r="E1625" i="1"/>
  <c r="A1626" i="1"/>
  <c r="B1626" i="1"/>
  <c r="C1626" i="1"/>
  <c r="D1626" i="1"/>
  <c r="E1626" i="1"/>
  <c r="A1627" i="1"/>
  <c r="B1627" i="1"/>
  <c r="C1627" i="1"/>
  <c r="D1627" i="1"/>
  <c r="E1627" i="1"/>
  <c r="A1628" i="1"/>
  <c r="B1628" i="1"/>
  <c r="C1628" i="1"/>
  <c r="D1628" i="1"/>
  <c r="E1628" i="1"/>
  <c r="A1629" i="1"/>
  <c r="B1629" i="1"/>
  <c r="C1629" i="1"/>
  <c r="D1629" i="1"/>
  <c r="E1629" i="1"/>
  <c r="A1630" i="1"/>
  <c r="B1630" i="1"/>
  <c r="C1630" i="1"/>
  <c r="D1630" i="1"/>
  <c r="E1630" i="1"/>
  <c r="A1631" i="1"/>
  <c r="B1631" i="1"/>
  <c r="C1631" i="1"/>
  <c r="D1631" i="1"/>
  <c r="E1631" i="1"/>
  <c r="A1632" i="1"/>
  <c r="B1632" i="1"/>
  <c r="C1632" i="1"/>
  <c r="D1632" i="1"/>
  <c r="E1632" i="1"/>
  <c r="A1633" i="1"/>
  <c r="B1633" i="1"/>
  <c r="C1633" i="1"/>
  <c r="D1633" i="1"/>
  <c r="E1633" i="1"/>
  <c r="A1634" i="1"/>
  <c r="B1634" i="1"/>
  <c r="C1634" i="1"/>
  <c r="D1634" i="1"/>
  <c r="E1634" i="1"/>
  <c r="A1635" i="1"/>
  <c r="B1635" i="1"/>
  <c r="C1635" i="1"/>
  <c r="D1635" i="1"/>
  <c r="E1635" i="1"/>
  <c r="A1636" i="1"/>
  <c r="B1636" i="1"/>
  <c r="C1636" i="1"/>
  <c r="D1636" i="1"/>
  <c r="E1636" i="1"/>
  <c r="A1637" i="1"/>
  <c r="B1637" i="1"/>
  <c r="C1637" i="1"/>
  <c r="D1637" i="1"/>
  <c r="E1637" i="1"/>
  <c r="A1638" i="1"/>
  <c r="B1638" i="1"/>
  <c r="C1638" i="1"/>
  <c r="D1638" i="1"/>
  <c r="E1638" i="1"/>
  <c r="A1639" i="1"/>
  <c r="B1639" i="1"/>
  <c r="C1639" i="1"/>
  <c r="D1639" i="1"/>
  <c r="E1639" i="1"/>
  <c r="A1640" i="1"/>
  <c r="B1640" i="1"/>
  <c r="C1640" i="1"/>
  <c r="D1640" i="1"/>
  <c r="E1640" i="1"/>
  <c r="A1641" i="1"/>
  <c r="B1641" i="1"/>
  <c r="C1641" i="1"/>
  <c r="D1641" i="1"/>
  <c r="E1641" i="1"/>
  <c r="A1642" i="1"/>
  <c r="B1642" i="1"/>
  <c r="C1642" i="1"/>
  <c r="D1642" i="1"/>
  <c r="E1642" i="1"/>
  <c r="A1643" i="1"/>
  <c r="B1643" i="1"/>
  <c r="C1643" i="1"/>
  <c r="D1643" i="1"/>
  <c r="E1643" i="1"/>
  <c r="A1644" i="1"/>
  <c r="B1644" i="1"/>
  <c r="C1644" i="1"/>
  <c r="D1644" i="1"/>
  <c r="E1644" i="1"/>
  <c r="A1645" i="1"/>
  <c r="B1645" i="1"/>
  <c r="C1645" i="1"/>
  <c r="D1645" i="1"/>
  <c r="E1645" i="1"/>
  <c r="A1646" i="1"/>
  <c r="B1646" i="1"/>
  <c r="C1646" i="1"/>
  <c r="D1646" i="1"/>
  <c r="E1646" i="1"/>
  <c r="A1647" i="1"/>
  <c r="B1647" i="1"/>
  <c r="C1647" i="1"/>
  <c r="D1647" i="1"/>
  <c r="E1647" i="1"/>
  <c r="A1648" i="1"/>
  <c r="B1648" i="1"/>
  <c r="C1648" i="1"/>
  <c r="D1648" i="1"/>
  <c r="E1648" i="1"/>
  <c r="A1649" i="1"/>
  <c r="B1649" i="1"/>
  <c r="C1649" i="1"/>
  <c r="D1649" i="1"/>
  <c r="E1649" i="1"/>
  <c r="A1650" i="1"/>
  <c r="B1650" i="1"/>
  <c r="C1650" i="1"/>
  <c r="D1650" i="1"/>
  <c r="E1650" i="1"/>
  <c r="A1651" i="1"/>
  <c r="B1651" i="1"/>
  <c r="C1651" i="1"/>
  <c r="D1651" i="1"/>
  <c r="E1651" i="1"/>
  <c r="A1652" i="1"/>
  <c r="B1652" i="1"/>
  <c r="C1652" i="1"/>
  <c r="D1652" i="1"/>
  <c r="E1652" i="1"/>
  <c r="A1653" i="1"/>
  <c r="B1653" i="1"/>
  <c r="C1653" i="1"/>
  <c r="D1653" i="1"/>
  <c r="E1653" i="1"/>
  <c r="A1654" i="1"/>
  <c r="B1654" i="1"/>
  <c r="C1654" i="1"/>
  <c r="D1654" i="1"/>
  <c r="E1654" i="1"/>
  <c r="A1655" i="1"/>
  <c r="B1655" i="1"/>
  <c r="C1655" i="1"/>
  <c r="D1655" i="1"/>
  <c r="E1655" i="1"/>
  <c r="A1656" i="1"/>
  <c r="B1656" i="1"/>
  <c r="C1656" i="1"/>
  <c r="D1656" i="1"/>
  <c r="E1656" i="1"/>
  <c r="A1657" i="1"/>
  <c r="B1657" i="1"/>
  <c r="C1657" i="1"/>
  <c r="D1657" i="1"/>
  <c r="E1657" i="1"/>
  <c r="A1658" i="1"/>
  <c r="B1658" i="1"/>
  <c r="C1658" i="1"/>
  <c r="D1658" i="1"/>
  <c r="E1658" i="1"/>
  <c r="A1659" i="1"/>
  <c r="B1659" i="1"/>
  <c r="C1659" i="1"/>
  <c r="D1659" i="1"/>
  <c r="E1659" i="1"/>
  <c r="A1660" i="1"/>
  <c r="B1660" i="1"/>
  <c r="C1660" i="1"/>
  <c r="D1660" i="1"/>
  <c r="E1660" i="1"/>
  <c r="A1661" i="1"/>
  <c r="B1661" i="1"/>
  <c r="C1661" i="1"/>
  <c r="D1661" i="1"/>
  <c r="E1661" i="1"/>
  <c r="A1662" i="1"/>
  <c r="B1662" i="1"/>
  <c r="C1662" i="1"/>
  <c r="D1662" i="1"/>
  <c r="E1662" i="1"/>
  <c r="A1663" i="1"/>
  <c r="B1663" i="1"/>
  <c r="C1663" i="1"/>
  <c r="D1663" i="1"/>
  <c r="E1663" i="1"/>
  <c r="A1664" i="1"/>
  <c r="B1664" i="1"/>
  <c r="C1664" i="1"/>
  <c r="D1664" i="1"/>
  <c r="E1664" i="1"/>
  <c r="A1665" i="1"/>
  <c r="B1665" i="1"/>
  <c r="C1665" i="1"/>
  <c r="D1665" i="1"/>
  <c r="E1665" i="1"/>
  <c r="A1666" i="1"/>
  <c r="B1666" i="1"/>
  <c r="C1666" i="1"/>
  <c r="D1666" i="1"/>
  <c r="E1666" i="1"/>
  <c r="A1667" i="1"/>
  <c r="B1667" i="1"/>
  <c r="C1667" i="1"/>
  <c r="D1667" i="1"/>
  <c r="E1667" i="1"/>
  <c r="A1668" i="1"/>
  <c r="B1668" i="1"/>
  <c r="C1668" i="1"/>
  <c r="D1668" i="1"/>
  <c r="E1668" i="1"/>
  <c r="A1669" i="1"/>
  <c r="B1669" i="1"/>
  <c r="C1669" i="1"/>
  <c r="D1669" i="1"/>
  <c r="E1669" i="1"/>
  <c r="A1670" i="1"/>
  <c r="B1670" i="1"/>
  <c r="C1670" i="1"/>
  <c r="D1670" i="1"/>
  <c r="E1670" i="1"/>
  <c r="A1671" i="1"/>
  <c r="B1671" i="1"/>
  <c r="C1671" i="1"/>
  <c r="D1671" i="1"/>
  <c r="E1671" i="1"/>
  <c r="A1672" i="1"/>
  <c r="B1672" i="1"/>
  <c r="C1672" i="1"/>
  <c r="D1672" i="1"/>
  <c r="E1672" i="1"/>
  <c r="A1673" i="1"/>
  <c r="B1673" i="1"/>
  <c r="C1673" i="1"/>
  <c r="D1673" i="1"/>
  <c r="E1673" i="1"/>
  <c r="A1674" i="1"/>
  <c r="B1674" i="1"/>
  <c r="C1674" i="1"/>
  <c r="D1674" i="1"/>
  <c r="E1674" i="1"/>
  <c r="A1675" i="1"/>
  <c r="B1675" i="1"/>
  <c r="C1675" i="1"/>
  <c r="D1675" i="1"/>
  <c r="E1675" i="1"/>
  <c r="A1676" i="1"/>
  <c r="B1676" i="1"/>
  <c r="C1676" i="1"/>
  <c r="D1676" i="1"/>
  <c r="E1676" i="1"/>
  <c r="A1677" i="1"/>
  <c r="B1677" i="1"/>
  <c r="C1677" i="1"/>
  <c r="D1677" i="1"/>
  <c r="E1677" i="1"/>
  <c r="A1678" i="1"/>
  <c r="B1678" i="1"/>
  <c r="C1678" i="1"/>
  <c r="D1678" i="1"/>
  <c r="E1678" i="1"/>
  <c r="A1679" i="1"/>
  <c r="B1679" i="1"/>
  <c r="C1679" i="1"/>
  <c r="D1679" i="1"/>
  <c r="E1679" i="1"/>
  <c r="A1680" i="1"/>
  <c r="B1680" i="1"/>
  <c r="C1680" i="1"/>
  <c r="D1680" i="1"/>
  <c r="E1680" i="1"/>
  <c r="A1681" i="1"/>
  <c r="B1681" i="1"/>
  <c r="C1681" i="1"/>
  <c r="D1681" i="1"/>
  <c r="E1681" i="1"/>
  <c r="A1682" i="1"/>
  <c r="B1682" i="1"/>
  <c r="C1682" i="1"/>
  <c r="D1682" i="1"/>
  <c r="E1682" i="1"/>
  <c r="A1683" i="1"/>
  <c r="B1683" i="1"/>
  <c r="C1683" i="1"/>
  <c r="D1683" i="1"/>
  <c r="E1683" i="1"/>
  <c r="A1684" i="1"/>
  <c r="B1684" i="1"/>
  <c r="C1684" i="1"/>
  <c r="D1684" i="1"/>
  <c r="E1684" i="1"/>
  <c r="A1685" i="1"/>
  <c r="B1685" i="1"/>
  <c r="C1685" i="1"/>
  <c r="D1685" i="1"/>
  <c r="E1685" i="1"/>
  <c r="A1686" i="1"/>
  <c r="B1686" i="1"/>
  <c r="C1686" i="1"/>
  <c r="D1686" i="1"/>
  <c r="E1686" i="1"/>
  <c r="A1687" i="1"/>
  <c r="B1687" i="1"/>
  <c r="C1687" i="1"/>
  <c r="D1687" i="1"/>
  <c r="E1687" i="1"/>
  <c r="A1688" i="1"/>
  <c r="B1688" i="1"/>
  <c r="C1688" i="1"/>
  <c r="D1688" i="1"/>
  <c r="E1688" i="1"/>
  <c r="A1689" i="1"/>
  <c r="B1689" i="1"/>
  <c r="C1689" i="1"/>
  <c r="D1689" i="1"/>
  <c r="E1689" i="1"/>
  <c r="A1690" i="1"/>
  <c r="B1690" i="1"/>
  <c r="C1690" i="1"/>
  <c r="D1690" i="1"/>
  <c r="E1690" i="1"/>
  <c r="A1691" i="1"/>
  <c r="B1691" i="1"/>
  <c r="C1691" i="1"/>
  <c r="D1691" i="1"/>
  <c r="E1691" i="1"/>
  <c r="A1692" i="1"/>
  <c r="B1692" i="1"/>
  <c r="C1692" i="1"/>
  <c r="D1692" i="1"/>
  <c r="E1692" i="1"/>
  <c r="A1693" i="1"/>
  <c r="B1693" i="1"/>
  <c r="C1693" i="1"/>
  <c r="D1693" i="1"/>
  <c r="E1693" i="1"/>
  <c r="A1694" i="1"/>
  <c r="B1694" i="1"/>
  <c r="C1694" i="1"/>
  <c r="D1694" i="1"/>
  <c r="E1694" i="1"/>
  <c r="A1695" i="1"/>
  <c r="B1695" i="1"/>
  <c r="C1695" i="1"/>
  <c r="D1695" i="1"/>
  <c r="E1695" i="1"/>
  <c r="A1696" i="1"/>
  <c r="B1696" i="1"/>
  <c r="C1696" i="1"/>
  <c r="D1696" i="1"/>
  <c r="E1696" i="1"/>
  <c r="A1697" i="1"/>
  <c r="B1697" i="1"/>
  <c r="C1697" i="1"/>
  <c r="D1697" i="1"/>
  <c r="E1697" i="1"/>
  <c r="A1698" i="1"/>
  <c r="B1698" i="1"/>
  <c r="C1698" i="1"/>
  <c r="D1698" i="1"/>
  <c r="E1698" i="1"/>
  <c r="A1699" i="1"/>
  <c r="B1699" i="1"/>
  <c r="C1699" i="1"/>
  <c r="D1699" i="1"/>
  <c r="E1699" i="1"/>
  <c r="A1700" i="1"/>
  <c r="B1700" i="1"/>
  <c r="C1700" i="1"/>
  <c r="D1700" i="1"/>
  <c r="E1700" i="1"/>
  <c r="A1701" i="1"/>
  <c r="B1701" i="1"/>
  <c r="C1701" i="1"/>
  <c r="D1701" i="1"/>
  <c r="E1701" i="1"/>
  <c r="A1702" i="1"/>
  <c r="B1702" i="1"/>
  <c r="C1702" i="1"/>
  <c r="D1702" i="1"/>
  <c r="E1702" i="1"/>
  <c r="A1703" i="1"/>
  <c r="B1703" i="1"/>
  <c r="C1703" i="1"/>
  <c r="D1703" i="1"/>
  <c r="E1703" i="1"/>
  <c r="A1704" i="1"/>
  <c r="B1704" i="1"/>
  <c r="C1704" i="1"/>
  <c r="D1704" i="1"/>
  <c r="E1704" i="1"/>
  <c r="A1705" i="1"/>
  <c r="B1705" i="1"/>
  <c r="C1705" i="1"/>
  <c r="D1705" i="1"/>
  <c r="E1705" i="1"/>
  <c r="A1706" i="1"/>
  <c r="B1706" i="1"/>
  <c r="C1706" i="1"/>
  <c r="D1706" i="1"/>
  <c r="E1706" i="1"/>
  <c r="A1707" i="1"/>
  <c r="B1707" i="1"/>
  <c r="C1707" i="1"/>
  <c r="D1707" i="1"/>
  <c r="E1707" i="1"/>
  <c r="A1708" i="1"/>
  <c r="B1708" i="1"/>
  <c r="C1708" i="1"/>
  <c r="D1708" i="1"/>
  <c r="E1708" i="1"/>
  <c r="A1709" i="1"/>
  <c r="B1709" i="1"/>
  <c r="C1709" i="1"/>
  <c r="D1709" i="1"/>
  <c r="E1709" i="1"/>
  <c r="A1710" i="1"/>
  <c r="B1710" i="1"/>
  <c r="C1710" i="1"/>
  <c r="D1710" i="1"/>
  <c r="E1710" i="1"/>
  <c r="A1711" i="1"/>
  <c r="B1711" i="1"/>
  <c r="C1711" i="1"/>
  <c r="D1711" i="1"/>
  <c r="E1711" i="1"/>
  <c r="A1712" i="1"/>
  <c r="B1712" i="1"/>
  <c r="C1712" i="1"/>
  <c r="D1712" i="1"/>
  <c r="E1712" i="1"/>
  <c r="A1713" i="1"/>
  <c r="B1713" i="1"/>
  <c r="C1713" i="1"/>
  <c r="D1713" i="1"/>
  <c r="E1713" i="1"/>
  <c r="A1714" i="1"/>
  <c r="B1714" i="1"/>
  <c r="C1714" i="1"/>
  <c r="D1714" i="1"/>
  <c r="E1714" i="1"/>
  <c r="A1715" i="1"/>
  <c r="B1715" i="1"/>
  <c r="C1715" i="1"/>
  <c r="D1715" i="1"/>
  <c r="E1715" i="1"/>
  <c r="A1716" i="1"/>
  <c r="B1716" i="1"/>
  <c r="C1716" i="1"/>
  <c r="D1716" i="1"/>
  <c r="E1716" i="1"/>
  <c r="A1717" i="1"/>
  <c r="B1717" i="1"/>
  <c r="C1717" i="1"/>
  <c r="D1717" i="1"/>
  <c r="E1717" i="1"/>
  <c r="A1718" i="1"/>
  <c r="B1718" i="1"/>
  <c r="C1718" i="1"/>
  <c r="D1718" i="1"/>
  <c r="E1718" i="1"/>
  <c r="A1719" i="1"/>
  <c r="B1719" i="1"/>
  <c r="C1719" i="1"/>
  <c r="D1719" i="1"/>
  <c r="E1719" i="1"/>
  <c r="A1720" i="1"/>
  <c r="B1720" i="1"/>
  <c r="C1720" i="1"/>
  <c r="D1720" i="1"/>
  <c r="E1720" i="1"/>
  <c r="A1721" i="1"/>
  <c r="B1721" i="1"/>
  <c r="C1721" i="1"/>
  <c r="D1721" i="1"/>
  <c r="E1721" i="1"/>
  <c r="A1722" i="1"/>
  <c r="B1722" i="1"/>
  <c r="C1722" i="1"/>
  <c r="D1722" i="1"/>
  <c r="E1722" i="1"/>
  <c r="A1723" i="1"/>
  <c r="B1723" i="1"/>
  <c r="C1723" i="1"/>
  <c r="D1723" i="1"/>
  <c r="E1723" i="1"/>
  <c r="A1724" i="1"/>
  <c r="B1724" i="1"/>
  <c r="C1724" i="1"/>
  <c r="D1724" i="1"/>
  <c r="E1724" i="1"/>
  <c r="A1725" i="1"/>
  <c r="B1725" i="1"/>
  <c r="C1725" i="1"/>
  <c r="D1725" i="1"/>
  <c r="E1725" i="1"/>
  <c r="A1726" i="1"/>
  <c r="B1726" i="1"/>
  <c r="C1726" i="1"/>
  <c r="D1726" i="1"/>
  <c r="E1726" i="1"/>
  <c r="A1727" i="1"/>
  <c r="B1727" i="1"/>
  <c r="C1727" i="1"/>
  <c r="D1727" i="1"/>
  <c r="E1727" i="1"/>
  <c r="A1728" i="1"/>
  <c r="B1728" i="1"/>
  <c r="C1728" i="1"/>
  <c r="D1728" i="1"/>
  <c r="E1728" i="1"/>
  <c r="A1729" i="1"/>
  <c r="B1729" i="1"/>
  <c r="C1729" i="1"/>
  <c r="D1729" i="1"/>
  <c r="E1729" i="1"/>
  <c r="A1730" i="1"/>
  <c r="B1730" i="1"/>
  <c r="C1730" i="1"/>
  <c r="D1730" i="1"/>
  <c r="E1730" i="1"/>
  <c r="A1731" i="1"/>
  <c r="B1731" i="1"/>
  <c r="C1731" i="1"/>
  <c r="D1731" i="1"/>
  <c r="E1731" i="1"/>
  <c r="A1732" i="1"/>
  <c r="B1732" i="1"/>
  <c r="C1732" i="1"/>
  <c r="D1732" i="1"/>
  <c r="E1732" i="1"/>
  <c r="A1733" i="1"/>
  <c r="B1733" i="1"/>
  <c r="C1733" i="1"/>
  <c r="D1733" i="1"/>
  <c r="E1733" i="1"/>
  <c r="A1734" i="1"/>
  <c r="B1734" i="1"/>
  <c r="C1734" i="1"/>
  <c r="D1734" i="1"/>
  <c r="E1734" i="1"/>
  <c r="A1735" i="1"/>
  <c r="B1735" i="1"/>
  <c r="C1735" i="1"/>
  <c r="D1735" i="1"/>
  <c r="E1735" i="1"/>
  <c r="A1736" i="1"/>
  <c r="B1736" i="1"/>
  <c r="C1736" i="1"/>
  <c r="D1736" i="1"/>
  <c r="E1736" i="1"/>
  <c r="A1737" i="1"/>
  <c r="B1737" i="1"/>
  <c r="C1737" i="1"/>
  <c r="D1737" i="1"/>
  <c r="E1737" i="1"/>
  <c r="A1738" i="1"/>
  <c r="B1738" i="1"/>
  <c r="C1738" i="1"/>
  <c r="D1738" i="1"/>
  <c r="E1738" i="1"/>
  <c r="A1739" i="1"/>
  <c r="B1739" i="1"/>
  <c r="C1739" i="1"/>
  <c r="D1739" i="1"/>
  <c r="E1739" i="1"/>
  <c r="A1740" i="1"/>
  <c r="B1740" i="1"/>
  <c r="C1740" i="1"/>
  <c r="D1740" i="1"/>
  <c r="E1740" i="1"/>
  <c r="A1741" i="1"/>
  <c r="B1741" i="1"/>
  <c r="C1741" i="1"/>
  <c r="D1741" i="1"/>
  <c r="E1741" i="1"/>
  <c r="A1742" i="1"/>
  <c r="B1742" i="1"/>
  <c r="C1742" i="1"/>
  <c r="D1742" i="1"/>
  <c r="E1742" i="1"/>
  <c r="A1743" i="1"/>
  <c r="B1743" i="1"/>
  <c r="C1743" i="1"/>
  <c r="D1743" i="1"/>
  <c r="E1743" i="1"/>
  <c r="A1744" i="1"/>
  <c r="B1744" i="1"/>
  <c r="C1744" i="1"/>
  <c r="D1744" i="1"/>
  <c r="E1744" i="1"/>
  <c r="A1745" i="1"/>
  <c r="B1745" i="1"/>
  <c r="C1745" i="1"/>
  <c r="D1745" i="1"/>
  <c r="E1745" i="1"/>
  <c r="A1746" i="1"/>
  <c r="B1746" i="1"/>
  <c r="C1746" i="1"/>
  <c r="D1746" i="1"/>
  <c r="E1746" i="1"/>
  <c r="A1747" i="1"/>
  <c r="B1747" i="1"/>
  <c r="C1747" i="1"/>
  <c r="D1747" i="1"/>
  <c r="E1747" i="1"/>
  <c r="A1748" i="1"/>
  <c r="B1748" i="1"/>
  <c r="C1748" i="1"/>
  <c r="D1748" i="1"/>
  <c r="E1748" i="1"/>
  <c r="A1749" i="1"/>
  <c r="B1749" i="1"/>
  <c r="C1749" i="1"/>
  <c r="D1749" i="1"/>
  <c r="E1749" i="1"/>
  <c r="A1750" i="1"/>
  <c r="B1750" i="1"/>
  <c r="C1750" i="1"/>
  <c r="D1750" i="1"/>
  <c r="E1750" i="1"/>
  <c r="A1751" i="1"/>
  <c r="B1751" i="1"/>
  <c r="C1751" i="1"/>
  <c r="D1751" i="1"/>
  <c r="E1751" i="1"/>
  <c r="A1752" i="1"/>
  <c r="B1752" i="1"/>
  <c r="C1752" i="1"/>
  <c r="D1752" i="1"/>
  <c r="E1752" i="1"/>
  <c r="A1753" i="1"/>
  <c r="B1753" i="1"/>
  <c r="C1753" i="1"/>
  <c r="D1753" i="1"/>
  <c r="E1753" i="1"/>
  <c r="A1754" i="1"/>
  <c r="B1754" i="1"/>
  <c r="C1754" i="1"/>
  <c r="D1754" i="1"/>
  <c r="E1754" i="1"/>
  <c r="A1755" i="1"/>
  <c r="B1755" i="1"/>
  <c r="C1755" i="1"/>
  <c r="D1755" i="1"/>
  <c r="E1755" i="1"/>
  <c r="A1756" i="1"/>
  <c r="B1756" i="1"/>
  <c r="C1756" i="1"/>
  <c r="D1756" i="1"/>
  <c r="E1756" i="1"/>
  <c r="A1757" i="1"/>
  <c r="B1757" i="1"/>
  <c r="C1757" i="1"/>
  <c r="D1757" i="1"/>
  <c r="E1757" i="1"/>
  <c r="A1758" i="1"/>
  <c r="B1758" i="1"/>
  <c r="C1758" i="1"/>
  <c r="D1758" i="1"/>
  <c r="E1758" i="1"/>
  <c r="A1759" i="1"/>
  <c r="B1759" i="1"/>
  <c r="C1759" i="1"/>
  <c r="D1759" i="1"/>
  <c r="E1759" i="1"/>
  <c r="A1760" i="1"/>
  <c r="B1760" i="1"/>
  <c r="C1760" i="1"/>
  <c r="D1760" i="1"/>
  <c r="E1760" i="1"/>
  <c r="A1761" i="1"/>
  <c r="B1761" i="1"/>
  <c r="C1761" i="1"/>
  <c r="D1761" i="1"/>
  <c r="E1761" i="1"/>
  <c r="A1762" i="1"/>
  <c r="B1762" i="1"/>
  <c r="C1762" i="1"/>
  <c r="D1762" i="1"/>
  <c r="E1762" i="1"/>
  <c r="A1763" i="1"/>
  <c r="B1763" i="1"/>
  <c r="C1763" i="1"/>
  <c r="D1763" i="1"/>
  <c r="E1763" i="1"/>
  <c r="A1764" i="1"/>
  <c r="B1764" i="1"/>
  <c r="C1764" i="1"/>
  <c r="D1764" i="1"/>
  <c r="E1764" i="1"/>
  <c r="A1765" i="1"/>
  <c r="B1765" i="1"/>
  <c r="C1765" i="1"/>
  <c r="D1765" i="1"/>
  <c r="E1765" i="1"/>
  <c r="A1766" i="1"/>
  <c r="B1766" i="1"/>
  <c r="C1766" i="1"/>
  <c r="D1766" i="1"/>
  <c r="E1766" i="1"/>
  <c r="A1767" i="1"/>
  <c r="B1767" i="1"/>
  <c r="C1767" i="1"/>
  <c r="D1767" i="1"/>
  <c r="E1767" i="1"/>
  <c r="A1768" i="1"/>
  <c r="B1768" i="1"/>
  <c r="C1768" i="1"/>
  <c r="D1768" i="1"/>
  <c r="E1768" i="1"/>
  <c r="A1769" i="1"/>
  <c r="B1769" i="1"/>
  <c r="C1769" i="1"/>
  <c r="D1769" i="1"/>
  <c r="E1769" i="1"/>
  <c r="A1770" i="1"/>
  <c r="B1770" i="1"/>
  <c r="C1770" i="1"/>
  <c r="D1770" i="1"/>
  <c r="E1770" i="1"/>
  <c r="A1771" i="1"/>
  <c r="B1771" i="1"/>
  <c r="C1771" i="1"/>
  <c r="D1771" i="1"/>
  <c r="E1771" i="1"/>
  <c r="A1772" i="1"/>
  <c r="B1772" i="1"/>
  <c r="C1772" i="1"/>
  <c r="D1772" i="1"/>
  <c r="E1772" i="1"/>
  <c r="A1773" i="1"/>
  <c r="B1773" i="1"/>
  <c r="C1773" i="1"/>
  <c r="D1773" i="1"/>
  <c r="E1773" i="1"/>
  <c r="A1774" i="1"/>
  <c r="B1774" i="1"/>
  <c r="C1774" i="1"/>
  <c r="D1774" i="1"/>
  <c r="E1774" i="1"/>
  <c r="A1775" i="1"/>
  <c r="B1775" i="1"/>
  <c r="C1775" i="1"/>
  <c r="D1775" i="1"/>
  <c r="E1775" i="1"/>
  <c r="A1776" i="1"/>
  <c r="B1776" i="1"/>
  <c r="C1776" i="1"/>
  <c r="D1776" i="1"/>
  <c r="E1776" i="1"/>
  <c r="A1777" i="1"/>
  <c r="B1777" i="1"/>
  <c r="C1777" i="1"/>
  <c r="D1777" i="1"/>
  <c r="E1777" i="1"/>
  <c r="A1778" i="1"/>
  <c r="B1778" i="1"/>
  <c r="C1778" i="1"/>
  <c r="D1778" i="1"/>
  <c r="E1778" i="1"/>
  <c r="A1779" i="1"/>
  <c r="B1779" i="1"/>
  <c r="C1779" i="1"/>
  <c r="D1779" i="1"/>
  <c r="E1779" i="1"/>
  <c r="A1780" i="1"/>
  <c r="B1780" i="1"/>
  <c r="C1780" i="1"/>
  <c r="D1780" i="1"/>
  <c r="E1780" i="1"/>
  <c r="A1781" i="1"/>
  <c r="B1781" i="1"/>
  <c r="C1781" i="1"/>
  <c r="D1781" i="1"/>
  <c r="E1781" i="1"/>
  <c r="A1782" i="1"/>
  <c r="B1782" i="1"/>
  <c r="C1782" i="1"/>
  <c r="D1782" i="1"/>
  <c r="E1782" i="1"/>
  <c r="A1783" i="1"/>
  <c r="B1783" i="1"/>
  <c r="C1783" i="1"/>
  <c r="D1783" i="1"/>
  <c r="E1783" i="1"/>
  <c r="A1784" i="1"/>
  <c r="B1784" i="1"/>
  <c r="C1784" i="1"/>
  <c r="D1784" i="1"/>
  <c r="E1784" i="1"/>
  <c r="A1785" i="1"/>
  <c r="B1785" i="1"/>
  <c r="C1785" i="1"/>
  <c r="D1785" i="1"/>
  <c r="E1785" i="1"/>
  <c r="A1786" i="1"/>
  <c r="B1786" i="1"/>
  <c r="C1786" i="1"/>
  <c r="D1786" i="1"/>
  <c r="E1786" i="1"/>
  <c r="A1787" i="1"/>
  <c r="B1787" i="1"/>
  <c r="C1787" i="1"/>
  <c r="D1787" i="1"/>
  <c r="E1787" i="1"/>
  <c r="A1788" i="1"/>
  <c r="B1788" i="1"/>
  <c r="C1788" i="1"/>
  <c r="D1788" i="1"/>
  <c r="E1788" i="1"/>
  <c r="A1789" i="1"/>
  <c r="B1789" i="1"/>
  <c r="C1789" i="1"/>
  <c r="D1789" i="1"/>
  <c r="E1789" i="1"/>
  <c r="A1790" i="1"/>
  <c r="B1790" i="1"/>
  <c r="C1790" i="1"/>
  <c r="D1790" i="1"/>
  <c r="E1790" i="1"/>
  <c r="A1791" i="1"/>
  <c r="B1791" i="1"/>
  <c r="C1791" i="1"/>
  <c r="D1791" i="1"/>
  <c r="E1791" i="1"/>
  <c r="A1792" i="1"/>
  <c r="B1792" i="1"/>
  <c r="C1792" i="1"/>
  <c r="D1792" i="1"/>
  <c r="E1792" i="1"/>
  <c r="A1793" i="1"/>
  <c r="B1793" i="1"/>
  <c r="C1793" i="1"/>
  <c r="D1793" i="1"/>
  <c r="E1793" i="1"/>
  <c r="A1794" i="1"/>
  <c r="B1794" i="1"/>
  <c r="C1794" i="1"/>
  <c r="D1794" i="1"/>
  <c r="E1794" i="1"/>
  <c r="A1795" i="1"/>
  <c r="B1795" i="1"/>
  <c r="C1795" i="1"/>
  <c r="D1795" i="1"/>
  <c r="E1795" i="1"/>
  <c r="A1796" i="1"/>
  <c r="B1796" i="1"/>
  <c r="C1796" i="1"/>
  <c r="D1796" i="1"/>
  <c r="E1796" i="1"/>
  <c r="A1797" i="1"/>
  <c r="B1797" i="1"/>
  <c r="C1797" i="1"/>
  <c r="D1797" i="1"/>
  <c r="E1797" i="1"/>
  <c r="A1798" i="1"/>
  <c r="B1798" i="1"/>
  <c r="C1798" i="1"/>
  <c r="D1798" i="1"/>
  <c r="E1798" i="1"/>
  <c r="A1799" i="1"/>
  <c r="B1799" i="1"/>
  <c r="C1799" i="1"/>
  <c r="D1799" i="1"/>
  <c r="E1799" i="1"/>
  <c r="A1800" i="1"/>
  <c r="B1800" i="1"/>
  <c r="C1800" i="1"/>
  <c r="D1800" i="1"/>
  <c r="E1800" i="1"/>
  <c r="A1801" i="1"/>
  <c r="B1801" i="1"/>
  <c r="C1801" i="1"/>
  <c r="D1801" i="1"/>
  <c r="E1801" i="1"/>
  <c r="A1802" i="1"/>
  <c r="B1802" i="1"/>
  <c r="C1802" i="1"/>
  <c r="D1802" i="1"/>
  <c r="E1802" i="1"/>
  <c r="A1803" i="1"/>
  <c r="B1803" i="1"/>
  <c r="C1803" i="1"/>
  <c r="D1803" i="1"/>
  <c r="E1803" i="1"/>
  <c r="A1804" i="1"/>
  <c r="B1804" i="1"/>
  <c r="C1804" i="1"/>
  <c r="D1804" i="1"/>
  <c r="E1804" i="1"/>
  <c r="A1805" i="1"/>
  <c r="B1805" i="1"/>
  <c r="C1805" i="1"/>
  <c r="D1805" i="1"/>
  <c r="E1805" i="1"/>
  <c r="A1806" i="1"/>
  <c r="B1806" i="1"/>
  <c r="C1806" i="1"/>
  <c r="D1806" i="1"/>
  <c r="E1806" i="1"/>
  <c r="A1807" i="1"/>
  <c r="B1807" i="1"/>
  <c r="C1807" i="1"/>
  <c r="D1807" i="1"/>
  <c r="E1807" i="1"/>
  <c r="A1808" i="1"/>
  <c r="B1808" i="1"/>
  <c r="C1808" i="1"/>
  <c r="D1808" i="1"/>
  <c r="E1808" i="1"/>
  <c r="A1809" i="1"/>
  <c r="B1809" i="1"/>
  <c r="C1809" i="1"/>
  <c r="D1809" i="1"/>
  <c r="E1809" i="1"/>
  <c r="A1810" i="1"/>
  <c r="B1810" i="1"/>
  <c r="C1810" i="1"/>
  <c r="D1810" i="1"/>
  <c r="E1810" i="1"/>
  <c r="A1811" i="1"/>
  <c r="B1811" i="1"/>
  <c r="C1811" i="1"/>
  <c r="D1811" i="1"/>
  <c r="E1811" i="1"/>
  <c r="A1812" i="1"/>
  <c r="B1812" i="1"/>
  <c r="C1812" i="1"/>
  <c r="D1812" i="1"/>
  <c r="E1812" i="1"/>
  <c r="A1813" i="1"/>
  <c r="B1813" i="1"/>
  <c r="C1813" i="1"/>
  <c r="D1813" i="1"/>
  <c r="E1813" i="1"/>
  <c r="A1814" i="1"/>
  <c r="B1814" i="1"/>
  <c r="C1814" i="1"/>
  <c r="D1814" i="1"/>
  <c r="E1814" i="1"/>
  <c r="A1815" i="1"/>
  <c r="B1815" i="1"/>
  <c r="C1815" i="1"/>
  <c r="D1815" i="1"/>
  <c r="E1815" i="1"/>
  <c r="A1816" i="1"/>
  <c r="B1816" i="1"/>
  <c r="C1816" i="1"/>
  <c r="D1816" i="1"/>
  <c r="E1816" i="1"/>
  <c r="A1817" i="1"/>
  <c r="B1817" i="1"/>
  <c r="C1817" i="1"/>
  <c r="D1817" i="1"/>
  <c r="E1817" i="1"/>
  <c r="A1818" i="1"/>
  <c r="B1818" i="1"/>
  <c r="C1818" i="1"/>
  <c r="D1818" i="1"/>
  <c r="E1818" i="1"/>
  <c r="A1819" i="1"/>
  <c r="B1819" i="1"/>
  <c r="C1819" i="1"/>
  <c r="D1819" i="1"/>
  <c r="E1819" i="1"/>
  <c r="A1820" i="1"/>
  <c r="B1820" i="1"/>
  <c r="C1820" i="1"/>
  <c r="D1820" i="1"/>
  <c r="E1820" i="1"/>
  <c r="A1821" i="1"/>
  <c r="B1821" i="1"/>
  <c r="C1821" i="1"/>
  <c r="D1821" i="1"/>
  <c r="E1821" i="1"/>
  <c r="A1822" i="1"/>
  <c r="B1822" i="1"/>
  <c r="C1822" i="1"/>
  <c r="D1822" i="1"/>
  <c r="E1822" i="1"/>
  <c r="A1823" i="1"/>
  <c r="B1823" i="1"/>
  <c r="C1823" i="1"/>
  <c r="D1823" i="1"/>
  <c r="E1823" i="1"/>
  <c r="A1824" i="1"/>
  <c r="B1824" i="1"/>
  <c r="C1824" i="1"/>
  <c r="D1824" i="1"/>
  <c r="E1824" i="1"/>
  <c r="A1825" i="1"/>
  <c r="B1825" i="1"/>
  <c r="C1825" i="1"/>
  <c r="D1825" i="1"/>
  <c r="E1825" i="1"/>
  <c r="A1826" i="1"/>
  <c r="B1826" i="1"/>
  <c r="C1826" i="1"/>
  <c r="D1826" i="1"/>
  <c r="E1826" i="1"/>
  <c r="A1827" i="1"/>
  <c r="B1827" i="1"/>
  <c r="C1827" i="1"/>
  <c r="D1827" i="1"/>
  <c r="E1827" i="1"/>
  <c r="A1828" i="1"/>
  <c r="B1828" i="1"/>
  <c r="C1828" i="1"/>
  <c r="D1828" i="1"/>
  <c r="E1828" i="1"/>
  <c r="A1829" i="1"/>
  <c r="B1829" i="1"/>
  <c r="C1829" i="1"/>
  <c r="D1829" i="1"/>
  <c r="E1829" i="1"/>
  <c r="A1830" i="1"/>
  <c r="B1830" i="1"/>
  <c r="C1830" i="1"/>
  <c r="D1830" i="1"/>
  <c r="E1830" i="1"/>
  <c r="A1831" i="1"/>
  <c r="B1831" i="1"/>
  <c r="C1831" i="1"/>
  <c r="D1831" i="1"/>
  <c r="E1831" i="1"/>
  <c r="A1832" i="1"/>
  <c r="B1832" i="1"/>
  <c r="C1832" i="1"/>
  <c r="D1832" i="1"/>
  <c r="E1832" i="1"/>
  <c r="A1833" i="1"/>
  <c r="B1833" i="1"/>
  <c r="C1833" i="1"/>
  <c r="D1833" i="1"/>
  <c r="E1833" i="1"/>
  <c r="A1834" i="1"/>
  <c r="B1834" i="1"/>
  <c r="C1834" i="1"/>
  <c r="D1834" i="1"/>
  <c r="E1834" i="1"/>
  <c r="A1835" i="1"/>
  <c r="B1835" i="1"/>
  <c r="C1835" i="1"/>
  <c r="D1835" i="1"/>
  <c r="E1835" i="1"/>
  <c r="A1836" i="1"/>
  <c r="B1836" i="1"/>
  <c r="C1836" i="1"/>
  <c r="D1836" i="1"/>
  <c r="E1836" i="1"/>
  <c r="A1837" i="1"/>
  <c r="B1837" i="1"/>
  <c r="C1837" i="1"/>
  <c r="D1837" i="1"/>
  <c r="E1837" i="1"/>
  <c r="A1838" i="1"/>
  <c r="B1838" i="1"/>
  <c r="C1838" i="1"/>
  <c r="D1838" i="1"/>
  <c r="E1838" i="1"/>
  <c r="A1839" i="1"/>
  <c r="B1839" i="1"/>
  <c r="C1839" i="1"/>
  <c r="D1839" i="1"/>
  <c r="E1839" i="1"/>
  <c r="A1840" i="1"/>
  <c r="B1840" i="1"/>
  <c r="C1840" i="1"/>
  <c r="D1840" i="1"/>
  <c r="E1840" i="1"/>
  <c r="A1841" i="1"/>
  <c r="B1841" i="1"/>
  <c r="C1841" i="1"/>
  <c r="D1841" i="1"/>
  <c r="E1841" i="1"/>
  <c r="A1842" i="1"/>
  <c r="B1842" i="1"/>
  <c r="C1842" i="1"/>
  <c r="D1842" i="1"/>
  <c r="E1842" i="1"/>
  <c r="A1843" i="1"/>
  <c r="B1843" i="1"/>
  <c r="C1843" i="1"/>
  <c r="D1843" i="1"/>
  <c r="E1843" i="1"/>
  <c r="A1844" i="1"/>
  <c r="B1844" i="1"/>
  <c r="C1844" i="1"/>
  <c r="D1844" i="1"/>
  <c r="E1844" i="1"/>
  <c r="A1845" i="1"/>
  <c r="B1845" i="1"/>
  <c r="C1845" i="1"/>
  <c r="D1845" i="1"/>
  <c r="E1845" i="1"/>
  <c r="A1846" i="1"/>
  <c r="B1846" i="1"/>
  <c r="C1846" i="1"/>
  <c r="D1846" i="1"/>
  <c r="E1846" i="1"/>
  <c r="A1847" i="1"/>
  <c r="B1847" i="1"/>
  <c r="C1847" i="1"/>
  <c r="D1847" i="1"/>
  <c r="E1847" i="1"/>
  <c r="A1848" i="1"/>
  <c r="B1848" i="1"/>
  <c r="C1848" i="1"/>
  <c r="D1848" i="1"/>
  <c r="E1848" i="1"/>
  <c r="A1849" i="1"/>
  <c r="B1849" i="1"/>
  <c r="C1849" i="1"/>
  <c r="D1849" i="1"/>
  <c r="E1849" i="1"/>
  <c r="A1850" i="1"/>
  <c r="B1850" i="1"/>
  <c r="C1850" i="1"/>
  <c r="D1850" i="1"/>
  <c r="E1850" i="1"/>
  <c r="A1851" i="1"/>
  <c r="B1851" i="1"/>
  <c r="C1851" i="1"/>
  <c r="D1851" i="1"/>
  <c r="E1851" i="1"/>
  <c r="A1852" i="1"/>
  <c r="B1852" i="1"/>
  <c r="C1852" i="1"/>
  <c r="D1852" i="1"/>
  <c r="E1852" i="1"/>
  <c r="A1853" i="1"/>
  <c r="B1853" i="1"/>
  <c r="C1853" i="1"/>
  <c r="D1853" i="1"/>
  <c r="E1853" i="1"/>
  <c r="A1854" i="1"/>
  <c r="B1854" i="1"/>
  <c r="C1854" i="1"/>
  <c r="D1854" i="1"/>
  <c r="E1854" i="1"/>
  <c r="A1855" i="1"/>
  <c r="B1855" i="1"/>
  <c r="C1855" i="1"/>
  <c r="D1855" i="1"/>
  <c r="E1855" i="1"/>
  <c r="A1856" i="1"/>
  <c r="B1856" i="1"/>
  <c r="C1856" i="1"/>
  <c r="D1856" i="1"/>
  <c r="E1856" i="1"/>
  <c r="A1857" i="1"/>
  <c r="B1857" i="1"/>
  <c r="C1857" i="1"/>
  <c r="D1857" i="1"/>
  <c r="E1857" i="1"/>
  <c r="A1858" i="1"/>
  <c r="B1858" i="1"/>
  <c r="C1858" i="1"/>
  <c r="D1858" i="1"/>
  <c r="E1858" i="1"/>
  <c r="A1859" i="1"/>
  <c r="B1859" i="1"/>
  <c r="C1859" i="1"/>
  <c r="D1859" i="1"/>
  <c r="E1859" i="1"/>
  <c r="A1860" i="1"/>
  <c r="B1860" i="1"/>
  <c r="C1860" i="1"/>
  <c r="D1860" i="1"/>
  <c r="E1860" i="1"/>
  <c r="A1861" i="1"/>
  <c r="B1861" i="1"/>
  <c r="C1861" i="1"/>
  <c r="D1861" i="1"/>
  <c r="E1861" i="1"/>
  <c r="A1862" i="1"/>
  <c r="B1862" i="1"/>
  <c r="C1862" i="1"/>
  <c r="D1862" i="1"/>
  <c r="E1862" i="1"/>
  <c r="A1863" i="1"/>
  <c r="B1863" i="1"/>
  <c r="C1863" i="1"/>
  <c r="D1863" i="1"/>
  <c r="E1863" i="1"/>
  <c r="A1864" i="1"/>
  <c r="B1864" i="1"/>
  <c r="C1864" i="1"/>
  <c r="D1864" i="1"/>
  <c r="E1864" i="1"/>
  <c r="A1865" i="1"/>
  <c r="B1865" i="1"/>
  <c r="C1865" i="1"/>
  <c r="D1865" i="1"/>
  <c r="E1865" i="1"/>
  <c r="A1866" i="1"/>
  <c r="B1866" i="1"/>
  <c r="C1866" i="1"/>
  <c r="D1866" i="1"/>
  <c r="E1866" i="1"/>
  <c r="A1867" i="1"/>
  <c r="B1867" i="1"/>
  <c r="C1867" i="1"/>
  <c r="D1867" i="1"/>
  <c r="E1867" i="1"/>
  <c r="A1868" i="1"/>
  <c r="B1868" i="1"/>
  <c r="C1868" i="1"/>
  <c r="D1868" i="1"/>
  <c r="E1868" i="1"/>
  <c r="A1869" i="1"/>
  <c r="B1869" i="1"/>
  <c r="C1869" i="1"/>
  <c r="D1869" i="1"/>
  <c r="E1869" i="1"/>
  <c r="A1870" i="1"/>
  <c r="B1870" i="1"/>
  <c r="C1870" i="1"/>
  <c r="D1870" i="1"/>
  <c r="E1870" i="1"/>
  <c r="A1871" i="1"/>
  <c r="B1871" i="1"/>
  <c r="C1871" i="1"/>
  <c r="D1871" i="1"/>
  <c r="E1871" i="1"/>
  <c r="A1872" i="1"/>
  <c r="B1872" i="1"/>
  <c r="C1872" i="1"/>
  <c r="D1872" i="1"/>
  <c r="E1872" i="1"/>
  <c r="A1873" i="1"/>
  <c r="B1873" i="1"/>
  <c r="C1873" i="1"/>
  <c r="D1873" i="1"/>
  <c r="E1873" i="1"/>
  <c r="A1874" i="1"/>
  <c r="B1874" i="1"/>
  <c r="C1874" i="1"/>
  <c r="D1874" i="1"/>
  <c r="E1874" i="1"/>
  <c r="A1875" i="1"/>
  <c r="B1875" i="1"/>
  <c r="C1875" i="1"/>
  <c r="D1875" i="1"/>
  <c r="E1875" i="1"/>
  <c r="A1876" i="1"/>
  <c r="B1876" i="1"/>
  <c r="C1876" i="1"/>
  <c r="D1876" i="1"/>
  <c r="E1876" i="1"/>
  <c r="A1877" i="1"/>
  <c r="B1877" i="1"/>
  <c r="C1877" i="1"/>
  <c r="D1877" i="1"/>
  <c r="E1877" i="1"/>
  <c r="A1878" i="1"/>
  <c r="B1878" i="1"/>
  <c r="C1878" i="1"/>
  <c r="D1878" i="1"/>
  <c r="E1878" i="1"/>
  <c r="A1879" i="1"/>
  <c r="B1879" i="1"/>
  <c r="C1879" i="1"/>
  <c r="D1879" i="1"/>
  <c r="E1879" i="1"/>
  <c r="A1880" i="1"/>
  <c r="B1880" i="1"/>
  <c r="C1880" i="1"/>
  <c r="D1880" i="1"/>
  <c r="E1880" i="1"/>
  <c r="A1881" i="1"/>
  <c r="B1881" i="1"/>
  <c r="C1881" i="1"/>
  <c r="D1881" i="1"/>
  <c r="E1881" i="1"/>
  <c r="A1882" i="1"/>
  <c r="B1882" i="1"/>
  <c r="C1882" i="1"/>
  <c r="D1882" i="1"/>
  <c r="E1882" i="1"/>
  <c r="A1883" i="1"/>
  <c r="B1883" i="1"/>
  <c r="C1883" i="1"/>
  <c r="D1883" i="1"/>
  <c r="E1883" i="1"/>
  <c r="A1884" i="1"/>
  <c r="B1884" i="1"/>
  <c r="C1884" i="1"/>
  <c r="D1884" i="1"/>
  <c r="E1884" i="1"/>
  <c r="A1885" i="1"/>
  <c r="B1885" i="1"/>
  <c r="C1885" i="1"/>
  <c r="D1885" i="1"/>
  <c r="E1885" i="1"/>
  <c r="A1886" i="1"/>
  <c r="B1886" i="1"/>
  <c r="C1886" i="1"/>
  <c r="D1886" i="1"/>
  <c r="E1886" i="1"/>
  <c r="A1887" i="1"/>
  <c r="B1887" i="1"/>
  <c r="C1887" i="1"/>
  <c r="D1887" i="1"/>
  <c r="E1887" i="1"/>
  <c r="A1888" i="1"/>
  <c r="B1888" i="1"/>
  <c r="C1888" i="1"/>
  <c r="D1888" i="1"/>
  <c r="E1888" i="1"/>
  <c r="A1889" i="1"/>
  <c r="B1889" i="1"/>
  <c r="C1889" i="1"/>
  <c r="D1889" i="1"/>
  <c r="E1889" i="1"/>
  <c r="A1890" i="1"/>
  <c r="B1890" i="1"/>
  <c r="C1890" i="1"/>
  <c r="D1890" i="1"/>
  <c r="E1890" i="1"/>
  <c r="A1891" i="1"/>
  <c r="B1891" i="1"/>
  <c r="C1891" i="1"/>
  <c r="D1891" i="1"/>
  <c r="E1891" i="1"/>
  <c r="A1892" i="1"/>
  <c r="B1892" i="1"/>
  <c r="C1892" i="1"/>
  <c r="D1892" i="1"/>
  <c r="E1892" i="1"/>
  <c r="A1893" i="1"/>
  <c r="B1893" i="1"/>
  <c r="C1893" i="1"/>
  <c r="D1893" i="1"/>
  <c r="E1893" i="1"/>
  <c r="A1894" i="1"/>
  <c r="B1894" i="1"/>
  <c r="C1894" i="1"/>
  <c r="D1894" i="1"/>
  <c r="E1894" i="1"/>
  <c r="A1895" i="1"/>
  <c r="B1895" i="1"/>
  <c r="C1895" i="1"/>
  <c r="D1895" i="1"/>
  <c r="E1895" i="1"/>
  <c r="A1896" i="1"/>
  <c r="B1896" i="1"/>
  <c r="C1896" i="1"/>
  <c r="D1896" i="1"/>
  <c r="E1896" i="1"/>
  <c r="A1897" i="1"/>
  <c r="B1897" i="1"/>
  <c r="C1897" i="1"/>
  <c r="D1897" i="1"/>
  <c r="E1897" i="1"/>
  <c r="A1898" i="1"/>
  <c r="B1898" i="1"/>
  <c r="C1898" i="1"/>
  <c r="D1898" i="1"/>
  <c r="E1898" i="1"/>
  <c r="A1899" i="1"/>
  <c r="B1899" i="1"/>
  <c r="C1899" i="1"/>
  <c r="D1899" i="1"/>
  <c r="E1899" i="1"/>
  <c r="A1900" i="1"/>
  <c r="B1900" i="1"/>
  <c r="C1900" i="1"/>
  <c r="D1900" i="1"/>
  <c r="E1900" i="1"/>
  <c r="A1901" i="1"/>
  <c r="B1901" i="1"/>
  <c r="C1901" i="1"/>
  <c r="D1901" i="1"/>
  <c r="E1901" i="1"/>
  <c r="A1902" i="1"/>
  <c r="B1902" i="1"/>
  <c r="C1902" i="1"/>
  <c r="D1902" i="1"/>
  <c r="E1902" i="1"/>
  <c r="A1903" i="1"/>
  <c r="B1903" i="1"/>
  <c r="C1903" i="1"/>
  <c r="D1903" i="1"/>
  <c r="E1903" i="1"/>
  <c r="A1904" i="1"/>
  <c r="B1904" i="1"/>
  <c r="C1904" i="1"/>
  <c r="D1904" i="1"/>
  <c r="E1904" i="1"/>
  <c r="A1905" i="1"/>
  <c r="B1905" i="1"/>
  <c r="C1905" i="1"/>
  <c r="D1905" i="1"/>
  <c r="E1905" i="1"/>
  <c r="A1906" i="1"/>
  <c r="B1906" i="1"/>
  <c r="C1906" i="1"/>
  <c r="D1906" i="1"/>
  <c r="E1906" i="1"/>
  <c r="A1907" i="1"/>
  <c r="B1907" i="1"/>
  <c r="C1907" i="1"/>
  <c r="D1907" i="1"/>
  <c r="E1907" i="1"/>
  <c r="A1908" i="1"/>
  <c r="B1908" i="1"/>
  <c r="C1908" i="1"/>
  <c r="D1908" i="1"/>
  <c r="E1908" i="1"/>
  <c r="A1909" i="1"/>
  <c r="B1909" i="1"/>
  <c r="C1909" i="1"/>
  <c r="D1909" i="1"/>
  <c r="E1909" i="1"/>
  <c r="A1910" i="1"/>
  <c r="B1910" i="1"/>
  <c r="C1910" i="1"/>
  <c r="D1910" i="1"/>
  <c r="E1910" i="1"/>
  <c r="A1911" i="1"/>
  <c r="B1911" i="1"/>
  <c r="C1911" i="1"/>
  <c r="D1911" i="1"/>
  <c r="E1911" i="1"/>
  <c r="A1912" i="1"/>
  <c r="B1912" i="1"/>
  <c r="C1912" i="1"/>
  <c r="D1912" i="1"/>
  <c r="E1912" i="1"/>
  <c r="A1913" i="1"/>
  <c r="B1913" i="1"/>
  <c r="C1913" i="1"/>
  <c r="D1913" i="1"/>
  <c r="E1913" i="1"/>
  <c r="A1914" i="1"/>
  <c r="B1914" i="1"/>
  <c r="C1914" i="1"/>
  <c r="D1914" i="1"/>
  <c r="E1914" i="1"/>
  <c r="A1915" i="1"/>
  <c r="B1915" i="1"/>
  <c r="C1915" i="1"/>
  <c r="D1915" i="1"/>
  <c r="E1915" i="1"/>
  <c r="A1916" i="1"/>
  <c r="B1916" i="1"/>
  <c r="C1916" i="1"/>
  <c r="D1916" i="1"/>
  <c r="E1916" i="1"/>
  <c r="A1917" i="1"/>
  <c r="B1917" i="1"/>
  <c r="C1917" i="1"/>
  <c r="D1917" i="1"/>
  <c r="E1917" i="1"/>
  <c r="A1918" i="1"/>
  <c r="B1918" i="1"/>
  <c r="C1918" i="1"/>
  <c r="D1918" i="1"/>
  <c r="E1918" i="1"/>
  <c r="A1919" i="1"/>
  <c r="B1919" i="1"/>
  <c r="C1919" i="1"/>
  <c r="D1919" i="1"/>
  <c r="E1919" i="1"/>
  <c r="A1920" i="1"/>
  <c r="B1920" i="1"/>
  <c r="C1920" i="1"/>
  <c r="D1920" i="1"/>
  <c r="E1920" i="1"/>
  <c r="A1921" i="1"/>
  <c r="B1921" i="1"/>
  <c r="C1921" i="1"/>
  <c r="D1921" i="1"/>
  <c r="E1921" i="1"/>
  <c r="A1922" i="1"/>
  <c r="B1922" i="1"/>
  <c r="C1922" i="1"/>
  <c r="D1922" i="1"/>
  <c r="E1922" i="1"/>
  <c r="A1923" i="1"/>
  <c r="B1923" i="1"/>
  <c r="C1923" i="1"/>
  <c r="D1923" i="1"/>
  <c r="E1923" i="1"/>
  <c r="A1924" i="1"/>
  <c r="B1924" i="1"/>
  <c r="C1924" i="1"/>
  <c r="D1924" i="1"/>
  <c r="E1924" i="1"/>
  <c r="A1925" i="1"/>
  <c r="B1925" i="1"/>
  <c r="C1925" i="1"/>
  <c r="D1925" i="1"/>
  <c r="E1925" i="1"/>
  <c r="A1926" i="1"/>
  <c r="B1926" i="1"/>
  <c r="C1926" i="1"/>
  <c r="D1926" i="1"/>
  <c r="E1926" i="1"/>
  <c r="A1927" i="1"/>
  <c r="B1927" i="1"/>
  <c r="C1927" i="1"/>
  <c r="D1927" i="1"/>
  <c r="E1927" i="1"/>
  <c r="A1928" i="1"/>
  <c r="B1928" i="1"/>
  <c r="C1928" i="1"/>
  <c r="D1928" i="1"/>
  <c r="E1928" i="1"/>
  <c r="A1929" i="1"/>
  <c r="B1929" i="1"/>
  <c r="C1929" i="1"/>
  <c r="D1929" i="1"/>
  <c r="E1929" i="1"/>
  <c r="A1930" i="1"/>
  <c r="B1930" i="1"/>
  <c r="C1930" i="1"/>
  <c r="D1930" i="1"/>
  <c r="E1930" i="1"/>
  <c r="A1931" i="1"/>
  <c r="B1931" i="1"/>
  <c r="C1931" i="1"/>
  <c r="D1931" i="1"/>
  <c r="E1931" i="1"/>
  <c r="A1932" i="1"/>
  <c r="B1932" i="1"/>
  <c r="C1932" i="1"/>
  <c r="D1932" i="1"/>
  <c r="E1932" i="1"/>
  <c r="A1933" i="1"/>
  <c r="B1933" i="1"/>
  <c r="C1933" i="1"/>
  <c r="D1933" i="1"/>
  <c r="E1933" i="1"/>
  <c r="A1934" i="1"/>
  <c r="B1934" i="1"/>
  <c r="C1934" i="1"/>
  <c r="D1934" i="1"/>
  <c r="E1934" i="1"/>
  <c r="A1935" i="1"/>
  <c r="B1935" i="1"/>
  <c r="C1935" i="1"/>
  <c r="D1935" i="1"/>
  <c r="E1935" i="1"/>
  <c r="A1936" i="1"/>
  <c r="B1936" i="1"/>
  <c r="C1936" i="1"/>
  <c r="D1936" i="1"/>
  <c r="E1936" i="1"/>
  <c r="A1937" i="1"/>
  <c r="B1937" i="1"/>
  <c r="C1937" i="1"/>
  <c r="D1937" i="1"/>
  <c r="E1937" i="1"/>
  <c r="A1938" i="1"/>
  <c r="B1938" i="1"/>
  <c r="C1938" i="1"/>
  <c r="D1938" i="1"/>
  <c r="E1938" i="1"/>
  <c r="A1939" i="1"/>
  <c r="B1939" i="1"/>
  <c r="C1939" i="1"/>
  <c r="D1939" i="1"/>
  <c r="E1939" i="1"/>
  <c r="A1940" i="1"/>
  <c r="B1940" i="1"/>
  <c r="C1940" i="1"/>
  <c r="D1940" i="1"/>
  <c r="E1940" i="1"/>
  <c r="A1941" i="1"/>
  <c r="B1941" i="1"/>
  <c r="C1941" i="1"/>
  <c r="D1941" i="1"/>
  <c r="E1941" i="1"/>
  <c r="A1942" i="1"/>
  <c r="B1942" i="1"/>
  <c r="C1942" i="1"/>
  <c r="D1942" i="1"/>
  <c r="E1942" i="1"/>
  <c r="A1943" i="1"/>
  <c r="B1943" i="1"/>
  <c r="C1943" i="1"/>
  <c r="D1943" i="1"/>
  <c r="E1943" i="1"/>
  <c r="A1944" i="1"/>
  <c r="B1944" i="1"/>
  <c r="C1944" i="1"/>
  <c r="D1944" i="1"/>
  <c r="E1944" i="1"/>
  <c r="A1945" i="1"/>
  <c r="B1945" i="1"/>
  <c r="C1945" i="1"/>
  <c r="D1945" i="1"/>
  <c r="E1945" i="1"/>
  <c r="A1946" i="1"/>
  <c r="B1946" i="1"/>
  <c r="C1946" i="1"/>
  <c r="D1946" i="1"/>
  <c r="E1946" i="1"/>
  <c r="A1947" i="1"/>
  <c r="B1947" i="1"/>
  <c r="C1947" i="1"/>
  <c r="D1947" i="1"/>
  <c r="E1947" i="1"/>
  <c r="A1948" i="1"/>
  <c r="B1948" i="1"/>
  <c r="C1948" i="1"/>
  <c r="D1948" i="1"/>
  <c r="E1948" i="1"/>
  <c r="A1949" i="1"/>
  <c r="B1949" i="1"/>
  <c r="C1949" i="1"/>
  <c r="D1949" i="1"/>
  <c r="E1949" i="1"/>
  <c r="A1950" i="1"/>
  <c r="B1950" i="1"/>
  <c r="C1950" i="1"/>
  <c r="D1950" i="1"/>
  <c r="E1950" i="1"/>
  <c r="A1951" i="1"/>
  <c r="B1951" i="1"/>
  <c r="C1951" i="1"/>
  <c r="D1951" i="1"/>
  <c r="E1951" i="1"/>
  <c r="A1952" i="1"/>
  <c r="B1952" i="1"/>
  <c r="C1952" i="1"/>
  <c r="D1952" i="1"/>
  <c r="E1952" i="1"/>
  <c r="A1953" i="1"/>
  <c r="B1953" i="1"/>
  <c r="C1953" i="1"/>
  <c r="D1953" i="1"/>
  <c r="E1953" i="1"/>
  <c r="A1954" i="1"/>
  <c r="B1954" i="1"/>
  <c r="C1954" i="1"/>
  <c r="D1954" i="1"/>
  <c r="E1954" i="1"/>
  <c r="A1955" i="1"/>
  <c r="B1955" i="1"/>
  <c r="C1955" i="1"/>
  <c r="D1955" i="1"/>
  <c r="E1955" i="1"/>
  <c r="A1956" i="1"/>
  <c r="B1956" i="1"/>
  <c r="C1956" i="1"/>
  <c r="D1956" i="1"/>
  <c r="E1956" i="1"/>
  <c r="A1957" i="1"/>
  <c r="B1957" i="1"/>
  <c r="C1957" i="1"/>
  <c r="D1957" i="1"/>
  <c r="E1957" i="1"/>
  <c r="A1958" i="1"/>
  <c r="B1958" i="1"/>
  <c r="C1958" i="1"/>
  <c r="D1958" i="1"/>
  <c r="E1958" i="1"/>
  <c r="A1959" i="1"/>
  <c r="B1959" i="1"/>
  <c r="C1959" i="1"/>
  <c r="D1959" i="1"/>
  <c r="E1959" i="1"/>
  <c r="A1960" i="1"/>
  <c r="B1960" i="1"/>
  <c r="C1960" i="1"/>
  <c r="D1960" i="1"/>
  <c r="E1960" i="1"/>
  <c r="A1961" i="1"/>
  <c r="B1961" i="1"/>
  <c r="C1961" i="1"/>
  <c r="D1961" i="1"/>
  <c r="E1961" i="1"/>
  <c r="A1962" i="1"/>
  <c r="B1962" i="1"/>
  <c r="C1962" i="1"/>
  <c r="D1962" i="1"/>
  <c r="E1962" i="1"/>
  <c r="A1963" i="1"/>
  <c r="B1963" i="1"/>
  <c r="C1963" i="1"/>
  <c r="D1963" i="1"/>
  <c r="E1963" i="1"/>
  <c r="A1964" i="1"/>
  <c r="B1964" i="1"/>
  <c r="C1964" i="1"/>
  <c r="D1964" i="1"/>
  <c r="E1964" i="1"/>
  <c r="A1965" i="1"/>
  <c r="B1965" i="1"/>
  <c r="C1965" i="1"/>
  <c r="D1965" i="1"/>
  <c r="E1965" i="1"/>
  <c r="A1966" i="1"/>
  <c r="B1966" i="1"/>
  <c r="C1966" i="1"/>
  <c r="D1966" i="1"/>
  <c r="E1966" i="1"/>
  <c r="A1967" i="1"/>
  <c r="B1967" i="1"/>
  <c r="C1967" i="1"/>
  <c r="D1967" i="1"/>
  <c r="E1967" i="1"/>
  <c r="A1968" i="1"/>
  <c r="B1968" i="1"/>
  <c r="C1968" i="1"/>
  <c r="D1968" i="1"/>
  <c r="E1968" i="1"/>
  <c r="A1969" i="1"/>
  <c r="B1969" i="1"/>
  <c r="C1969" i="1"/>
  <c r="D1969" i="1"/>
  <c r="E1969" i="1"/>
  <c r="A1970" i="1"/>
  <c r="B1970" i="1"/>
  <c r="C1970" i="1"/>
  <c r="D1970" i="1"/>
  <c r="E1970" i="1"/>
  <c r="A1971" i="1"/>
  <c r="B1971" i="1"/>
  <c r="C1971" i="1"/>
  <c r="D1971" i="1"/>
  <c r="E1971" i="1"/>
  <c r="A1972" i="1"/>
  <c r="B1972" i="1"/>
  <c r="C1972" i="1"/>
  <c r="D1972" i="1"/>
  <c r="E1972" i="1"/>
  <c r="A1973" i="1"/>
  <c r="B1973" i="1"/>
  <c r="C1973" i="1"/>
  <c r="D1973" i="1"/>
  <c r="E1973" i="1"/>
  <c r="A1974" i="1"/>
  <c r="B1974" i="1"/>
  <c r="C1974" i="1"/>
  <c r="D1974" i="1"/>
  <c r="E1974" i="1"/>
  <c r="A1975" i="1"/>
  <c r="B1975" i="1"/>
  <c r="C1975" i="1"/>
  <c r="D1975" i="1"/>
  <c r="E1975" i="1"/>
  <c r="A1976" i="1"/>
  <c r="B1976" i="1"/>
  <c r="C1976" i="1"/>
  <c r="D1976" i="1"/>
  <c r="E1976" i="1"/>
  <c r="A1977" i="1"/>
  <c r="B1977" i="1"/>
  <c r="C1977" i="1"/>
  <c r="D1977" i="1"/>
  <c r="E1977" i="1"/>
  <c r="A1978" i="1"/>
  <c r="B1978" i="1"/>
  <c r="C1978" i="1"/>
  <c r="D1978" i="1"/>
  <c r="E1978" i="1"/>
  <c r="A1979" i="1"/>
  <c r="B1979" i="1"/>
  <c r="C1979" i="1"/>
  <c r="D1979" i="1"/>
  <c r="E1979" i="1"/>
  <c r="A1980" i="1"/>
  <c r="B1980" i="1"/>
  <c r="C1980" i="1"/>
  <c r="D1980" i="1"/>
  <c r="E1980" i="1"/>
  <c r="A1981" i="1"/>
  <c r="B1981" i="1"/>
  <c r="C1981" i="1"/>
  <c r="D1981" i="1"/>
  <c r="E1981" i="1"/>
  <c r="A1982" i="1"/>
  <c r="B1982" i="1"/>
  <c r="C1982" i="1"/>
  <c r="D1982" i="1"/>
  <c r="E1982" i="1"/>
  <c r="A1983" i="1"/>
  <c r="B1983" i="1"/>
  <c r="C1983" i="1"/>
  <c r="D1983" i="1"/>
  <c r="E1983" i="1"/>
  <c r="A1984" i="1"/>
  <c r="B1984" i="1"/>
  <c r="C1984" i="1"/>
  <c r="D1984" i="1"/>
  <c r="E1984" i="1"/>
  <c r="A1985" i="1"/>
  <c r="B1985" i="1"/>
  <c r="C1985" i="1"/>
  <c r="D1985" i="1"/>
  <c r="E1985" i="1"/>
  <c r="A1986" i="1"/>
  <c r="B1986" i="1"/>
  <c r="C1986" i="1"/>
  <c r="D1986" i="1"/>
  <c r="E1986" i="1"/>
  <c r="A1987" i="1"/>
  <c r="B1987" i="1"/>
  <c r="C1987" i="1"/>
  <c r="D1987" i="1"/>
  <c r="E1987" i="1"/>
  <c r="A1988" i="1"/>
  <c r="B1988" i="1"/>
  <c r="C1988" i="1"/>
  <c r="D1988" i="1"/>
  <c r="E1988" i="1"/>
  <c r="A1989" i="1"/>
  <c r="B1989" i="1"/>
  <c r="C1989" i="1"/>
  <c r="D1989" i="1"/>
  <c r="E1989" i="1"/>
  <c r="A1990" i="1"/>
  <c r="B1990" i="1"/>
  <c r="C1990" i="1"/>
  <c r="D1990" i="1"/>
  <c r="E1990" i="1"/>
  <c r="A1991" i="1"/>
  <c r="B1991" i="1"/>
  <c r="C1991" i="1"/>
  <c r="D1991" i="1"/>
  <c r="E1991" i="1"/>
  <c r="A1992" i="1"/>
  <c r="B1992" i="1"/>
  <c r="C1992" i="1"/>
  <c r="D1992" i="1"/>
  <c r="E1992" i="1"/>
  <c r="A1993" i="1"/>
  <c r="B1993" i="1"/>
  <c r="C1993" i="1"/>
  <c r="D1993" i="1"/>
  <c r="E1993" i="1"/>
  <c r="A1994" i="1"/>
  <c r="B1994" i="1"/>
  <c r="C1994" i="1"/>
  <c r="D1994" i="1"/>
  <c r="E1994" i="1"/>
  <c r="A1995" i="1"/>
  <c r="B1995" i="1"/>
  <c r="C1995" i="1"/>
  <c r="D1995" i="1"/>
  <c r="E1995" i="1"/>
  <c r="A1996" i="1"/>
  <c r="B1996" i="1"/>
  <c r="C1996" i="1"/>
  <c r="D1996" i="1"/>
  <c r="E1996" i="1"/>
  <c r="A1997" i="1"/>
  <c r="B1997" i="1"/>
  <c r="C1997" i="1"/>
  <c r="D1997" i="1"/>
  <c r="E1997" i="1"/>
  <c r="A1998" i="1"/>
  <c r="B1998" i="1"/>
  <c r="C1998" i="1"/>
  <c r="D1998" i="1"/>
  <c r="E1998" i="1"/>
  <c r="A1999" i="1"/>
  <c r="B1999" i="1"/>
  <c r="C1999" i="1"/>
  <c r="D1999" i="1"/>
  <c r="E1999" i="1"/>
  <c r="A2000" i="1"/>
  <c r="B2000" i="1"/>
  <c r="C2000" i="1"/>
  <c r="D2000" i="1"/>
  <c r="E2000" i="1"/>
  <c r="A2001" i="1"/>
  <c r="B2001" i="1"/>
  <c r="C2001" i="1"/>
  <c r="D2001" i="1"/>
  <c r="E2001" i="1"/>
  <c r="A2002" i="1"/>
  <c r="B2002" i="1"/>
  <c r="C2002" i="1"/>
  <c r="D2002" i="1"/>
  <c r="E2002" i="1"/>
  <c r="A2003" i="1"/>
  <c r="B2003" i="1"/>
  <c r="C2003" i="1"/>
  <c r="D2003" i="1"/>
  <c r="E2003" i="1"/>
  <c r="A2004" i="1"/>
  <c r="B2004" i="1"/>
  <c r="C2004" i="1"/>
  <c r="D2004" i="1"/>
  <c r="E2004" i="1"/>
  <c r="A2005" i="1"/>
  <c r="B2005" i="1"/>
  <c r="C2005" i="1"/>
  <c r="D2005" i="1"/>
  <c r="E2005" i="1"/>
  <c r="A2006" i="1"/>
  <c r="B2006" i="1"/>
  <c r="C2006" i="1"/>
  <c r="D2006" i="1"/>
  <c r="E2006" i="1"/>
  <c r="A2007" i="1"/>
  <c r="B2007" i="1"/>
  <c r="C2007" i="1"/>
  <c r="D2007" i="1"/>
  <c r="E2007" i="1"/>
  <c r="A2008" i="1"/>
  <c r="B2008" i="1"/>
  <c r="C2008" i="1"/>
  <c r="D2008" i="1"/>
  <c r="E2008" i="1"/>
  <c r="A2009" i="1"/>
  <c r="B2009" i="1"/>
  <c r="C2009" i="1"/>
  <c r="D2009" i="1"/>
  <c r="E2009" i="1"/>
  <c r="A2010" i="1"/>
  <c r="B2010" i="1"/>
  <c r="C2010" i="1"/>
  <c r="D2010" i="1"/>
  <c r="E2010" i="1"/>
  <c r="A2011" i="1"/>
  <c r="B2011" i="1"/>
  <c r="C2011" i="1"/>
  <c r="D2011" i="1"/>
  <c r="E2011" i="1"/>
  <c r="A2012" i="1"/>
  <c r="B2012" i="1"/>
  <c r="C2012" i="1"/>
  <c r="D2012" i="1"/>
  <c r="E2012" i="1"/>
  <c r="A2013" i="1"/>
  <c r="B2013" i="1"/>
  <c r="C2013" i="1"/>
  <c r="D2013" i="1"/>
  <c r="E2013" i="1"/>
  <c r="A2014" i="1"/>
  <c r="B2014" i="1"/>
  <c r="C2014" i="1"/>
  <c r="D2014" i="1"/>
  <c r="E2014" i="1"/>
  <c r="A2015" i="1"/>
  <c r="B2015" i="1"/>
  <c r="C2015" i="1"/>
  <c r="D2015" i="1"/>
  <c r="E2015" i="1"/>
  <c r="A2016" i="1"/>
  <c r="B2016" i="1"/>
  <c r="C2016" i="1"/>
  <c r="D2016" i="1"/>
  <c r="E2016" i="1"/>
  <c r="A2017" i="1"/>
  <c r="B2017" i="1"/>
  <c r="C2017" i="1"/>
  <c r="D2017" i="1"/>
  <c r="E2017" i="1"/>
  <c r="A2018" i="1"/>
  <c r="B2018" i="1"/>
  <c r="C2018" i="1"/>
  <c r="D2018" i="1"/>
  <c r="E2018" i="1"/>
  <c r="A2019" i="1"/>
  <c r="B2019" i="1"/>
  <c r="C2019" i="1"/>
  <c r="D2019" i="1"/>
  <c r="E2019" i="1"/>
  <c r="A2020" i="1"/>
  <c r="B2020" i="1"/>
  <c r="C2020" i="1"/>
  <c r="D2020" i="1"/>
  <c r="E2020" i="1"/>
  <c r="A2021" i="1"/>
  <c r="B2021" i="1"/>
  <c r="C2021" i="1"/>
  <c r="D2021" i="1"/>
  <c r="E2021" i="1"/>
  <c r="A2022" i="1"/>
  <c r="B2022" i="1"/>
  <c r="C2022" i="1"/>
  <c r="D2022" i="1"/>
  <c r="E2022" i="1"/>
  <c r="A2023" i="1"/>
  <c r="B2023" i="1"/>
  <c r="C2023" i="1"/>
  <c r="D2023" i="1"/>
  <c r="E2023" i="1"/>
  <c r="A2024" i="1"/>
  <c r="B2024" i="1"/>
  <c r="C2024" i="1"/>
  <c r="D2024" i="1"/>
  <c r="E2024" i="1"/>
  <c r="A2025" i="1"/>
  <c r="B2025" i="1"/>
  <c r="C2025" i="1"/>
  <c r="D2025" i="1"/>
  <c r="E2025" i="1"/>
  <c r="A2026" i="1"/>
  <c r="B2026" i="1"/>
  <c r="C2026" i="1"/>
  <c r="D2026" i="1"/>
  <c r="E2026" i="1"/>
  <c r="A2027" i="1"/>
  <c r="B2027" i="1"/>
  <c r="C2027" i="1"/>
  <c r="D2027" i="1"/>
  <c r="E2027" i="1"/>
  <c r="A2028" i="1"/>
  <c r="B2028" i="1"/>
  <c r="C2028" i="1"/>
  <c r="D2028" i="1"/>
  <c r="E2028" i="1"/>
  <c r="A2029" i="1"/>
  <c r="B2029" i="1"/>
  <c r="C2029" i="1"/>
  <c r="D2029" i="1"/>
  <c r="E2029" i="1"/>
  <c r="A2030" i="1"/>
  <c r="B2030" i="1"/>
  <c r="C2030" i="1"/>
  <c r="D2030" i="1"/>
  <c r="E2030" i="1"/>
  <c r="A2031" i="1"/>
  <c r="B2031" i="1"/>
  <c r="C2031" i="1"/>
  <c r="D2031" i="1"/>
  <c r="E2031" i="1"/>
  <c r="A2032" i="1"/>
  <c r="B2032" i="1"/>
  <c r="C2032" i="1"/>
  <c r="D2032" i="1"/>
  <c r="E2032" i="1"/>
  <c r="A2033" i="1"/>
  <c r="B2033" i="1"/>
  <c r="C2033" i="1"/>
  <c r="D2033" i="1"/>
  <c r="E2033" i="1"/>
  <c r="A2034" i="1"/>
  <c r="B2034" i="1"/>
  <c r="C2034" i="1"/>
  <c r="D2034" i="1"/>
  <c r="E2034" i="1"/>
  <c r="A2035" i="1"/>
  <c r="B2035" i="1"/>
  <c r="C2035" i="1"/>
  <c r="D2035" i="1"/>
  <c r="E2035" i="1"/>
  <c r="A2036" i="1"/>
  <c r="B2036" i="1"/>
  <c r="C2036" i="1"/>
  <c r="D2036" i="1"/>
  <c r="E2036" i="1"/>
  <c r="A2037" i="1"/>
  <c r="B2037" i="1"/>
  <c r="C2037" i="1"/>
  <c r="D2037" i="1"/>
  <c r="E2037" i="1"/>
  <c r="A2038" i="1"/>
  <c r="B2038" i="1"/>
  <c r="C2038" i="1"/>
  <c r="D2038" i="1"/>
  <c r="E2038" i="1"/>
  <c r="A2039" i="1"/>
  <c r="B2039" i="1"/>
  <c r="C2039" i="1"/>
  <c r="D2039" i="1"/>
  <c r="E2039" i="1"/>
  <c r="A2040" i="1"/>
  <c r="B2040" i="1"/>
  <c r="C2040" i="1"/>
  <c r="D2040" i="1"/>
  <c r="E2040" i="1"/>
  <c r="A2041" i="1"/>
  <c r="B2041" i="1"/>
  <c r="C2041" i="1"/>
  <c r="D2041" i="1"/>
  <c r="E2041" i="1"/>
  <c r="A2042" i="1"/>
  <c r="B2042" i="1"/>
  <c r="C2042" i="1"/>
  <c r="D2042" i="1"/>
  <c r="E2042" i="1"/>
  <c r="A2043" i="1"/>
  <c r="B2043" i="1"/>
  <c r="C2043" i="1"/>
  <c r="D2043" i="1"/>
  <c r="E2043" i="1"/>
  <c r="A2044" i="1"/>
  <c r="B2044" i="1"/>
  <c r="C2044" i="1"/>
  <c r="D2044" i="1"/>
  <c r="E2044" i="1"/>
  <c r="A2045" i="1"/>
  <c r="B2045" i="1"/>
  <c r="C2045" i="1"/>
  <c r="D2045" i="1"/>
  <c r="E2045" i="1"/>
  <c r="A2046" i="1"/>
  <c r="B2046" i="1"/>
  <c r="C2046" i="1"/>
  <c r="D2046" i="1"/>
  <c r="E2046" i="1"/>
  <c r="A2047" i="1"/>
  <c r="B2047" i="1"/>
  <c r="C2047" i="1"/>
  <c r="D2047" i="1"/>
  <c r="E2047" i="1"/>
  <c r="A2048" i="1"/>
  <c r="B2048" i="1"/>
  <c r="C2048" i="1"/>
  <c r="D2048" i="1"/>
  <c r="E2048" i="1"/>
  <c r="A2049" i="1"/>
  <c r="B2049" i="1"/>
  <c r="C2049" i="1"/>
  <c r="D2049" i="1"/>
  <c r="E2049" i="1"/>
  <c r="A2050" i="1"/>
  <c r="B2050" i="1"/>
  <c r="C2050" i="1"/>
  <c r="D2050" i="1"/>
  <c r="E2050" i="1"/>
  <c r="A2051" i="1"/>
  <c r="B2051" i="1"/>
  <c r="C2051" i="1"/>
  <c r="D2051" i="1"/>
  <c r="E2051" i="1"/>
  <c r="A2052" i="1"/>
  <c r="B2052" i="1"/>
  <c r="C2052" i="1"/>
  <c r="D2052" i="1"/>
  <c r="E2052" i="1"/>
  <c r="A2053" i="1"/>
  <c r="B2053" i="1"/>
  <c r="C2053" i="1"/>
  <c r="D2053" i="1"/>
  <c r="E2053" i="1"/>
  <c r="A2054" i="1"/>
  <c r="B2054" i="1"/>
  <c r="C2054" i="1"/>
  <c r="D2054" i="1"/>
  <c r="E2054" i="1"/>
  <c r="A2055" i="1"/>
  <c r="B2055" i="1"/>
  <c r="C2055" i="1"/>
  <c r="D2055" i="1"/>
  <c r="E2055" i="1"/>
  <c r="A2056" i="1"/>
  <c r="B2056" i="1"/>
  <c r="C2056" i="1"/>
  <c r="D2056" i="1"/>
  <c r="E2056" i="1"/>
  <c r="A2057" i="1"/>
  <c r="B2057" i="1"/>
  <c r="C2057" i="1"/>
  <c r="D2057" i="1"/>
  <c r="E2057" i="1"/>
  <c r="A2058" i="1"/>
  <c r="B2058" i="1"/>
  <c r="C2058" i="1"/>
  <c r="D2058" i="1"/>
  <c r="E2058" i="1"/>
  <c r="A2059" i="1"/>
  <c r="B2059" i="1"/>
  <c r="C2059" i="1"/>
  <c r="D2059" i="1"/>
  <c r="E2059" i="1"/>
  <c r="A2060" i="1"/>
  <c r="B2060" i="1"/>
  <c r="C2060" i="1"/>
  <c r="D2060" i="1"/>
  <c r="E2060" i="1"/>
  <c r="A2061" i="1"/>
  <c r="B2061" i="1"/>
  <c r="C2061" i="1"/>
  <c r="D2061" i="1"/>
  <c r="E2061" i="1"/>
  <c r="A2062" i="1"/>
  <c r="B2062" i="1"/>
  <c r="C2062" i="1"/>
  <c r="D2062" i="1"/>
  <c r="E2062" i="1"/>
  <c r="A2063" i="1"/>
  <c r="B2063" i="1"/>
  <c r="C2063" i="1"/>
  <c r="D2063" i="1"/>
  <c r="E2063" i="1"/>
  <c r="A2064" i="1"/>
  <c r="B2064" i="1"/>
  <c r="C2064" i="1"/>
  <c r="D2064" i="1"/>
  <c r="E2064" i="1"/>
  <c r="A2065" i="1"/>
  <c r="B2065" i="1"/>
  <c r="C2065" i="1"/>
  <c r="D2065" i="1"/>
  <c r="E2065" i="1"/>
  <c r="A2066" i="1"/>
  <c r="B2066" i="1"/>
  <c r="C2066" i="1"/>
  <c r="D2066" i="1"/>
  <c r="E2066" i="1"/>
  <c r="A2067" i="1"/>
  <c r="B2067" i="1"/>
  <c r="C2067" i="1"/>
  <c r="D2067" i="1"/>
  <c r="E2067" i="1"/>
  <c r="A2068" i="1"/>
  <c r="B2068" i="1"/>
  <c r="C2068" i="1"/>
  <c r="D2068" i="1"/>
  <c r="E2068" i="1"/>
  <c r="A2069" i="1"/>
  <c r="B2069" i="1"/>
  <c r="C2069" i="1"/>
  <c r="D2069" i="1"/>
  <c r="E2069" i="1"/>
  <c r="A2070" i="1"/>
  <c r="B2070" i="1"/>
  <c r="C2070" i="1"/>
  <c r="D2070" i="1"/>
  <c r="E2070" i="1"/>
  <c r="A2071" i="1"/>
  <c r="B2071" i="1"/>
  <c r="C2071" i="1"/>
  <c r="D2071" i="1"/>
  <c r="E2071" i="1"/>
  <c r="A2072" i="1"/>
  <c r="B2072" i="1"/>
  <c r="C2072" i="1"/>
  <c r="D2072" i="1"/>
  <c r="E2072" i="1"/>
  <c r="A2073" i="1"/>
  <c r="B2073" i="1"/>
  <c r="C2073" i="1"/>
  <c r="D2073" i="1"/>
  <c r="E2073" i="1"/>
  <c r="A2074" i="1"/>
  <c r="B2074" i="1"/>
  <c r="C2074" i="1"/>
  <c r="D2074" i="1"/>
  <c r="E2074" i="1"/>
  <c r="A2075" i="1"/>
  <c r="B2075" i="1"/>
  <c r="C2075" i="1"/>
  <c r="D2075" i="1"/>
  <c r="E2075" i="1"/>
  <c r="A2076" i="1"/>
  <c r="B2076" i="1"/>
  <c r="C2076" i="1"/>
  <c r="D2076" i="1"/>
  <c r="E2076" i="1"/>
  <c r="A2077" i="1"/>
  <c r="B2077" i="1"/>
  <c r="C2077" i="1"/>
  <c r="D2077" i="1"/>
  <c r="E2077" i="1"/>
  <c r="A2078" i="1"/>
  <c r="B2078" i="1"/>
  <c r="C2078" i="1"/>
  <c r="D2078" i="1"/>
  <c r="E2078" i="1"/>
  <c r="A2079" i="1"/>
  <c r="B2079" i="1"/>
  <c r="C2079" i="1"/>
  <c r="D2079" i="1"/>
  <c r="E2079" i="1"/>
  <c r="A2080" i="1"/>
  <c r="B2080" i="1"/>
  <c r="C2080" i="1"/>
  <c r="D2080" i="1"/>
  <c r="E2080" i="1"/>
  <c r="A2081" i="1"/>
  <c r="B2081" i="1"/>
  <c r="C2081" i="1"/>
  <c r="D2081" i="1"/>
  <c r="E2081" i="1"/>
  <c r="A2082" i="1"/>
  <c r="B2082" i="1"/>
  <c r="C2082" i="1"/>
  <c r="D2082" i="1"/>
  <c r="E2082" i="1"/>
  <c r="A2083" i="1"/>
  <c r="B2083" i="1"/>
  <c r="C2083" i="1"/>
  <c r="D2083" i="1"/>
  <c r="E2083" i="1"/>
  <c r="A2084" i="1"/>
  <c r="B2084" i="1"/>
  <c r="C2084" i="1"/>
  <c r="D2084" i="1"/>
  <c r="E2084" i="1"/>
  <c r="A2085" i="1"/>
  <c r="B2085" i="1"/>
  <c r="C2085" i="1"/>
  <c r="D2085" i="1"/>
  <c r="E2085" i="1"/>
  <c r="A2086" i="1"/>
  <c r="B2086" i="1"/>
  <c r="C2086" i="1"/>
  <c r="D2086" i="1"/>
  <c r="E2086" i="1"/>
  <c r="A2087" i="1"/>
  <c r="B2087" i="1"/>
  <c r="C2087" i="1"/>
  <c r="D2087" i="1"/>
  <c r="E2087" i="1"/>
  <c r="A2088" i="1"/>
  <c r="B2088" i="1"/>
  <c r="C2088" i="1"/>
  <c r="D2088" i="1"/>
  <c r="E2088" i="1"/>
  <c r="A2089" i="1"/>
  <c r="B2089" i="1"/>
  <c r="C2089" i="1"/>
  <c r="D2089" i="1"/>
  <c r="E2089" i="1"/>
  <c r="A2090" i="1"/>
  <c r="B2090" i="1"/>
  <c r="C2090" i="1"/>
  <c r="D2090" i="1"/>
  <c r="E2090" i="1"/>
  <c r="A2091" i="1"/>
  <c r="B2091" i="1"/>
  <c r="C2091" i="1"/>
  <c r="D2091" i="1"/>
  <c r="E2091" i="1"/>
  <c r="A2092" i="1"/>
  <c r="B2092" i="1"/>
  <c r="C2092" i="1"/>
  <c r="D2092" i="1"/>
  <c r="E2092" i="1"/>
  <c r="A2093" i="1"/>
  <c r="B2093" i="1"/>
  <c r="C2093" i="1"/>
  <c r="D2093" i="1"/>
  <c r="E2093" i="1"/>
  <c r="A2094" i="1"/>
  <c r="B2094" i="1"/>
  <c r="C2094" i="1"/>
  <c r="D2094" i="1"/>
  <c r="E2094" i="1"/>
  <c r="A2095" i="1"/>
  <c r="B2095" i="1"/>
  <c r="C2095" i="1"/>
  <c r="D2095" i="1"/>
  <c r="E2095" i="1"/>
  <c r="A2096" i="1"/>
  <c r="B2096" i="1"/>
  <c r="C2096" i="1"/>
  <c r="D2096" i="1"/>
  <c r="E2096" i="1"/>
  <c r="A2097" i="1"/>
  <c r="B2097" i="1"/>
  <c r="C2097" i="1"/>
  <c r="D2097" i="1"/>
  <c r="E2097" i="1"/>
  <c r="A2098" i="1"/>
  <c r="B2098" i="1"/>
  <c r="C2098" i="1"/>
  <c r="D2098" i="1"/>
  <c r="E2098" i="1"/>
  <c r="A2099" i="1"/>
  <c r="B2099" i="1"/>
  <c r="C2099" i="1"/>
  <c r="D2099" i="1"/>
  <c r="E2099" i="1"/>
  <c r="A2100" i="1"/>
  <c r="B2100" i="1"/>
  <c r="C2100" i="1"/>
  <c r="D2100" i="1"/>
  <c r="E2100" i="1"/>
  <c r="A2101" i="1"/>
  <c r="B2101" i="1"/>
  <c r="C2101" i="1"/>
  <c r="D2101" i="1"/>
  <c r="E2101" i="1"/>
  <c r="A2102" i="1"/>
  <c r="B2102" i="1"/>
  <c r="C2102" i="1"/>
  <c r="D2102" i="1"/>
  <c r="E2102" i="1"/>
  <c r="A2103" i="1"/>
  <c r="B2103" i="1"/>
  <c r="C2103" i="1"/>
  <c r="D2103" i="1"/>
  <c r="E2103" i="1"/>
  <c r="A2104" i="1"/>
  <c r="B2104" i="1"/>
  <c r="C2104" i="1"/>
  <c r="D2104" i="1"/>
  <c r="E2104" i="1"/>
  <c r="A2105" i="1"/>
  <c r="B2105" i="1"/>
  <c r="C2105" i="1"/>
  <c r="D2105" i="1"/>
  <c r="E2105" i="1"/>
  <c r="A2106" i="1"/>
  <c r="B2106" i="1"/>
  <c r="C2106" i="1"/>
  <c r="D2106" i="1"/>
  <c r="E2106" i="1"/>
  <c r="A2107" i="1"/>
  <c r="B2107" i="1"/>
  <c r="C2107" i="1"/>
  <c r="D2107" i="1"/>
  <c r="E2107" i="1"/>
  <c r="A2108" i="1"/>
  <c r="B2108" i="1"/>
  <c r="C2108" i="1"/>
  <c r="D2108" i="1"/>
  <c r="E2108" i="1"/>
  <c r="A2109" i="1"/>
  <c r="B2109" i="1"/>
  <c r="C2109" i="1"/>
  <c r="D2109" i="1"/>
  <c r="E2109" i="1"/>
  <c r="A2110" i="1"/>
  <c r="B2110" i="1"/>
  <c r="C2110" i="1"/>
  <c r="D2110" i="1"/>
  <c r="E2110" i="1"/>
  <c r="A2111" i="1"/>
  <c r="B2111" i="1"/>
  <c r="C2111" i="1"/>
  <c r="D2111" i="1"/>
  <c r="E2111" i="1"/>
  <c r="A2112" i="1"/>
  <c r="B2112" i="1"/>
  <c r="C2112" i="1"/>
  <c r="D2112" i="1"/>
  <c r="E2112" i="1"/>
  <c r="A2113" i="1"/>
  <c r="B2113" i="1"/>
  <c r="C2113" i="1"/>
  <c r="D2113" i="1"/>
  <c r="E2113" i="1"/>
  <c r="A2114" i="1"/>
  <c r="B2114" i="1"/>
  <c r="C2114" i="1"/>
  <c r="D2114" i="1"/>
  <c r="E2114" i="1"/>
  <c r="A2115" i="1"/>
  <c r="B2115" i="1"/>
  <c r="C2115" i="1"/>
  <c r="D2115" i="1"/>
  <c r="E2115" i="1"/>
  <c r="A2116" i="1"/>
  <c r="B2116" i="1"/>
  <c r="C2116" i="1"/>
  <c r="D2116" i="1"/>
  <c r="E2116" i="1"/>
  <c r="A2117" i="1"/>
  <c r="B2117" i="1"/>
  <c r="C2117" i="1"/>
  <c r="D2117" i="1"/>
  <c r="E2117" i="1"/>
  <c r="A2118" i="1"/>
  <c r="B2118" i="1"/>
  <c r="C2118" i="1"/>
  <c r="D2118" i="1"/>
  <c r="E2118" i="1"/>
  <c r="A2119" i="1"/>
  <c r="B2119" i="1"/>
  <c r="C2119" i="1"/>
  <c r="D2119" i="1"/>
  <c r="E2119" i="1"/>
  <c r="A2120" i="1"/>
  <c r="B2120" i="1"/>
  <c r="C2120" i="1"/>
  <c r="D2120" i="1"/>
  <c r="E2120" i="1"/>
  <c r="A2121" i="1"/>
  <c r="B2121" i="1"/>
  <c r="C2121" i="1"/>
  <c r="D2121" i="1"/>
  <c r="E2121" i="1"/>
  <c r="A2122" i="1"/>
  <c r="B2122" i="1"/>
  <c r="C2122" i="1"/>
  <c r="D2122" i="1"/>
  <c r="E2122" i="1"/>
  <c r="A2123" i="1"/>
  <c r="B2123" i="1"/>
  <c r="C2123" i="1"/>
  <c r="D2123" i="1"/>
  <c r="E2123" i="1"/>
  <c r="A2124" i="1"/>
  <c r="B2124" i="1"/>
  <c r="C2124" i="1"/>
  <c r="D2124" i="1"/>
  <c r="E2124" i="1"/>
  <c r="A2125" i="1"/>
  <c r="B2125" i="1"/>
  <c r="C2125" i="1"/>
  <c r="D2125" i="1"/>
  <c r="E2125" i="1"/>
  <c r="A2126" i="1"/>
  <c r="B2126" i="1"/>
  <c r="C2126" i="1"/>
  <c r="D2126" i="1"/>
  <c r="E2126" i="1"/>
  <c r="A2127" i="1"/>
  <c r="B2127" i="1"/>
  <c r="C2127" i="1"/>
  <c r="D2127" i="1"/>
  <c r="E2127" i="1"/>
  <c r="A2128" i="1"/>
  <c r="B2128" i="1"/>
  <c r="C2128" i="1"/>
  <c r="D2128" i="1"/>
  <c r="E2128" i="1"/>
  <c r="A2129" i="1"/>
  <c r="B2129" i="1"/>
  <c r="C2129" i="1"/>
  <c r="D2129" i="1"/>
  <c r="E2129" i="1"/>
  <c r="A2130" i="1"/>
  <c r="B2130" i="1"/>
  <c r="C2130" i="1"/>
  <c r="D2130" i="1"/>
  <c r="E2130" i="1"/>
  <c r="A2131" i="1"/>
  <c r="B2131" i="1"/>
  <c r="C2131" i="1"/>
  <c r="D2131" i="1"/>
  <c r="E2131" i="1"/>
  <c r="A2132" i="1"/>
  <c r="B2132" i="1"/>
  <c r="C2132" i="1"/>
  <c r="D2132" i="1"/>
  <c r="E2132" i="1"/>
  <c r="A2133" i="1"/>
  <c r="B2133" i="1"/>
  <c r="C2133" i="1"/>
  <c r="D2133" i="1"/>
  <c r="E2133" i="1"/>
  <c r="A2134" i="1"/>
  <c r="B2134" i="1"/>
  <c r="C2134" i="1"/>
  <c r="D2134" i="1"/>
  <c r="E2134" i="1"/>
  <c r="A2135" i="1"/>
  <c r="B2135" i="1"/>
  <c r="C2135" i="1"/>
  <c r="D2135" i="1"/>
  <c r="E2135" i="1"/>
  <c r="A2136" i="1"/>
  <c r="B2136" i="1"/>
  <c r="C2136" i="1"/>
  <c r="D2136" i="1"/>
  <c r="E2136" i="1"/>
  <c r="A2137" i="1"/>
  <c r="B2137" i="1"/>
  <c r="C2137" i="1"/>
  <c r="D2137" i="1"/>
  <c r="E2137" i="1"/>
  <c r="A2138" i="1"/>
  <c r="B2138" i="1"/>
  <c r="C2138" i="1"/>
  <c r="D2138" i="1"/>
  <c r="E2138" i="1"/>
  <c r="A2139" i="1"/>
  <c r="B2139" i="1"/>
  <c r="C2139" i="1"/>
  <c r="D2139" i="1"/>
  <c r="E2139" i="1"/>
  <c r="A2140" i="1"/>
  <c r="B2140" i="1"/>
  <c r="C2140" i="1"/>
  <c r="D2140" i="1"/>
  <c r="E2140" i="1"/>
  <c r="A2141" i="1"/>
  <c r="B2141" i="1"/>
  <c r="C2141" i="1"/>
  <c r="D2141" i="1"/>
  <c r="E2141" i="1"/>
  <c r="A2142" i="1"/>
  <c r="B2142" i="1"/>
  <c r="C2142" i="1"/>
  <c r="D2142" i="1"/>
  <c r="E2142" i="1"/>
  <c r="A2143" i="1"/>
  <c r="B2143" i="1"/>
  <c r="C2143" i="1"/>
  <c r="D2143" i="1"/>
  <c r="E2143" i="1"/>
  <c r="A2144" i="1"/>
  <c r="B2144" i="1"/>
  <c r="C2144" i="1"/>
  <c r="D2144" i="1"/>
  <c r="E2144" i="1"/>
  <c r="A2145" i="1"/>
  <c r="B2145" i="1"/>
  <c r="C2145" i="1"/>
  <c r="D2145" i="1"/>
  <c r="E2145" i="1"/>
  <c r="A2146" i="1"/>
  <c r="B2146" i="1"/>
  <c r="C2146" i="1"/>
  <c r="D2146" i="1"/>
  <c r="E2146" i="1"/>
  <c r="A2147" i="1"/>
  <c r="B2147" i="1"/>
  <c r="C2147" i="1"/>
  <c r="D2147" i="1"/>
  <c r="E2147" i="1"/>
  <c r="A2148" i="1"/>
  <c r="B2148" i="1"/>
  <c r="C2148" i="1"/>
  <c r="D2148" i="1"/>
  <c r="E2148" i="1"/>
  <c r="A2149" i="1"/>
  <c r="B2149" i="1"/>
  <c r="C2149" i="1"/>
  <c r="D2149" i="1"/>
  <c r="E2149" i="1"/>
  <c r="A2150" i="1"/>
  <c r="B2150" i="1"/>
  <c r="C2150" i="1"/>
  <c r="D2150" i="1"/>
  <c r="E2150" i="1"/>
  <c r="A2151" i="1"/>
  <c r="B2151" i="1"/>
  <c r="C2151" i="1"/>
  <c r="D2151" i="1"/>
  <c r="E2151" i="1"/>
  <c r="A2152" i="1"/>
  <c r="B2152" i="1"/>
  <c r="C2152" i="1"/>
  <c r="D2152" i="1"/>
  <c r="E2152" i="1"/>
  <c r="A2153" i="1"/>
  <c r="B2153" i="1"/>
  <c r="C2153" i="1"/>
  <c r="D2153" i="1"/>
  <c r="E2153" i="1"/>
  <c r="A2154" i="1"/>
  <c r="B2154" i="1"/>
  <c r="C2154" i="1"/>
  <c r="D2154" i="1"/>
  <c r="E2154" i="1"/>
  <c r="A2155" i="1"/>
  <c r="B2155" i="1"/>
  <c r="C2155" i="1"/>
  <c r="D2155" i="1"/>
  <c r="E2155" i="1"/>
  <c r="A2156" i="1"/>
  <c r="B2156" i="1"/>
  <c r="C2156" i="1"/>
  <c r="D2156" i="1"/>
  <c r="E2156" i="1"/>
  <c r="A2157" i="1"/>
  <c r="B2157" i="1"/>
  <c r="C2157" i="1"/>
  <c r="D2157" i="1"/>
  <c r="E2157" i="1"/>
  <c r="A2158" i="1"/>
  <c r="B2158" i="1"/>
  <c r="C2158" i="1"/>
  <c r="D2158" i="1"/>
  <c r="E2158" i="1"/>
  <c r="A2159" i="1"/>
  <c r="B2159" i="1"/>
  <c r="C2159" i="1"/>
  <c r="D2159" i="1"/>
  <c r="E2159" i="1"/>
  <c r="A2160" i="1"/>
  <c r="B2160" i="1"/>
  <c r="C2160" i="1"/>
  <c r="D2160" i="1"/>
  <c r="E2160" i="1"/>
  <c r="A2161" i="1"/>
  <c r="B2161" i="1"/>
  <c r="C2161" i="1"/>
  <c r="D2161" i="1"/>
  <c r="E2161" i="1"/>
  <c r="A2162" i="1"/>
  <c r="B2162" i="1"/>
  <c r="C2162" i="1"/>
  <c r="D2162" i="1"/>
  <c r="E2162" i="1"/>
  <c r="A2163" i="1"/>
  <c r="B2163" i="1"/>
  <c r="C2163" i="1"/>
  <c r="D2163" i="1"/>
  <c r="E2163" i="1"/>
  <c r="A2164" i="1"/>
  <c r="B2164" i="1"/>
  <c r="C2164" i="1"/>
  <c r="D2164" i="1"/>
  <c r="E2164" i="1"/>
  <c r="A2165" i="1"/>
  <c r="B2165" i="1"/>
  <c r="C2165" i="1"/>
  <c r="D2165" i="1"/>
  <c r="E2165" i="1"/>
  <c r="A2166" i="1"/>
  <c r="B2166" i="1"/>
  <c r="C2166" i="1"/>
  <c r="D2166" i="1"/>
  <c r="E2166" i="1"/>
  <c r="A2167" i="1"/>
  <c r="B2167" i="1"/>
  <c r="C2167" i="1"/>
  <c r="D2167" i="1"/>
  <c r="E2167" i="1"/>
  <c r="A2168" i="1"/>
  <c r="B2168" i="1"/>
  <c r="C2168" i="1"/>
  <c r="D2168" i="1"/>
  <c r="E2168" i="1"/>
  <c r="A2169" i="1"/>
  <c r="B2169" i="1"/>
  <c r="C2169" i="1"/>
  <c r="D2169" i="1"/>
  <c r="E2169" i="1"/>
  <c r="A2170" i="1"/>
  <c r="B2170" i="1"/>
  <c r="C2170" i="1"/>
  <c r="D2170" i="1"/>
  <c r="E2170" i="1"/>
  <c r="A2171" i="1"/>
  <c r="B2171" i="1"/>
  <c r="C2171" i="1"/>
  <c r="D2171" i="1"/>
  <c r="E2171" i="1"/>
  <c r="A2172" i="1"/>
  <c r="B2172" i="1"/>
  <c r="C2172" i="1"/>
  <c r="D2172" i="1"/>
  <c r="E2172" i="1"/>
  <c r="A2173" i="1"/>
  <c r="B2173" i="1"/>
  <c r="C2173" i="1"/>
  <c r="D2173" i="1"/>
  <c r="E2173" i="1"/>
  <c r="A2174" i="1"/>
  <c r="B2174" i="1"/>
  <c r="C2174" i="1"/>
  <c r="D2174" i="1"/>
  <c r="E2174" i="1"/>
  <c r="A2175" i="1"/>
  <c r="B2175" i="1"/>
  <c r="C2175" i="1"/>
  <c r="D2175" i="1"/>
  <c r="E2175" i="1"/>
  <c r="A2176" i="1"/>
  <c r="B2176" i="1"/>
  <c r="C2176" i="1"/>
  <c r="D2176" i="1"/>
  <c r="E2176" i="1"/>
  <c r="A2177" i="1"/>
  <c r="B2177" i="1"/>
  <c r="C2177" i="1"/>
  <c r="D2177" i="1"/>
  <c r="E2177" i="1"/>
  <c r="A2178" i="1"/>
  <c r="B2178" i="1"/>
  <c r="C2178" i="1"/>
  <c r="D2178" i="1"/>
  <c r="E2178" i="1"/>
  <c r="A2179" i="1"/>
  <c r="B2179" i="1"/>
  <c r="C2179" i="1"/>
  <c r="D2179" i="1"/>
  <c r="E2179" i="1"/>
  <c r="A2180" i="1"/>
  <c r="B2180" i="1"/>
  <c r="C2180" i="1"/>
  <c r="D2180" i="1"/>
  <c r="E2180" i="1"/>
  <c r="A2181" i="1"/>
  <c r="B2181" i="1"/>
  <c r="C2181" i="1"/>
  <c r="D2181" i="1"/>
  <c r="E2181" i="1"/>
  <c r="A2182" i="1"/>
  <c r="B2182" i="1"/>
  <c r="C2182" i="1"/>
  <c r="D2182" i="1"/>
  <c r="E2182" i="1"/>
  <c r="A2183" i="1"/>
  <c r="B2183" i="1"/>
  <c r="C2183" i="1"/>
  <c r="D2183" i="1"/>
  <c r="E2183" i="1"/>
  <c r="A2184" i="1"/>
  <c r="B2184" i="1"/>
  <c r="C2184" i="1"/>
  <c r="D2184" i="1"/>
  <c r="E2184" i="1"/>
  <c r="A2185" i="1"/>
  <c r="B2185" i="1"/>
  <c r="C2185" i="1"/>
  <c r="D2185" i="1"/>
  <c r="E2185" i="1"/>
  <c r="A2186" i="1"/>
  <c r="B2186" i="1"/>
  <c r="C2186" i="1"/>
  <c r="D2186" i="1"/>
  <c r="E2186" i="1"/>
  <c r="A2187" i="1"/>
  <c r="B2187" i="1"/>
  <c r="C2187" i="1"/>
  <c r="D2187" i="1"/>
  <c r="E2187" i="1"/>
  <c r="A2188" i="1"/>
  <c r="B2188" i="1"/>
  <c r="C2188" i="1"/>
  <c r="D2188" i="1"/>
  <c r="E2188" i="1"/>
  <c r="A2189" i="1"/>
  <c r="B2189" i="1"/>
  <c r="C2189" i="1"/>
  <c r="D2189" i="1"/>
  <c r="E2189" i="1"/>
  <c r="A2190" i="1"/>
  <c r="B2190" i="1"/>
  <c r="C2190" i="1"/>
  <c r="D2190" i="1"/>
  <c r="E2190" i="1"/>
  <c r="A2191" i="1"/>
  <c r="B2191" i="1"/>
  <c r="C2191" i="1"/>
  <c r="D2191" i="1"/>
  <c r="E2191" i="1"/>
  <c r="A2192" i="1"/>
  <c r="B2192" i="1"/>
  <c r="C2192" i="1"/>
  <c r="D2192" i="1"/>
  <c r="E2192" i="1"/>
  <c r="A2193" i="1"/>
  <c r="B2193" i="1"/>
  <c r="C2193" i="1"/>
  <c r="D2193" i="1"/>
  <c r="E2193" i="1"/>
  <c r="A2194" i="1"/>
  <c r="B2194" i="1"/>
  <c r="C2194" i="1"/>
  <c r="D2194" i="1"/>
  <c r="E2194" i="1"/>
  <c r="A2195" i="1"/>
  <c r="B2195" i="1"/>
  <c r="C2195" i="1"/>
  <c r="D2195" i="1"/>
  <c r="E2195" i="1"/>
  <c r="A2196" i="1"/>
  <c r="B2196" i="1"/>
  <c r="C2196" i="1"/>
  <c r="D2196" i="1"/>
  <c r="E2196" i="1"/>
  <c r="A2197" i="1"/>
  <c r="B2197" i="1"/>
  <c r="C2197" i="1"/>
  <c r="D2197" i="1"/>
  <c r="E2197" i="1"/>
  <c r="A2198" i="1"/>
  <c r="B2198" i="1"/>
  <c r="C2198" i="1"/>
  <c r="D2198" i="1"/>
  <c r="E2198" i="1"/>
  <c r="A2199" i="1"/>
  <c r="B2199" i="1"/>
  <c r="C2199" i="1"/>
  <c r="D2199" i="1"/>
  <c r="E2199" i="1"/>
  <c r="A2200" i="1"/>
  <c r="B2200" i="1"/>
  <c r="C2200" i="1"/>
  <c r="D2200" i="1"/>
  <c r="E2200" i="1"/>
  <c r="A2201" i="1"/>
  <c r="B2201" i="1"/>
  <c r="C2201" i="1"/>
  <c r="D2201" i="1"/>
  <c r="E2201" i="1"/>
  <c r="A2202" i="1"/>
  <c r="B2202" i="1"/>
  <c r="C2202" i="1"/>
  <c r="D2202" i="1"/>
  <c r="E2202" i="1"/>
  <c r="A2203" i="1"/>
  <c r="B2203" i="1"/>
  <c r="C2203" i="1"/>
  <c r="D2203" i="1"/>
  <c r="E2203" i="1"/>
  <c r="A2204" i="1"/>
  <c r="B2204" i="1"/>
  <c r="C2204" i="1"/>
  <c r="D2204" i="1"/>
  <c r="E2204" i="1"/>
  <c r="A2205" i="1"/>
  <c r="B2205" i="1"/>
  <c r="C2205" i="1"/>
  <c r="D2205" i="1"/>
  <c r="E2205" i="1"/>
  <c r="A2206" i="1"/>
  <c r="B2206" i="1"/>
  <c r="C2206" i="1"/>
  <c r="D2206" i="1"/>
  <c r="E2206" i="1"/>
  <c r="A2207" i="1"/>
  <c r="B2207" i="1"/>
  <c r="C2207" i="1"/>
  <c r="D2207" i="1"/>
  <c r="E2207" i="1"/>
  <c r="A2208" i="1"/>
  <c r="B2208" i="1"/>
  <c r="C2208" i="1"/>
  <c r="D2208" i="1"/>
  <c r="E2208" i="1"/>
  <c r="A2209" i="1"/>
  <c r="B2209" i="1"/>
  <c r="C2209" i="1"/>
  <c r="D2209" i="1"/>
  <c r="E2209" i="1"/>
  <c r="A2210" i="1"/>
  <c r="B2210" i="1"/>
  <c r="C2210" i="1"/>
  <c r="D2210" i="1"/>
  <c r="E2210" i="1"/>
  <c r="A2211" i="1"/>
  <c r="B2211" i="1"/>
  <c r="C2211" i="1"/>
  <c r="D2211" i="1"/>
  <c r="E2211" i="1"/>
  <c r="A2212" i="1"/>
  <c r="B2212" i="1"/>
  <c r="C2212" i="1"/>
  <c r="D2212" i="1"/>
  <c r="E2212" i="1"/>
  <c r="A2213" i="1"/>
  <c r="B2213" i="1"/>
  <c r="C2213" i="1"/>
  <c r="D2213" i="1"/>
  <c r="E2213" i="1"/>
  <c r="A2214" i="1"/>
  <c r="B2214" i="1"/>
  <c r="C2214" i="1"/>
  <c r="D2214" i="1"/>
  <c r="E2214" i="1"/>
  <c r="A2215" i="1"/>
  <c r="B2215" i="1"/>
  <c r="C2215" i="1"/>
  <c r="D2215" i="1"/>
  <c r="E2215" i="1"/>
  <c r="A2216" i="1"/>
  <c r="B2216" i="1"/>
  <c r="C2216" i="1"/>
  <c r="D2216" i="1"/>
  <c r="E2216" i="1"/>
  <c r="A2217" i="1"/>
  <c r="B2217" i="1"/>
  <c r="C2217" i="1"/>
  <c r="D2217" i="1"/>
  <c r="E2217" i="1"/>
  <c r="A2218" i="1"/>
  <c r="B2218" i="1"/>
  <c r="C2218" i="1"/>
  <c r="D2218" i="1"/>
  <c r="E2218" i="1"/>
  <c r="A2219" i="1"/>
  <c r="B2219" i="1"/>
  <c r="C2219" i="1"/>
  <c r="D2219" i="1"/>
  <c r="E2219" i="1"/>
  <c r="A2220" i="1"/>
  <c r="B2220" i="1"/>
  <c r="C2220" i="1"/>
  <c r="D2220" i="1"/>
  <c r="E2220" i="1"/>
  <c r="A2221" i="1"/>
  <c r="B2221" i="1"/>
  <c r="C2221" i="1"/>
  <c r="D2221" i="1"/>
  <c r="E2221" i="1"/>
  <c r="A2222" i="1"/>
  <c r="B2222" i="1"/>
  <c r="C2222" i="1"/>
  <c r="D2222" i="1"/>
  <c r="E2222" i="1"/>
  <c r="A2223" i="1"/>
  <c r="B2223" i="1"/>
  <c r="C2223" i="1"/>
  <c r="D2223" i="1"/>
  <c r="E2223" i="1"/>
  <c r="A2224" i="1"/>
  <c r="B2224" i="1"/>
  <c r="C2224" i="1"/>
  <c r="D2224" i="1"/>
  <c r="E2224" i="1"/>
  <c r="A2225" i="1"/>
  <c r="B2225" i="1"/>
  <c r="C2225" i="1"/>
  <c r="D2225" i="1"/>
  <c r="E2225" i="1"/>
  <c r="A2226" i="1"/>
  <c r="B2226" i="1"/>
  <c r="C2226" i="1"/>
  <c r="D2226" i="1"/>
  <c r="E2226" i="1"/>
  <c r="A2227" i="1"/>
  <c r="B2227" i="1"/>
  <c r="C2227" i="1"/>
  <c r="D2227" i="1"/>
  <c r="E2227" i="1"/>
  <c r="A2228" i="1"/>
  <c r="B2228" i="1"/>
  <c r="C2228" i="1"/>
  <c r="D2228" i="1"/>
  <c r="E2228" i="1"/>
  <c r="A2229" i="1"/>
  <c r="B2229" i="1"/>
  <c r="C2229" i="1"/>
  <c r="D2229" i="1"/>
  <c r="E2229" i="1"/>
  <c r="A2230" i="1"/>
  <c r="B2230" i="1"/>
  <c r="C2230" i="1"/>
  <c r="D2230" i="1"/>
  <c r="E2230" i="1"/>
  <c r="A2231" i="1"/>
  <c r="B2231" i="1"/>
  <c r="C2231" i="1"/>
  <c r="D2231" i="1"/>
  <c r="E2231" i="1"/>
  <c r="A2232" i="1"/>
  <c r="B2232" i="1"/>
  <c r="C2232" i="1"/>
  <c r="D2232" i="1"/>
  <c r="E2232" i="1"/>
  <c r="A2233" i="1"/>
  <c r="B2233" i="1"/>
  <c r="C2233" i="1"/>
  <c r="D2233" i="1"/>
  <c r="E2233" i="1"/>
  <c r="A2234" i="1"/>
  <c r="B2234" i="1"/>
  <c r="C2234" i="1"/>
  <c r="D2234" i="1"/>
  <c r="E2234" i="1"/>
  <c r="A2235" i="1"/>
  <c r="B2235" i="1"/>
  <c r="C2235" i="1"/>
  <c r="D2235" i="1"/>
  <c r="E2235" i="1"/>
  <c r="A2236" i="1"/>
  <c r="B2236" i="1"/>
  <c r="C2236" i="1"/>
  <c r="D2236" i="1"/>
  <c r="E2236" i="1"/>
  <c r="A2237" i="1"/>
  <c r="B2237" i="1"/>
  <c r="C2237" i="1"/>
  <c r="D2237" i="1"/>
  <c r="E2237" i="1"/>
  <c r="A2238" i="1"/>
  <c r="B2238" i="1"/>
  <c r="C2238" i="1"/>
  <c r="D2238" i="1"/>
  <c r="E2238" i="1"/>
  <c r="A2239" i="1"/>
  <c r="B2239" i="1"/>
  <c r="C2239" i="1"/>
  <c r="D2239" i="1"/>
  <c r="E2239" i="1"/>
  <c r="A2240" i="1"/>
  <c r="B2240" i="1"/>
  <c r="C2240" i="1"/>
  <c r="D2240" i="1"/>
  <c r="E2240" i="1"/>
  <c r="A2241" i="1"/>
  <c r="B2241" i="1"/>
  <c r="C2241" i="1"/>
  <c r="D2241" i="1"/>
  <c r="E2241" i="1"/>
  <c r="A2242" i="1"/>
  <c r="B2242" i="1"/>
  <c r="C2242" i="1"/>
  <c r="D2242" i="1"/>
  <c r="E2242" i="1"/>
  <c r="A2243" i="1"/>
  <c r="B2243" i="1"/>
  <c r="C2243" i="1"/>
  <c r="D2243" i="1"/>
  <c r="E2243" i="1"/>
  <c r="A2244" i="1"/>
  <c r="B2244" i="1"/>
  <c r="C2244" i="1"/>
  <c r="D2244" i="1"/>
  <c r="E2244" i="1"/>
  <c r="A2245" i="1"/>
  <c r="B2245" i="1"/>
  <c r="C2245" i="1"/>
  <c r="D2245" i="1"/>
  <c r="E2245" i="1"/>
  <c r="A2246" i="1"/>
  <c r="B2246" i="1"/>
  <c r="C2246" i="1"/>
  <c r="D2246" i="1"/>
  <c r="E2246" i="1"/>
  <c r="A2247" i="1"/>
  <c r="B2247" i="1"/>
  <c r="C2247" i="1"/>
  <c r="D2247" i="1"/>
  <c r="E2247" i="1"/>
  <c r="A2248" i="1"/>
  <c r="B2248" i="1"/>
  <c r="C2248" i="1"/>
  <c r="D2248" i="1"/>
  <c r="E2248" i="1"/>
  <c r="A2249" i="1"/>
  <c r="B2249" i="1"/>
  <c r="C2249" i="1"/>
  <c r="D2249" i="1"/>
  <c r="E2249" i="1"/>
  <c r="A2250" i="1"/>
  <c r="B2250" i="1"/>
  <c r="C2250" i="1"/>
  <c r="D2250" i="1"/>
  <c r="E2250" i="1"/>
  <c r="A2251" i="1"/>
  <c r="B2251" i="1"/>
  <c r="C2251" i="1"/>
  <c r="D2251" i="1"/>
  <c r="E2251" i="1"/>
  <c r="A2252" i="1"/>
  <c r="B2252" i="1"/>
  <c r="C2252" i="1"/>
  <c r="D2252" i="1"/>
  <c r="E2252" i="1"/>
  <c r="A2253" i="1"/>
  <c r="B2253" i="1"/>
  <c r="C2253" i="1"/>
  <c r="D2253" i="1"/>
  <c r="E2253" i="1"/>
  <c r="A2254" i="1"/>
  <c r="B2254" i="1"/>
  <c r="C2254" i="1"/>
  <c r="D2254" i="1"/>
  <c r="E2254" i="1"/>
  <c r="A2255" i="1"/>
  <c r="B2255" i="1"/>
  <c r="C2255" i="1"/>
  <c r="D2255" i="1"/>
  <c r="E2255" i="1"/>
  <c r="A2256" i="1"/>
  <c r="B2256" i="1"/>
  <c r="C2256" i="1"/>
  <c r="D2256" i="1"/>
  <c r="E2256" i="1"/>
  <c r="A2257" i="1"/>
  <c r="B2257" i="1"/>
  <c r="C2257" i="1"/>
  <c r="D2257" i="1"/>
  <c r="E2257" i="1"/>
  <c r="A2258" i="1"/>
  <c r="B2258" i="1"/>
  <c r="C2258" i="1"/>
  <c r="D2258" i="1"/>
  <c r="E2258" i="1"/>
  <c r="A2259" i="1"/>
  <c r="B2259" i="1"/>
  <c r="C2259" i="1"/>
  <c r="D2259" i="1"/>
  <c r="E2259" i="1"/>
  <c r="A2260" i="1"/>
  <c r="B2260" i="1"/>
  <c r="C2260" i="1"/>
  <c r="D2260" i="1"/>
  <c r="E2260" i="1"/>
  <c r="A2261" i="1"/>
  <c r="B2261" i="1"/>
  <c r="C2261" i="1"/>
  <c r="D2261" i="1"/>
  <c r="E2261" i="1"/>
  <c r="A2262" i="1"/>
  <c r="B2262" i="1"/>
  <c r="C2262" i="1"/>
  <c r="D2262" i="1"/>
  <c r="E2262" i="1"/>
  <c r="A2263" i="1"/>
  <c r="B2263" i="1"/>
  <c r="C2263" i="1"/>
  <c r="D2263" i="1"/>
  <c r="E2263" i="1"/>
  <c r="A2264" i="1"/>
  <c r="B2264" i="1"/>
  <c r="C2264" i="1"/>
  <c r="D2264" i="1"/>
  <c r="E2264" i="1"/>
  <c r="A2265" i="1"/>
  <c r="B2265" i="1"/>
  <c r="C2265" i="1"/>
  <c r="D2265" i="1"/>
  <c r="E2265" i="1"/>
  <c r="A2266" i="1"/>
  <c r="B2266" i="1"/>
  <c r="C2266" i="1"/>
  <c r="D2266" i="1"/>
  <c r="E2266" i="1"/>
  <c r="A2267" i="1"/>
  <c r="B2267" i="1"/>
  <c r="C2267" i="1"/>
  <c r="D2267" i="1"/>
  <c r="E2267" i="1"/>
  <c r="A2268" i="1"/>
  <c r="B2268" i="1"/>
  <c r="C2268" i="1"/>
  <c r="D2268" i="1"/>
  <c r="E2268" i="1"/>
  <c r="A2269" i="1"/>
  <c r="B2269" i="1"/>
  <c r="C2269" i="1"/>
  <c r="D2269" i="1"/>
  <c r="E2269" i="1"/>
  <c r="A2270" i="1"/>
  <c r="B2270" i="1"/>
  <c r="C2270" i="1"/>
  <c r="D2270" i="1"/>
  <c r="E2270" i="1"/>
  <c r="A2271" i="1"/>
  <c r="B2271" i="1"/>
  <c r="C2271" i="1"/>
  <c r="D2271" i="1"/>
  <c r="E2271" i="1"/>
  <c r="A2272" i="1"/>
  <c r="B2272" i="1"/>
  <c r="C2272" i="1"/>
  <c r="D2272" i="1"/>
  <c r="E2272" i="1"/>
  <c r="A2273" i="1"/>
  <c r="B2273" i="1"/>
  <c r="C2273" i="1"/>
  <c r="D2273" i="1"/>
  <c r="E2273" i="1"/>
  <c r="A2274" i="1"/>
  <c r="B2274" i="1"/>
  <c r="C2274" i="1"/>
  <c r="D2274" i="1"/>
  <c r="E2274" i="1"/>
  <c r="A2275" i="1"/>
  <c r="B2275" i="1"/>
  <c r="C2275" i="1"/>
  <c r="D2275" i="1"/>
  <c r="E2275" i="1"/>
  <c r="A2276" i="1"/>
  <c r="B2276" i="1"/>
  <c r="C2276" i="1"/>
  <c r="D2276" i="1"/>
  <c r="E2276" i="1"/>
  <c r="A2277" i="1"/>
  <c r="B2277" i="1"/>
  <c r="C2277" i="1"/>
  <c r="D2277" i="1"/>
  <c r="E2277" i="1"/>
  <c r="A2278" i="1"/>
  <c r="B2278" i="1"/>
  <c r="C2278" i="1"/>
  <c r="D2278" i="1"/>
  <c r="E2278" i="1"/>
  <c r="A2279" i="1"/>
  <c r="B2279" i="1"/>
  <c r="C2279" i="1"/>
  <c r="D2279" i="1"/>
  <c r="E2279" i="1"/>
  <c r="A2280" i="1"/>
  <c r="B2280" i="1"/>
  <c r="C2280" i="1"/>
  <c r="D2280" i="1"/>
  <c r="E2280" i="1"/>
  <c r="A2281" i="1"/>
  <c r="B2281" i="1"/>
  <c r="C2281" i="1"/>
  <c r="D2281" i="1"/>
  <c r="E2281" i="1"/>
  <c r="A2282" i="1"/>
  <c r="B2282" i="1"/>
  <c r="C2282" i="1"/>
  <c r="D2282" i="1"/>
  <c r="E2282" i="1"/>
  <c r="A2283" i="1"/>
  <c r="B2283" i="1"/>
  <c r="C2283" i="1"/>
  <c r="D2283" i="1"/>
  <c r="E2283" i="1"/>
  <c r="A2284" i="1"/>
  <c r="B2284" i="1"/>
  <c r="C2284" i="1"/>
  <c r="D2284" i="1"/>
  <c r="E2284" i="1"/>
  <c r="A2285" i="1"/>
  <c r="B2285" i="1"/>
  <c r="C2285" i="1"/>
  <c r="D2285" i="1"/>
  <c r="E2285" i="1"/>
  <c r="A2286" i="1"/>
  <c r="B2286" i="1"/>
  <c r="C2286" i="1"/>
  <c r="D2286" i="1"/>
  <c r="E2286" i="1"/>
  <c r="A2287" i="1"/>
  <c r="B2287" i="1"/>
  <c r="C2287" i="1"/>
  <c r="D2287" i="1"/>
  <c r="E2287" i="1"/>
  <c r="A2288" i="1"/>
  <c r="B2288" i="1"/>
  <c r="C2288" i="1"/>
  <c r="D2288" i="1"/>
  <c r="E2288" i="1"/>
  <c r="A2289" i="1"/>
  <c r="B2289" i="1"/>
  <c r="C2289" i="1"/>
  <c r="D2289" i="1"/>
  <c r="E2289" i="1"/>
  <c r="A2290" i="1"/>
  <c r="B2290" i="1"/>
  <c r="C2290" i="1"/>
  <c r="D2290" i="1"/>
  <c r="E2290" i="1"/>
  <c r="A2291" i="1"/>
  <c r="B2291" i="1"/>
  <c r="C2291" i="1"/>
  <c r="D2291" i="1"/>
  <c r="E2291" i="1"/>
  <c r="A2292" i="1"/>
  <c r="B2292" i="1"/>
  <c r="C2292" i="1"/>
  <c r="D2292" i="1"/>
  <c r="E2292" i="1"/>
  <c r="A2293" i="1"/>
  <c r="B2293" i="1"/>
  <c r="C2293" i="1"/>
  <c r="D2293" i="1"/>
  <c r="E2293" i="1"/>
  <c r="A2294" i="1"/>
  <c r="B2294" i="1"/>
  <c r="C2294" i="1"/>
  <c r="D2294" i="1"/>
  <c r="E2294" i="1"/>
  <c r="A2295" i="1"/>
  <c r="B2295" i="1"/>
  <c r="C2295" i="1"/>
  <c r="D2295" i="1"/>
  <c r="E2295" i="1"/>
  <c r="A2296" i="1"/>
  <c r="B2296" i="1"/>
  <c r="C2296" i="1"/>
  <c r="D2296" i="1"/>
  <c r="E2296" i="1"/>
  <c r="A2297" i="1"/>
  <c r="B2297" i="1"/>
  <c r="C2297" i="1"/>
  <c r="D2297" i="1"/>
  <c r="E2297" i="1"/>
  <c r="A2298" i="1"/>
  <c r="B2298" i="1"/>
  <c r="C2298" i="1"/>
  <c r="D2298" i="1"/>
  <c r="E2298" i="1"/>
  <c r="A2299" i="1"/>
  <c r="B2299" i="1"/>
  <c r="C2299" i="1"/>
  <c r="D2299" i="1"/>
  <c r="E2299" i="1"/>
  <c r="A2300" i="1"/>
  <c r="B2300" i="1"/>
  <c r="C2300" i="1"/>
  <c r="D2300" i="1"/>
  <c r="E2300" i="1"/>
  <c r="A2301" i="1"/>
  <c r="B2301" i="1"/>
  <c r="C2301" i="1"/>
  <c r="D2301" i="1"/>
  <c r="E2301" i="1"/>
  <c r="A2302" i="1"/>
  <c r="B2302" i="1"/>
  <c r="C2302" i="1"/>
  <c r="D2302" i="1"/>
  <c r="E2302" i="1"/>
  <c r="A2303" i="1"/>
  <c r="B2303" i="1"/>
  <c r="C2303" i="1"/>
  <c r="D2303" i="1"/>
  <c r="E2303" i="1"/>
  <c r="A2304" i="1"/>
  <c r="B2304" i="1"/>
  <c r="C2304" i="1"/>
  <c r="D2304" i="1"/>
  <c r="E2304" i="1"/>
  <c r="A2305" i="1"/>
  <c r="B2305" i="1"/>
  <c r="C2305" i="1"/>
  <c r="D2305" i="1"/>
  <c r="E2305" i="1"/>
  <c r="A2306" i="1"/>
  <c r="B2306" i="1"/>
  <c r="C2306" i="1"/>
  <c r="D2306" i="1"/>
  <c r="E2306" i="1"/>
  <c r="A2307" i="1"/>
  <c r="B2307" i="1"/>
  <c r="C2307" i="1"/>
  <c r="D2307" i="1"/>
  <c r="E2307" i="1"/>
  <c r="A2308" i="1"/>
  <c r="B2308" i="1"/>
  <c r="C2308" i="1"/>
  <c r="D2308" i="1"/>
  <c r="E2308" i="1"/>
  <c r="A2309" i="1"/>
  <c r="B2309" i="1"/>
  <c r="C2309" i="1"/>
  <c r="D2309" i="1"/>
  <c r="E2309" i="1"/>
  <c r="A2310" i="1"/>
  <c r="B2310" i="1"/>
  <c r="C2310" i="1"/>
  <c r="D2310" i="1"/>
  <c r="E2310" i="1"/>
  <c r="A2311" i="1"/>
  <c r="B2311" i="1"/>
  <c r="C2311" i="1"/>
  <c r="D2311" i="1"/>
  <c r="E2311" i="1"/>
  <c r="A2312" i="1"/>
  <c r="B2312" i="1"/>
  <c r="C2312" i="1"/>
  <c r="D2312" i="1"/>
  <c r="E2312" i="1"/>
  <c r="A2313" i="1"/>
  <c r="B2313" i="1"/>
  <c r="C2313" i="1"/>
  <c r="D2313" i="1"/>
  <c r="E2313" i="1"/>
  <c r="A2314" i="1"/>
  <c r="B2314" i="1"/>
  <c r="C2314" i="1"/>
  <c r="D2314" i="1"/>
  <c r="E2314" i="1"/>
  <c r="A2315" i="1"/>
  <c r="B2315" i="1"/>
  <c r="C2315" i="1"/>
  <c r="D2315" i="1"/>
  <c r="E2315" i="1"/>
  <c r="A2316" i="1"/>
  <c r="B2316" i="1"/>
  <c r="C2316" i="1"/>
  <c r="D2316" i="1"/>
  <c r="E2316" i="1"/>
  <c r="A2317" i="1"/>
  <c r="B2317" i="1"/>
  <c r="C2317" i="1"/>
  <c r="D2317" i="1"/>
  <c r="E2317" i="1"/>
  <c r="A2318" i="1"/>
  <c r="B2318" i="1"/>
  <c r="C2318" i="1"/>
  <c r="D2318" i="1"/>
  <c r="E2318" i="1"/>
  <c r="A2319" i="1"/>
  <c r="B2319" i="1"/>
  <c r="C2319" i="1"/>
  <c r="D2319" i="1"/>
  <c r="E2319" i="1"/>
  <c r="A2320" i="1"/>
  <c r="B2320" i="1"/>
  <c r="C2320" i="1"/>
  <c r="D2320" i="1"/>
  <c r="E2320" i="1"/>
  <c r="A2321" i="1"/>
  <c r="B2321" i="1"/>
  <c r="C2321" i="1"/>
  <c r="D2321" i="1"/>
  <c r="E2321" i="1"/>
  <c r="A2322" i="1"/>
  <c r="B2322" i="1"/>
  <c r="C2322" i="1"/>
  <c r="D2322" i="1"/>
  <c r="E2322" i="1"/>
  <c r="A2323" i="1"/>
  <c r="B2323" i="1"/>
  <c r="C2323" i="1"/>
  <c r="D2323" i="1"/>
  <c r="E2323" i="1"/>
  <c r="A2324" i="1"/>
  <c r="B2324" i="1"/>
  <c r="C2324" i="1"/>
  <c r="D2324" i="1"/>
  <c r="E2324" i="1"/>
  <c r="A2325" i="1"/>
  <c r="B2325" i="1"/>
  <c r="C2325" i="1"/>
  <c r="D2325" i="1"/>
  <c r="E2325" i="1"/>
  <c r="A2326" i="1"/>
  <c r="B2326" i="1"/>
  <c r="C2326" i="1"/>
  <c r="D2326" i="1"/>
  <c r="E2326" i="1"/>
  <c r="A2327" i="1"/>
  <c r="B2327" i="1"/>
  <c r="C2327" i="1"/>
  <c r="D2327" i="1"/>
  <c r="E2327" i="1"/>
  <c r="A2328" i="1"/>
  <c r="B2328" i="1"/>
  <c r="C2328" i="1"/>
  <c r="D2328" i="1"/>
  <c r="E2328" i="1"/>
  <c r="A2329" i="1"/>
  <c r="B2329" i="1"/>
  <c r="C2329" i="1"/>
  <c r="D2329" i="1"/>
  <c r="E2329" i="1"/>
  <c r="A2330" i="1"/>
  <c r="B2330" i="1"/>
  <c r="C2330" i="1"/>
  <c r="D2330" i="1"/>
  <c r="E2330" i="1"/>
  <c r="A2331" i="1"/>
  <c r="B2331" i="1"/>
  <c r="C2331" i="1"/>
  <c r="D2331" i="1"/>
  <c r="E2331" i="1"/>
  <c r="A2332" i="1"/>
  <c r="B2332" i="1"/>
  <c r="C2332" i="1"/>
  <c r="D2332" i="1"/>
  <c r="E2332" i="1"/>
  <c r="A2333" i="1"/>
  <c r="B2333" i="1"/>
  <c r="C2333" i="1"/>
  <c r="D2333" i="1"/>
  <c r="E2333" i="1"/>
  <c r="A2334" i="1"/>
  <c r="B2334" i="1"/>
  <c r="C2334" i="1"/>
  <c r="D2334" i="1"/>
  <c r="E2334" i="1"/>
  <c r="A2335" i="1"/>
  <c r="B2335" i="1"/>
  <c r="C2335" i="1"/>
  <c r="D2335" i="1"/>
  <c r="E2335" i="1"/>
  <c r="A2336" i="1"/>
  <c r="B2336" i="1"/>
  <c r="C2336" i="1"/>
  <c r="D2336" i="1"/>
  <c r="E2336" i="1"/>
  <c r="A2337" i="1"/>
  <c r="B2337" i="1"/>
  <c r="C2337" i="1"/>
  <c r="D2337" i="1"/>
  <c r="E2337" i="1"/>
  <c r="A2338" i="1"/>
  <c r="B2338" i="1"/>
  <c r="C2338" i="1"/>
  <c r="D2338" i="1"/>
  <c r="E2338" i="1"/>
  <c r="A2339" i="1"/>
  <c r="B2339" i="1"/>
  <c r="C2339" i="1"/>
  <c r="D2339" i="1"/>
  <c r="E2339" i="1"/>
  <c r="A2340" i="1"/>
  <c r="B2340" i="1"/>
  <c r="C2340" i="1"/>
  <c r="D2340" i="1"/>
  <c r="E2340" i="1"/>
  <c r="A2341" i="1"/>
  <c r="B2341" i="1"/>
  <c r="C2341" i="1"/>
  <c r="D2341" i="1"/>
  <c r="E2341" i="1"/>
  <c r="A2342" i="1"/>
  <c r="B2342" i="1"/>
  <c r="C2342" i="1"/>
  <c r="D2342" i="1"/>
  <c r="E2342" i="1"/>
  <c r="A2343" i="1"/>
  <c r="B2343" i="1"/>
  <c r="C2343" i="1"/>
  <c r="D2343" i="1"/>
  <c r="E2343" i="1"/>
  <c r="A2344" i="1"/>
  <c r="B2344" i="1"/>
  <c r="C2344" i="1"/>
  <c r="D2344" i="1"/>
  <c r="E2344" i="1"/>
  <c r="A2345" i="1"/>
  <c r="B2345" i="1"/>
  <c r="C2345" i="1"/>
  <c r="D2345" i="1"/>
  <c r="E2345" i="1"/>
  <c r="A2346" i="1"/>
  <c r="B2346" i="1"/>
  <c r="C2346" i="1"/>
  <c r="D2346" i="1"/>
  <c r="E2346" i="1"/>
  <c r="A2347" i="1"/>
  <c r="B2347" i="1"/>
  <c r="C2347" i="1"/>
  <c r="D2347" i="1"/>
  <c r="E2347" i="1"/>
  <c r="A2348" i="1"/>
  <c r="B2348" i="1"/>
  <c r="C2348" i="1"/>
  <c r="D2348" i="1"/>
  <c r="E2348" i="1"/>
  <c r="A2349" i="1"/>
  <c r="B2349" i="1"/>
  <c r="C2349" i="1"/>
  <c r="D2349" i="1"/>
  <c r="E2349" i="1"/>
  <c r="A2350" i="1"/>
  <c r="B2350" i="1"/>
  <c r="C2350" i="1"/>
  <c r="D2350" i="1"/>
  <c r="E2350" i="1"/>
  <c r="A2351" i="1"/>
  <c r="B2351" i="1"/>
  <c r="C2351" i="1"/>
  <c r="D2351" i="1"/>
  <c r="E2351" i="1"/>
  <c r="A2352" i="1"/>
  <c r="B2352" i="1"/>
  <c r="C2352" i="1"/>
  <c r="D2352" i="1"/>
  <c r="E2352" i="1"/>
  <c r="A2353" i="1"/>
  <c r="B2353" i="1"/>
  <c r="C2353" i="1"/>
  <c r="D2353" i="1"/>
  <c r="E2353" i="1"/>
  <c r="A2354" i="1"/>
  <c r="B2354" i="1"/>
  <c r="C2354" i="1"/>
  <c r="D2354" i="1"/>
  <c r="E2354" i="1"/>
  <c r="A2355" i="1"/>
  <c r="B2355" i="1"/>
  <c r="C2355" i="1"/>
  <c r="D2355" i="1"/>
  <c r="E2355" i="1"/>
  <c r="A2356" i="1"/>
  <c r="B2356" i="1"/>
  <c r="C2356" i="1"/>
  <c r="D2356" i="1"/>
  <c r="E2356" i="1"/>
  <c r="A2357" i="1"/>
  <c r="B2357" i="1"/>
  <c r="C2357" i="1"/>
  <c r="D2357" i="1"/>
  <c r="E2357" i="1"/>
  <c r="A2358" i="1"/>
  <c r="B2358" i="1"/>
  <c r="C2358" i="1"/>
  <c r="D2358" i="1"/>
  <c r="E2358" i="1"/>
  <c r="A2359" i="1"/>
  <c r="B2359" i="1"/>
  <c r="C2359" i="1"/>
  <c r="D2359" i="1"/>
  <c r="E2359" i="1"/>
  <c r="A2360" i="1"/>
  <c r="B2360" i="1"/>
  <c r="C2360" i="1"/>
  <c r="D2360" i="1"/>
  <c r="E2360" i="1"/>
  <c r="A2361" i="1"/>
  <c r="B2361" i="1"/>
  <c r="C2361" i="1"/>
  <c r="D2361" i="1"/>
  <c r="E2361" i="1"/>
  <c r="A2362" i="1"/>
  <c r="B2362" i="1"/>
  <c r="C2362" i="1"/>
  <c r="D2362" i="1"/>
  <c r="E2362" i="1"/>
  <c r="A2363" i="1"/>
  <c r="B2363" i="1"/>
  <c r="C2363" i="1"/>
  <c r="D2363" i="1"/>
  <c r="E2363" i="1"/>
  <c r="A2364" i="1"/>
  <c r="B2364" i="1"/>
  <c r="C2364" i="1"/>
  <c r="D2364" i="1"/>
  <c r="E2364" i="1"/>
  <c r="A2365" i="1"/>
  <c r="B2365" i="1"/>
  <c r="C2365" i="1"/>
  <c r="D2365" i="1"/>
  <c r="E2365" i="1"/>
  <c r="A2366" i="1"/>
  <c r="B2366" i="1"/>
  <c r="C2366" i="1"/>
  <c r="D2366" i="1"/>
  <c r="E2366" i="1"/>
  <c r="A2367" i="1"/>
  <c r="B2367" i="1"/>
  <c r="C2367" i="1"/>
  <c r="D2367" i="1"/>
  <c r="E2367" i="1"/>
  <c r="A2368" i="1"/>
  <c r="B2368" i="1"/>
  <c r="C2368" i="1"/>
  <c r="D2368" i="1"/>
  <c r="E2368" i="1"/>
  <c r="A2369" i="1"/>
  <c r="B2369" i="1"/>
  <c r="C2369" i="1"/>
  <c r="D2369" i="1"/>
  <c r="E2369" i="1"/>
  <c r="A2370" i="1"/>
  <c r="B2370" i="1"/>
  <c r="C2370" i="1"/>
  <c r="D2370" i="1"/>
  <c r="E2370" i="1"/>
  <c r="A2371" i="1"/>
  <c r="B2371" i="1"/>
  <c r="C2371" i="1"/>
  <c r="D2371" i="1"/>
  <c r="E2371" i="1"/>
  <c r="A2372" i="1"/>
  <c r="B2372" i="1"/>
  <c r="C2372" i="1"/>
  <c r="D2372" i="1"/>
  <c r="E2372" i="1"/>
  <c r="A2373" i="1"/>
  <c r="B2373" i="1"/>
  <c r="C2373" i="1"/>
  <c r="D2373" i="1"/>
  <c r="E2373" i="1"/>
  <c r="A2374" i="1"/>
  <c r="B2374" i="1"/>
  <c r="C2374" i="1"/>
  <c r="D2374" i="1"/>
  <c r="E2374" i="1"/>
  <c r="A2375" i="1"/>
  <c r="B2375" i="1"/>
  <c r="C2375" i="1"/>
  <c r="D2375" i="1"/>
  <c r="E2375" i="1"/>
  <c r="A2376" i="1"/>
  <c r="B2376" i="1"/>
  <c r="C2376" i="1"/>
  <c r="D2376" i="1"/>
  <c r="E2376" i="1"/>
  <c r="A2377" i="1"/>
  <c r="B2377" i="1"/>
  <c r="C2377" i="1"/>
  <c r="D2377" i="1"/>
  <c r="E2377" i="1"/>
  <c r="A2378" i="1"/>
  <c r="B2378" i="1"/>
  <c r="C2378" i="1"/>
  <c r="D2378" i="1"/>
  <c r="E2378" i="1"/>
  <c r="A2379" i="1"/>
  <c r="B2379" i="1"/>
  <c r="C2379" i="1"/>
  <c r="D2379" i="1"/>
  <c r="E2379" i="1"/>
  <c r="A2380" i="1"/>
  <c r="B2380" i="1"/>
  <c r="C2380" i="1"/>
  <c r="D2380" i="1"/>
  <c r="E2380" i="1"/>
  <c r="A2381" i="1"/>
  <c r="B2381" i="1"/>
  <c r="C2381" i="1"/>
  <c r="D2381" i="1"/>
  <c r="E2381" i="1"/>
  <c r="A2382" i="1"/>
  <c r="B2382" i="1"/>
  <c r="C2382" i="1"/>
  <c r="D2382" i="1"/>
  <c r="E2382" i="1"/>
  <c r="A2383" i="1"/>
  <c r="B2383" i="1"/>
  <c r="C2383" i="1"/>
  <c r="D2383" i="1"/>
  <c r="E2383" i="1"/>
  <c r="A2384" i="1"/>
  <c r="B2384" i="1"/>
  <c r="C2384" i="1"/>
  <c r="D2384" i="1"/>
  <c r="E2384" i="1"/>
  <c r="A2385" i="1"/>
  <c r="B2385" i="1"/>
  <c r="C2385" i="1"/>
  <c r="D2385" i="1"/>
  <c r="E2385" i="1"/>
  <c r="A2386" i="1"/>
  <c r="B2386" i="1"/>
  <c r="C2386" i="1"/>
  <c r="D2386" i="1"/>
  <c r="E2386" i="1"/>
  <c r="A2387" i="1"/>
  <c r="B2387" i="1"/>
  <c r="C2387" i="1"/>
  <c r="D2387" i="1"/>
  <c r="E2387" i="1"/>
  <c r="A2388" i="1"/>
  <c r="B2388" i="1"/>
  <c r="C2388" i="1"/>
  <c r="D2388" i="1"/>
  <c r="E2388" i="1"/>
  <c r="A2389" i="1"/>
  <c r="B2389" i="1"/>
  <c r="C2389" i="1"/>
  <c r="D2389" i="1"/>
  <c r="E2389" i="1"/>
  <c r="A2390" i="1"/>
  <c r="B2390" i="1"/>
  <c r="C2390" i="1"/>
  <c r="D2390" i="1"/>
  <c r="E2390" i="1"/>
  <c r="A2391" i="1"/>
  <c r="B2391" i="1"/>
  <c r="C2391" i="1"/>
  <c r="D2391" i="1"/>
  <c r="E2391" i="1"/>
  <c r="A2392" i="1"/>
  <c r="B2392" i="1"/>
  <c r="C2392" i="1"/>
  <c r="D2392" i="1"/>
  <c r="E2392" i="1"/>
  <c r="A2393" i="1"/>
  <c r="B2393" i="1"/>
  <c r="C2393" i="1"/>
  <c r="D2393" i="1"/>
  <c r="E2393" i="1"/>
  <c r="A2394" i="1"/>
  <c r="B2394" i="1"/>
  <c r="C2394" i="1"/>
  <c r="D2394" i="1"/>
  <c r="E2394" i="1"/>
  <c r="A2395" i="1"/>
  <c r="B2395" i="1"/>
  <c r="C2395" i="1"/>
  <c r="D2395" i="1"/>
  <c r="E2395" i="1"/>
  <c r="A2396" i="1"/>
  <c r="B2396" i="1"/>
  <c r="C2396" i="1"/>
  <c r="D2396" i="1"/>
  <c r="E2396" i="1"/>
  <c r="A2397" i="1"/>
  <c r="B2397" i="1"/>
  <c r="C2397" i="1"/>
  <c r="D2397" i="1"/>
  <c r="E2397" i="1"/>
  <c r="A2398" i="1"/>
  <c r="B2398" i="1"/>
  <c r="C2398" i="1"/>
  <c r="D2398" i="1"/>
  <c r="E2398" i="1"/>
  <c r="A2399" i="1"/>
  <c r="B2399" i="1"/>
  <c r="C2399" i="1"/>
  <c r="D2399" i="1"/>
  <c r="E2399" i="1"/>
  <c r="A2400" i="1"/>
  <c r="B2400" i="1"/>
  <c r="C2400" i="1"/>
  <c r="D2400" i="1"/>
  <c r="E2400" i="1"/>
  <c r="A2401" i="1"/>
  <c r="B2401" i="1"/>
  <c r="C2401" i="1"/>
  <c r="D2401" i="1"/>
  <c r="E2401" i="1"/>
  <c r="A2402" i="1"/>
  <c r="B2402" i="1"/>
  <c r="C2402" i="1"/>
  <c r="D2402" i="1"/>
  <c r="E2402" i="1"/>
  <c r="A2403" i="1"/>
  <c r="B2403" i="1"/>
  <c r="C2403" i="1"/>
  <c r="D2403" i="1"/>
  <c r="E2403" i="1"/>
  <c r="A2404" i="1"/>
  <c r="B2404" i="1"/>
  <c r="C2404" i="1"/>
  <c r="D2404" i="1"/>
  <c r="E2404" i="1"/>
  <c r="A2405" i="1"/>
  <c r="B2405" i="1"/>
  <c r="C2405" i="1"/>
  <c r="D2405" i="1"/>
  <c r="E2405" i="1"/>
  <c r="A2406" i="1"/>
  <c r="B2406" i="1"/>
  <c r="C2406" i="1"/>
  <c r="D2406" i="1"/>
  <c r="E2406" i="1"/>
  <c r="A2407" i="1"/>
  <c r="B2407" i="1"/>
  <c r="C2407" i="1"/>
  <c r="D2407" i="1"/>
  <c r="E2407" i="1"/>
  <c r="A2408" i="1"/>
  <c r="B2408" i="1"/>
  <c r="C2408" i="1"/>
  <c r="D2408" i="1"/>
  <c r="E2408" i="1"/>
  <c r="A2409" i="1"/>
  <c r="B2409" i="1"/>
  <c r="C2409" i="1"/>
  <c r="D2409" i="1"/>
  <c r="E2409" i="1"/>
  <c r="A2410" i="1"/>
  <c r="B2410" i="1"/>
  <c r="C2410" i="1"/>
  <c r="D2410" i="1"/>
  <c r="E2410" i="1"/>
  <c r="A2411" i="1"/>
  <c r="B2411" i="1"/>
  <c r="C2411" i="1"/>
  <c r="D2411" i="1"/>
  <c r="E2411" i="1"/>
  <c r="A2412" i="1"/>
  <c r="B2412" i="1"/>
  <c r="C2412" i="1"/>
  <c r="D2412" i="1"/>
  <c r="E2412" i="1"/>
  <c r="A2413" i="1"/>
  <c r="B2413" i="1"/>
  <c r="C2413" i="1"/>
  <c r="D2413" i="1"/>
  <c r="E2413" i="1"/>
  <c r="A2414" i="1"/>
  <c r="B2414" i="1"/>
  <c r="C2414" i="1"/>
  <c r="D2414" i="1"/>
  <c r="E2414" i="1"/>
  <c r="A2415" i="1"/>
  <c r="B2415" i="1"/>
  <c r="C2415" i="1"/>
  <c r="D2415" i="1"/>
  <c r="E2415" i="1"/>
  <c r="A2416" i="1"/>
  <c r="B2416" i="1"/>
  <c r="C2416" i="1"/>
  <c r="D2416" i="1"/>
  <c r="E2416" i="1"/>
  <c r="A2417" i="1"/>
  <c r="B2417" i="1"/>
  <c r="C2417" i="1"/>
  <c r="D2417" i="1"/>
  <c r="E2417" i="1"/>
  <c r="A2418" i="1"/>
  <c r="B2418" i="1"/>
  <c r="C2418" i="1"/>
  <c r="D2418" i="1"/>
  <c r="E2418" i="1"/>
  <c r="A2419" i="1"/>
  <c r="B2419" i="1"/>
  <c r="C2419" i="1"/>
  <c r="D2419" i="1"/>
  <c r="E2419" i="1"/>
  <c r="A2420" i="1"/>
  <c r="B2420" i="1"/>
  <c r="C2420" i="1"/>
  <c r="D2420" i="1"/>
  <c r="E2420" i="1"/>
  <c r="A2421" i="1"/>
  <c r="B2421" i="1"/>
  <c r="C2421" i="1"/>
  <c r="D2421" i="1"/>
  <c r="E2421" i="1"/>
  <c r="A2422" i="1"/>
  <c r="B2422" i="1"/>
  <c r="C2422" i="1"/>
  <c r="D2422" i="1"/>
  <c r="E2422" i="1"/>
  <c r="A2423" i="1"/>
  <c r="B2423" i="1"/>
  <c r="C2423" i="1"/>
  <c r="D2423" i="1"/>
  <c r="E2423" i="1"/>
  <c r="A2424" i="1"/>
  <c r="B2424" i="1"/>
  <c r="C2424" i="1"/>
  <c r="D2424" i="1"/>
  <c r="E2424" i="1"/>
  <c r="A2425" i="1"/>
  <c r="B2425" i="1"/>
  <c r="C2425" i="1"/>
  <c r="D2425" i="1"/>
  <c r="E2425" i="1"/>
  <c r="A2426" i="1"/>
  <c r="B2426" i="1"/>
  <c r="C2426" i="1"/>
  <c r="D2426" i="1"/>
  <c r="E2426" i="1"/>
  <c r="A2427" i="1"/>
  <c r="B2427" i="1"/>
  <c r="C2427" i="1"/>
  <c r="D2427" i="1"/>
  <c r="E2427" i="1"/>
  <c r="A2428" i="1"/>
  <c r="B2428" i="1"/>
  <c r="C2428" i="1"/>
  <c r="D2428" i="1"/>
  <c r="E2428" i="1"/>
  <c r="A2429" i="1"/>
  <c r="B2429" i="1"/>
  <c r="C2429" i="1"/>
  <c r="D2429" i="1"/>
  <c r="E2429" i="1"/>
  <c r="A2430" i="1"/>
  <c r="B2430" i="1"/>
  <c r="C2430" i="1"/>
  <c r="D2430" i="1"/>
  <c r="E2430" i="1"/>
  <c r="A2431" i="1"/>
  <c r="B2431" i="1"/>
  <c r="C2431" i="1"/>
  <c r="D2431" i="1"/>
  <c r="E2431" i="1"/>
  <c r="A2432" i="1"/>
  <c r="B2432" i="1"/>
  <c r="C2432" i="1"/>
  <c r="D2432" i="1"/>
  <c r="E2432" i="1"/>
  <c r="A2433" i="1"/>
  <c r="B2433" i="1"/>
  <c r="C2433" i="1"/>
  <c r="D2433" i="1"/>
  <c r="E2433" i="1"/>
  <c r="A2434" i="1"/>
  <c r="B2434" i="1"/>
  <c r="C2434" i="1"/>
  <c r="D2434" i="1"/>
  <c r="E2434" i="1"/>
  <c r="A2435" i="1"/>
  <c r="B2435" i="1"/>
  <c r="C2435" i="1"/>
  <c r="D2435" i="1"/>
  <c r="E2435" i="1"/>
  <c r="A2436" i="1"/>
  <c r="B2436" i="1"/>
  <c r="C2436" i="1"/>
  <c r="D2436" i="1"/>
  <c r="E2436" i="1"/>
  <c r="A2437" i="1"/>
  <c r="B2437" i="1"/>
  <c r="C2437" i="1"/>
  <c r="D2437" i="1"/>
  <c r="E2437" i="1"/>
  <c r="A2438" i="1"/>
  <c r="B2438" i="1"/>
  <c r="C2438" i="1"/>
  <c r="D2438" i="1"/>
  <c r="E2438" i="1"/>
  <c r="A2439" i="1"/>
  <c r="B2439" i="1"/>
  <c r="C2439" i="1"/>
  <c r="D2439" i="1"/>
  <c r="E2439" i="1"/>
  <c r="A2440" i="1"/>
  <c r="B2440" i="1"/>
  <c r="C2440" i="1"/>
  <c r="D2440" i="1"/>
  <c r="E2440" i="1"/>
  <c r="A2441" i="1"/>
  <c r="B2441" i="1"/>
  <c r="C2441" i="1"/>
  <c r="D2441" i="1"/>
  <c r="E2441" i="1"/>
  <c r="A2442" i="1"/>
  <c r="B2442" i="1"/>
  <c r="C2442" i="1"/>
  <c r="D2442" i="1"/>
  <c r="E2442" i="1"/>
  <c r="A2443" i="1"/>
  <c r="B2443" i="1"/>
  <c r="C2443" i="1"/>
  <c r="D2443" i="1"/>
  <c r="E2443" i="1"/>
  <c r="A2444" i="1"/>
  <c r="B2444" i="1"/>
  <c r="C2444" i="1"/>
  <c r="D2444" i="1"/>
  <c r="E2444" i="1"/>
  <c r="A2445" i="1"/>
  <c r="B2445" i="1"/>
  <c r="C2445" i="1"/>
  <c r="D2445" i="1"/>
  <c r="E2445" i="1"/>
  <c r="A2446" i="1"/>
  <c r="B2446" i="1"/>
  <c r="C2446" i="1"/>
  <c r="D2446" i="1"/>
  <c r="E2446" i="1"/>
  <c r="A2447" i="1"/>
  <c r="B2447" i="1"/>
  <c r="C2447" i="1"/>
  <c r="D2447" i="1"/>
  <c r="E2447" i="1"/>
  <c r="A2448" i="1"/>
  <c r="B2448" i="1"/>
  <c r="C2448" i="1"/>
  <c r="D2448" i="1"/>
  <c r="E2448" i="1"/>
  <c r="A2449" i="1"/>
  <c r="B2449" i="1"/>
  <c r="C2449" i="1"/>
  <c r="D2449" i="1"/>
  <c r="E2449" i="1"/>
  <c r="A2450" i="1"/>
  <c r="B2450" i="1"/>
  <c r="C2450" i="1"/>
  <c r="D2450" i="1"/>
  <c r="E2450" i="1"/>
  <c r="A2451" i="1"/>
  <c r="B2451" i="1"/>
  <c r="C2451" i="1"/>
  <c r="D2451" i="1"/>
  <c r="E2451" i="1"/>
  <c r="A2452" i="1"/>
  <c r="B2452" i="1"/>
  <c r="C2452" i="1"/>
  <c r="D2452" i="1"/>
  <c r="E2452" i="1"/>
  <c r="A2453" i="1"/>
  <c r="B2453" i="1"/>
  <c r="C2453" i="1"/>
  <c r="D2453" i="1"/>
  <c r="E2453" i="1"/>
  <c r="A2454" i="1"/>
  <c r="B2454" i="1"/>
  <c r="C2454" i="1"/>
  <c r="D2454" i="1"/>
  <c r="E2454" i="1"/>
  <c r="A2455" i="1"/>
  <c r="B2455" i="1"/>
  <c r="C2455" i="1"/>
  <c r="D2455" i="1"/>
  <c r="E2455" i="1"/>
  <c r="A2456" i="1"/>
  <c r="B2456" i="1"/>
  <c r="C2456" i="1"/>
  <c r="D2456" i="1"/>
  <c r="E2456" i="1"/>
  <c r="A2457" i="1"/>
  <c r="B2457" i="1"/>
  <c r="C2457" i="1"/>
  <c r="D2457" i="1"/>
  <c r="E2457" i="1"/>
  <c r="A2458" i="1"/>
  <c r="B2458" i="1"/>
  <c r="C2458" i="1"/>
  <c r="D2458" i="1"/>
  <c r="E2458" i="1"/>
  <c r="A2459" i="1"/>
  <c r="B2459" i="1"/>
  <c r="C2459" i="1"/>
  <c r="D2459" i="1"/>
  <c r="E2459" i="1"/>
  <c r="A2460" i="1"/>
  <c r="B2460" i="1"/>
  <c r="C2460" i="1"/>
  <c r="D2460" i="1"/>
  <c r="E2460" i="1"/>
  <c r="A2461" i="1"/>
  <c r="B2461" i="1"/>
  <c r="C2461" i="1"/>
  <c r="D2461" i="1"/>
  <c r="E2461" i="1"/>
  <c r="A2462" i="1"/>
  <c r="B2462" i="1"/>
  <c r="C2462" i="1"/>
  <c r="D2462" i="1"/>
  <c r="E2462" i="1"/>
  <c r="A2463" i="1"/>
  <c r="B2463" i="1"/>
  <c r="C2463" i="1"/>
  <c r="D2463" i="1"/>
  <c r="E2463" i="1"/>
  <c r="A2464" i="1"/>
  <c r="B2464" i="1"/>
  <c r="C2464" i="1"/>
  <c r="D2464" i="1"/>
  <c r="E2464" i="1"/>
  <c r="A2465" i="1"/>
  <c r="B2465" i="1"/>
  <c r="C2465" i="1"/>
  <c r="D2465" i="1"/>
  <c r="E2465" i="1"/>
  <c r="A2466" i="1"/>
  <c r="B2466" i="1"/>
  <c r="C2466" i="1"/>
  <c r="D2466" i="1"/>
  <c r="E2466" i="1"/>
  <c r="A2467" i="1"/>
  <c r="B2467" i="1"/>
  <c r="C2467" i="1"/>
  <c r="D2467" i="1"/>
  <c r="E2467" i="1"/>
  <c r="A2468" i="1"/>
  <c r="B2468" i="1"/>
  <c r="C2468" i="1"/>
  <c r="D2468" i="1"/>
  <c r="E2468" i="1"/>
  <c r="A2469" i="1"/>
  <c r="B2469" i="1"/>
  <c r="C2469" i="1"/>
  <c r="D2469" i="1"/>
  <c r="E2469" i="1"/>
  <c r="A2470" i="1"/>
  <c r="B2470" i="1"/>
  <c r="C2470" i="1"/>
  <c r="D2470" i="1"/>
  <c r="E2470" i="1"/>
  <c r="A2471" i="1"/>
  <c r="B2471" i="1"/>
  <c r="C2471" i="1"/>
  <c r="D2471" i="1"/>
  <c r="E2471" i="1"/>
  <c r="A2472" i="1"/>
  <c r="B2472" i="1"/>
  <c r="C2472" i="1"/>
  <c r="D2472" i="1"/>
  <c r="E2472" i="1"/>
  <c r="A2473" i="1"/>
  <c r="B2473" i="1"/>
  <c r="C2473" i="1"/>
  <c r="D2473" i="1"/>
  <c r="E2473" i="1"/>
  <c r="A2474" i="1"/>
  <c r="B2474" i="1"/>
  <c r="C2474" i="1"/>
  <c r="D2474" i="1"/>
  <c r="E2474" i="1"/>
  <c r="A2475" i="1"/>
  <c r="B2475" i="1"/>
  <c r="C2475" i="1"/>
  <c r="D2475" i="1"/>
  <c r="E2475" i="1"/>
  <c r="A2476" i="1"/>
  <c r="B2476" i="1"/>
  <c r="C2476" i="1"/>
  <c r="D2476" i="1"/>
  <c r="E2476" i="1"/>
  <c r="A2477" i="1"/>
  <c r="B2477" i="1"/>
  <c r="C2477" i="1"/>
  <c r="D2477" i="1"/>
  <c r="E2477" i="1"/>
  <c r="A2478" i="1"/>
  <c r="B2478" i="1"/>
  <c r="C2478" i="1"/>
  <c r="D2478" i="1"/>
  <c r="E2478" i="1"/>
  <c r="A2479" i="1"/>
  <c r="B2479" i="1"/>
  <c r="C2479" i="1"/>
  <c r="D2479" i="1"/>
  <c r="E2479" i="1"/>
  <c r="A2480" i="1"/>
  <c r="B2480" i="1"/>
  <c r="C2480" i="1"/>
  <c r="D2480" i="1"/>
  <c r="E2480" i="1"/>
  <c r="A2481" i="1"/>
  <c r="B2481" i="1"/>
  <c r="C2481" i="1"/>
  <c r="D2481" i="1"/>
  <c r="E2481" i="1"/>
  <c r="A2482" i="1"/>
  <c r="B2482" i="1"/>
  <c r="C2482" i="1"/>
  <c r="D2482" i="1"/>
  <c r="E2482" i="1"/>
  <c r="A2483" i="1"/>
  <c r="B2483" i="1"/>
  <c r="C2483" i="1"/>
  <c r="D2483" i="1"/>
  <c r="E2483" i="1"/>
  <c r="A2484" i="1"/>
  <c r="B2484" i="1"/>
  <c r="C2484" i="1"/>
  <c r="D2484" i="1"/>
  <c r="E2484" i="1"/>
  <c r="A2485" i="1"/>
  <c r="B2485" i="1"/>
  <c r="C2485" i="1"/>
  <c r="D2485" i="1"/>
  <c r="E2485" i="1"/>
  <c r="A2486" i="1"/>
  <c r="B2486" i="1"/>
  <c r="C2486" i="1"/>
  <c r="D2486" i="1"/>
  <c r="E2486" i="1"/>
  <c r="A2487" i="1"/>
  <c r="B2487" i="1"/>
  <c r="C2487" i="1"/>
  <c r="D2487" i="1"/>
  <c r="E2487" i="1"/>
  <c r="A2488" i="1"/>
  <c r="B2488" i="1"/>
  <c r="C2488" i="1"/>
  <c r="D2488" i="1"/>
  <c r="E2488" i="1"/>
  <c r="A2489" i="1"/>
  <c r="B2489" i="1"/>
  <c r="C2489" i="1"/>
  <c r="D2489" i="1"/>
  <c r="E2489" i="1"/>
  <c r="A2490" i="1"/>
  <c r="B2490" i="1"/>
  <c r="C2490" i="1"/>
  <c r="D2490" i="1"/>
  <c r="E2490" i="1"/>
  <c r="A2491" i="1"/>
  <c r="B2491" i="1"/>
  <c r="C2491" i="1"/>
  <c r="D2491" i="1"/>
  <c r="E2491" i="1"/>
  <c r="A2492" i="1"/>
  <c r="B2492" i="1"/>
  <c r="C2492" i="1"/>
  <c r="D2492" i="1"/>
  <c r="E2492" i="1"/>
  <c r="A2493" i="1"/>
  <c r="B2493" i="1"/>
  <c r="C2493" i="1"/>
  <c r="D2493" i="1"/>
  <c r="E2493" i="1"/>
  <c r="A2494" i="1"/>
  <c r="B2494" i="1"/>
  <c r="C2494" i="1"/>
  <c r="D2494" i="1"/>
  <c r="E2494" i="1"/>
  <c r="A2495" i="1"/>
  <c r="B2495" i="1"/>
  <c r="C2495" i="1"/>
  <c r="D2495" i="1"/>
  <c r="E2495" i="1"/>
  <c r="A2496" i="1"/>
  <c r="B2496" i="1"/>
  <c r="C2496" i="1"/>
  <c r="D2496" i="1"/>
  <c r="E2496" i="1"/>
  <c r="A2497" i="1"/>
  <c r="B2497" i="1"/>
  <c r="C2497" i="1"/>
  <c r="D2497" i="1"/>
  <c r="E2497" i="1"/>
  <c r="A2498" i="1"/>
  <c r="B2498" i="1"/>
  <c r="C2498" i="1"/>
  <c r="D2498" i="1"/>
  <c r="E2498" i="1"/>
  <c r="A2499" i="1"/>
  <c r="B2499" i="1"/>
  <c r="C2499" i="1"/>
  <c r="D2499" i="1"/>
  <c r="E2499" i="1"/>
  <c r="A2500" i="1"/>
  <c r="B2500" i="1"/>
  <c r="C2500" i="1"/>
  <c r="D2500" i="1"/>
  <c r="E2500" i="1"/>
  <c r="A2501" i="1"/>
  <c r="B2501" i="1"/>
  <c r="C2501" i="1"/>
  <c r="D2501" i="1"/>
  <c r="E2501" i="1"/>
  <c r="A2502" i="1"/>
  <c r="B2502" i="1"/>
  <c r="C2502" i="1"/>
  <c r="D2502" i="1"/>
  <c r="E2502" i="1"/>
  <c r="A2503" i="1"/>
  <c r="B2503" i="1"/>
  <c r="C2503" i="1"/>
  <c r="D2503" i="1"/>
  <c r="E2503" i="1"/>
  <c r="A2504" i="1"/>
  <c r="B2504" i="1"/>
  <c r="C2504" i="1"/>
  <c r="D2504" i="1"/>
  <c r="E2504" i="1"/>
  <c r="A2505" i="1"/>
  <c r="B2505" i="1"/>
  <c r="C2505" i="1"/>
  <c r="D2505" i="1"/>
  <c r="E2505" i="1"/>
  <c r="A2506" i="1"/>
  <c r="B2506" i="1"/>
  <c r="C2506" i="1"/>
  <c r="D2506" i="1"/>
  <c r="E2506" i="1"/>
  <c r="A2507" i="1"/>
  <c r="B2507" i="1"/>
  <c r="C2507" i="1"/>
  <c r="D2507" i="1"/>
  <c r="E2507" i="1"/>
  <c r="A2508" i="1"/>
  <c r="B2508" i="1"/>
  <c r="C2508" i="1"/>
  <c r="D2508" i="1"/>
  <c r="E2508" i="1"/>
  <c r="A2509" i="1"/>
  <c r="B2509" i="1"/>
  <c r="C2509" i="1"/>
  <c r="D2509" i="1"/>
  <c r="E2509" i="1"/>
  <c r="A2510" i="1"/>
  <c r="B2510" i="1"/>
  <c r="C2510" i="1"/>
  <c r="D2510" i="1"/>
  <c r="E2510" i="1"/>
  <c r="A2511" i="1"/>
  <c r="B2511" i="1"/>
  <c r="C2511" i="1"/>
  <c r="D2511" i="1"/>
  <c r="E2511" i="1"/>
  <c r="A2512" i="1"/>
  <c r="B2512" i="1"/>
  <c r="C2512" i="1"/>
  <c r="D2512" i="1"/>
  <c r="E2512" i="1"/>
  <c r="A2513" i="1"/>
  <c r="B2513" i="1"/>
  <c r="C2513" i="1"/>
  <c r="D2513" i="1"/>
  <c r="E2513" i="1"/>
  <c r="A2514" i="1"/>
  <c r="B2514" i="1"/>
  <c r="C2514" i="1"/>
  <c r="D2514" i="1"/>
  <c r="E2514" i="1"/>
  <c r="A2515" i="1"/>
  <c r="B2515" i="1"/>
  <c r="C2515" i="1"/>
  <c r="D2515" i="1"/>
  <c r="E2515" i="1"/>
  <c r="A2516" i="1"/>
  <c r="B2516" i="1"/>
  <c r="C2516" i="1"/>
  <c r="D2516" i="1"/>
  <c r="E2516" i="1"/>
  <c r="A2517" i="1"/>
  <c r="B2517" i="1"/>
  <c r="C2517" i="1"/>
  <c r="D2517" i="1"/>
  <c r="E2517" i="1"/>
  <c r="A2518" i="1"/>
  <c r="B2518" i="1"/>
  <c r="C2518" i="1"/>
  <c r="D2518" i="1"/>
  <c r="E2518" i="1"/>
  <c r="A2519" i="1"/>
  <c r="B2519" i="1"/>
  <c r="C2519" i="1"/>
  <c r="D2519" i="1"/>
  <c r="E2519" i="1"/>
  <c r="A2520" i="1"/>
  <c r="B2520" i="1"/>
  <c r="C2520" i="1"/>
  <c r="D2520" i="1"/>
  <c r="E2520" i="1"/>
  <c r="A2521" i="1"/>
  <c r="B2521" i="1"/>
  <c r="C2521" i="1"/>
  <c r="D2521" i="1"/>
  <c r="E2521" i="1"/>
  <c r="A2522" i="1"/>
  <c r="B2522" i="1"/>
  <c r="C2522" i="1"/>
  <c r="D2522" i="1"/>
  <c r="E2522" i="1"/>
  <c r="A2523" i="1"/>
  <c r="B2523" i="1"/>
  <c r="C2523" i="1"/>
  <c r="D2523" i="1"/>
  <c r="E2523" i="1"/>
  <c r="A2524" i="1"/>
  <c r="B2524" i="1"/>
  <c r="C2524" i="1"/>
  <c r="D2524" i="1"/>
  <c r="E2524" i="1"/>
  <c r="A2525" i="1"/>
  <c r="B2525" i="1"/>
  <c r="C2525" i="1"/>
  <c r="D2525" i="1"/>
  <c r="E2525" i="1"/>
  <c r="A2526" i="1"/>
  <c r="B2526" i="1"/>
  <c r="C2526" i="1"/>
  <c r="D2526" i="1"/>
  <c r="E2526" i="1"/>
  <c r="A2527" i="1"/>
  <c r="B2527" i="1"/>
  <c r="C2527" i="1"/>
  <c r="D2527" i="1"/>
  <c r="E2527" i="1"/>
  <c r="A2528" i="1"/>
  <c r="B2528" i="1"/>
  <c r="C2528" i="1"/>
  <c r="D2528" i="1"/>
  <c r="E2528" i="1"/>
  <c r="A2529" i="1"/>
  <c r="B2529" i="1"/>
  <c r="C2529" i="1"/>
  <c r="D2529" i="1"/>
  <c r="E2529" i="1"/>
  <c r="A2530" i="1"/>
  <c r="B2530" i="1"/>
  <c r="C2530" i="1"/>
  <c r="D2530" i="1"/>
  <c r="E2530" i="1"/>
  <c r="A2531" i="1"/>
  <c r="B2531" i="1"/>
  <c r="C2531" i="1"/>
  <c r="D2531" i="1"/>
  <c r="E2531" i="1"/>
  <c r="A2532" i="1"/>
  <c r="B2532" i="1"/>
  <c r="C2532" i="1"/>
  <c r="D2532" i="1"/>
  <c r="E2532" i="1"/>
  <c r="A2533" i="1"/>
  <c r="B2533" i="1"/>
  <c r="C2533" i="1"/>
  <c r="D2533" i="1"/>
  <c r="E2533" i="1"/>
  <c r="A2534" i="1"/>
  <c r="B2534" i="1"/>
  <c r="C2534" i="1"/>
  <c r="D2534" i="1"/>
  <c r="E2534" i="1"/>
  <c r="A2535" i="1"/>
  <c r="B2535" i="1"/>
  <c r="C2535" i="1"/>
  <c r="D2535" i="1"/>
  <c r="E2535" i="1"/>
  <c r="A2536" i="1"/>
  <c r="B2536" i="1"/>
  <c r="C2536" i="1"/>
  <c r="D2536" i="1"/>
  <c r="E2536" i="1"/>
  <c r="A2537" i="1"/>
  <c r="B2537" i="1"/>
  <c r="C2537" i="1"/>
  <c r="D2537" i="1"/>
  <c r="E2537" i="1"/>
  <c r="A2538" i="1"/>
  <c r="B2538" i="1"/>
  <c r="C2538" i="1"/>
  <c r="D2538" i="1"/>
  <c r="E2538" i="1"/>
  <c r="A2539" i="1"/>
  <c r="B2539" i="1"/>
  <c r="C2539" i="1"/>
  <c r="D2539" i="1"/>
  <c r="E2539" i="1"/>
  <c r="A2540" i="1"/>
  <c r="B2540" i="1"/>
  <c r="C2540" i="1"/>
  <c r="D2540" i="1"/>
  <c r="E2540" i="1"/>
  <c r="A2541" i="1"/>
  <c r="B2541" i="1"/>
  <c r="C2541" i="1"/>
  <c r="D2541" i="1"/>
  <c r="E2541" i="1"/>
  <c r="A2542" i="1"/>
  <c r="B2542" i="1"/>
  <c r="C2542" i="1"/>
  <c r="D2542" i="1"/>
  <c r="E2542" i="1"/>
  <c r="A2543" i="1"/>
  <c r="B2543" i="1"/>
  <c r="C2543" i="1"/>
  <c r="D2543" i="1"/>
  <c r="E2543" i="1"/>
  <c r="A2544" i="1"/>
  <c r="B2544" i="1"/>
  <c r="C2544" i="1"/>
  <c r="D2544" i="1"/>
  <c r="E2544" i="1"/>
  <c r="A2545" i="1"/>
  <c r="B2545" i="1"/>
  <c r="C2545" i="1"/>
  <c r="D2545" i="1"/>
  <c r="E2545" i="1"/>
  <c r="A2546" i="1"/>
  <c r="B2546" i="1"/>
  <c r="C2546" i="1"/>
  <c r="D2546" i="1"/>
  <c r="E2546" i="1"/>
  <c r="A2547" i="1"/>
  <c r="B2547" i="1"/>
  <c r="C2547" i="1"/>
  <c r="D2547" i="1"/>
  <c r="E2547" i="1"/>
  <c r="A2548" i="1"/>
  <c r="B2548" i="1"/>
  <c r="C2548" i="1"/>
  <c r="D2548" i="1"/>
  <c r="E2548" i="1"/>
  <c r="A2549" i="1"/>
  <c r="B2549" i="1"/>
  <c r="C2549" i="1"/>
  <c r="D2549" i="1"/>
  <c r="E2549" i="1"/>
  <c r="A2550" i="1"/>
  <c r="B2550" i="1"/>
  <c r="C2550" i="1"/>
  <c r="D2550" i="1"/>
  <c r="E2550" i="1"/>
  <c r="A2551" i="1"/>
  <c r="B2551" i="1"/>
  <c r="C2551" i="1"/>
  <c r="D2551" i="1"/>
  <c r="E2551" i="1"/>
  <c r="A2552" i="1"/>
  <c r="B2552" i="1"/>
  <c r="C2552" i="1"/>
  <c r="D2552" i="1"/>
  <c r="E2552" i="1"/>
  <c r="A2553" i="1"/>
  <c r="B2553" i="1"/>
  <c r="C2553" i="1"/>
  <c r="D2553" i="1"/>
  <c r="E2553" i="1"/>
  <c r="A2554" i="1"/>
  <c r="B2554" i="1"/>
  <c r="C2554" i="1"/>
  <c r="D2554" i="1"/>
  <c r="E2554" i="1"/>
  <c r="A2555" i="1"/>
  <c r="B2555" i="1"/>
  <c r="C2555" i="1"/>
  <c r="D2555" i="1"/>
  <c r="E2555" i="1"/>
  <c r="A2556" i="1"/>
  <c r="B2556" i="1"/>
  <c r="C2556" i="1"/>
  <c r="D2556" i="1"/>
  <c r="E2556" i="1"/>
  <c r="A2557" i="1"/>
  <c r="B2557" i="1"/>
  <c r="C2557" i="1"/>
  <c r="D2557" i="1"/>
  <c r="E2557" i="1"/>
  <c r="A2558" i="1"/>
  <c r="B2558" i="1"/>
  <c r="C2558" i="1"/>
  <c r="D2558" i="1"/>
  <c r="E2558" i="1"/>
  <c r="A2559" i="1"/>
  <c r="B2559" i="1"/>
  <c r="C2559" i="1"/>
  <c r="D2559" i="1"/>
  <c r="E2559" i="1"/>
  <c r="A2560" i="1"/>
  <c r="B2560" i="1"/>
  <c r="C2560" i="1"/>
  <c r="D2560" i="1"/>
  <c r="E2560" i="1"/>
  <c r="A2561" i="1"/>
  <c r="B2561" i="1"/>
  <c r="C2561" i="1"/>
  <c r="D2561" i="1"/>
  <c r="E2561" i="1"/>
  <c r="A2562" i="1"/>
  <c r="B2562" i="1"/>
  <c r="C2562" i="1"/>
  <c r="D2562" i="1"/>
  <c r="E2562" i="1"/>
  <c r="A2563" i="1"/>
  <c r="B2563" i="1"/>
  <c r="C2563" i="1"/>
  <c r="D2563" i="1"/>
  <c r="E2563" i="1"/>
  <c r="A2564" i="1"/>
  <c r="B2564" i="1"/>
  <c r="C2564" i="1"/>
  <c r="D2564" i="1"/>
  <c r="E2564" i="1"/>
  <c r="A2565" i="1"/>
  <c r="B2565" i="1"/>
  <c r="C2565" i="1"/>
  <c r="D2565" i="1"/>
  <c r="E2565" i="1"/>
  <c r="A2566" i="1"/>
  <c r="B2566" i="1"/>
  <c r="C2566" i="1"/>
  <c r="D2566" i="1"/>
  <c r="E2566" i="1"/>
  <c r="A2567" i="1"/>
  <c r="B2567" i="1"/>
  <c r="C2567" i="1"/>
  <c r="D2567" i="1"/>
  <c r="E2567" i="1"/>
  <c r="A2568" i="1"/>
  <c r="B2568" i="1"/>
  <c r="C2568" i="1"/>
  <c r="D2568" i="1"/>
  <c r="E2568" i="1"/>
  <c r="A2569" i="1"/>
  <c r="B2569" i="1"/>
  <c r="C2569" i="1"/>
  <c r="D2569" i="1"/>
  <c r="E2569" i="1"/>
  <c r="A2570" i="1"/>
  <c r="B2570" i="1"/>
  <c r="C2570" i="1"/>
  <c r="D2570" i="1"/>
  <c r="E2570" i="1"/>
  <c r="A2571" i="1"/>
  <c r="B2571" i="1"/>
  <c r="C2571" i="1"/>
  <c r="D2571" i="1"/>
  <c r="E2571" i="1"/>
  <c r="A2572" i="1"/>
  <c r="B2572" i="1"/>
  <c r="C2572" i="1"/>
  <c r="D2572" i="1"/>
  <c r="E2572" i="1"/>
  <c r="A2573" i="1"/>
  <c r="B2573" i="1"/>
  <c r="C2573" i="1"/>
  <c r="D2573" i="1"/>
  <c r="E2573" i="1"/>
  <c r="A2574" i="1"/>
  <c r="B2574" i="1"/>
  <c r="C2574" i="1"/>
  <c r="D2574" i="1"/>
  <c r="E2574" i="1"/>
  <c r="A2575" i="1"/>
  <c r="B2575" i="1"/>
  <c r="C2575" i="1"/>
  <c r="D2575" i="1"/>
  <c r="E2575" i="1"/>
  <c r="A2576" i="1"/>
  <c r="B2576" i="1"/>
  <c r="C2576" i="1"/>
  <c r="D2576" i="1"/>
  <c r="E2576" i="1"/>
  <c r="A2577" i="1"/>
  <c r="B2577" i="1"/>
  <c r="C2577" i="1"/>
  <c r="D2577" i="1"/>
  <c r="E2577" i="1"/>
  <c r="A2578" i="1"/>
  <c r="B2578" i="1"/>
  <c r="C2578" i="1"/>
  <c r="D2578" i="1"/>
  <c r="E2578" i="1"/>
  <c r="A2579" i="1"/>
  <c r="B2579" i="1"/>
  <c r="C2579" i="1"/>
  <c r="D2579" i="1"/>
  <c r="E2579" i="1"/>
  <c r="A2580" i="1"/>
  <c r="B2580" i="1"/>
  <c r="C2580" i="1"/>
  <c r="D2580" i="1"/>
  <c r="E2580" i="1"/>
  <c r="A2581" i="1"/>
  <c r="B2581" i="1"/>
  <c r="C2581" i="1"/>
  <c r="D2581" i="1"/>
  <c r="E2581" i="1"/>
  <c r="A2582" i="1"/>
  <c r="B2582" i="1"/>
  <c r="C2582" i="1"/>
  <c r="D2582" i="1"/>
  <c r="E2582" i="1"/>
  <c r="A2583" i="1"/>
  <c r="B2583" i="1"/>
  <c r="C2583" i="1"/>
  <c r="D2583" i="1"/>
  <c r="E2583" i="1"/>
  <c r="A2584" i="1"/>
  <c r="B2584" i="1"/>
  <c r="C2584" i="1"/>
  <c r="D2584" i="1"/>
  <c r="E2584" i="1"/>
  <c r="A2585" i="1"/>
  <c r="B2585" i="1"/>
  <c r="C2585" i="1"/>
  <c r="D2585" i="1"/>
  <c r="E2585" i="1"/>
  <c r="A2586" i="1"/>
  <c r="B2586" i="1"/>
  <c r="C2586" i="1"/>
  <c r="D2586" i="1"/>
  <c r="E2586" i="1"/>
  <c r="A2587" i="1"/>
  <c r="B2587" i="1"/>
  <c r="C2587" i="1"/>
  <c r="D2587" i="1"/>
  <c r="E2587" i="1"/>
  <c r="A2588" i="1"/>
  <c r="B2588" i="1"/>
  <c r="C2588" i="1"/>
  <c r="D2588" i="1"/>
  <c r="E2588" i="1"/>
  <c r="A2589" i="1"/>
  <c r="B2589" i="1"/>
  <c r="C2589" i="1"/>
  <c r="D2589" i="1"/>
  <c r="E2589" i="1"/>
  <c r="A2590" i="1"/>
  <c r="B2590" i="1"/>
  <c r="C2590" i="1"/>
  <c r="D2590" i="1"/>
  <c r="E2590" i="1"/>
  <c r="A2591" i="1"/>
  <c r="B2591" i="1"/>
  <c r="C2591" i="1"/>
  <c r="D2591" i="1"/>
  <c r="E2591" i="1"/>
  <c r="A2592" i="1"/>
  <c r="B2592" i="1"/>
  <c r="C2592" i="1"/>
  <c r="D2592" i="1"/>
  <c r="E2592" i="1"/>
  <c r="A2593" i="1"/>
  <c r="B2593" i="1"/>
  <c r="C2593" i="1"/>
  <c r="D2593" i="1"/>
  <c r="E2593" i="1"/>
  <c r="A2594" i="1"/>
  <c r="B2594" i="1"/>
  <c r="C2594" i="1"/>
  <c r="D2594" i="1"/>
  <c r="E2594" i="1"/>
  <c r="A2595" i="1"/>
  <c r="B2595" i="1"/>
  <c r="C2595" i="1"/>
  <c r="D2595" i="1"/>
  <c r="E2595" i="1"/>
  <c r="A2596" i="1"/>
  <c r="B2596" i="1"/>
  <c r="C2596" i="1"/>
  <c r="D2596" i="1"/>
  <c r="E2596" i="1"/>
  <c r="A2597" i="1"/>
  <c r="B2597" i="1"/>
  <c r="C2597" i="1"/>
  <c r="D2597" i="1"/>
  <c r="E2597" i="1"/>
  <c r="A2598" i="1"/>
  <c r="B2598" i="1"/>
  <c r="C2598" i="1"/>
  <c r="D2598" i="1"/>
  <c r="E2598" i="1"/>
  <c r="A2599" i="1"/>
  <c r="B2599" i="1"/>
  <c r="C2599" i="1"/>
  <c r="D2599" i="1"/>
  <c r="E2599" i="1"/>
  <c r="A2600" i="1"/>
  <c r="B2600" i="1"/>
  <c r="C2600" i="1"/>
  <c r="D2600" i="1"/>
  <c r="E2600" i="1"/>
  <c r="A2601" i="1"/>
  <c r="B2601" i="1"/>
  <c r="C2601" i="1"/>
  <c r="D2601" i="1"/>
  <c r="E2601" i="1"/>
  <c r="A2602" i="1"/>
  <c r="B2602" i="1"/>
  <c r="C2602" i="1"/>
  <c r="D2602" i="1"/>
  <c r="E2602" i="1"/>
  <c r="A2603" i="1"/>
  <c r="B2603" i="1"/>
  <c r="C2603" i="1"/>
  <c r="D2603" i="1"/>
  <c r="E2603" i="1"/>
  <c r="A2604" i="1"/>
  <c r="B2604" i="1"/>
  <c r="C2604" i="1"/>
  <c r="D2604" i="1"/>
  <c r="E2604" i="1"/>
  <c r="A2605" i="1"/>
  <c r="B2605" i="1"/>
  <c r="C2605" i="1"/>
  <c r="D2605" i="1"/>
  <c r="E2605" i="1"/>
  <c r="A2606" i="1"/>
  <c r="B2606" i="1"/>
  <c r="C2606" i="1"/>
  <c r="D2606" i="1"/>
  <c r="E2606" i="1"/>
  <c r="A2607" i="1"/>
  <c r="B2607" i="1"/>
  <c r="C2607" i="1"/>
  <c r="D2607" i="1"/>
  <c r="E2607" i="1"/>
  <c r="A2608" i="1"/>
  <c r="B2608" i="1"/>
  <c r="C2608" i="1"/>
  <c r="D2608" i="1"/>
  <c r="E2608" i="1"/>
  <c r="A2609" i="1"/>
  <c r="B2609" i="1"/>
  <c r="C2609" i="1"/>
  <c r="D2609" i="1"/>
  <c r="E2609" i="1"/>
  <c r="A2610" i="1"/>
  <c r="B2610" i="1"/>
  <c r="C2610" i="1"/>
  <c r="D2610" i="1"/>
  <c r="E2610" i="1"/>
  <c r="A2611" i="1"/>
  <c r="B2611" i="1"/>
  <c r="C2611" i="1"/>
  <c r="D2611" i="1"/>
  <c r="E2611" i="1"/>
  <c r="A2612" i="1"/>
  <c r="B2612" i="1"/>
  <c r="C2612" i="1"/>
  <c r="D2612" i="1"/>
  <c r="E2612" i="1"/>
  <c r="A2613" i="1"/>
  <c r="B2613" i="1"/>
  <c r="C2613" i="1"/>
  <c r="D2613" i="1"/>
  <c r="E2613" i="1"/>
  <c r="A2614" i="1"/>
  <c r="B2614" i="1"/>
  <c r="C2614" i="1"/>
  <c r="D2614" i="1"/>
  <c r="E2614" i="1"/>
  <c r="A2615" i="1"/>
  <c r="B2615" i="1"/>
  <c r="C2615" i="1"/>
  <c r="D2615" i="1"/>
  <c r="E2615" i="1"/>
  <c r="A2616" i="1"/>
  <c r="B2616" i="1"/>
  <c r="C2616" i="1"/>
  <c r="D2616" i="1"/>
  <c r="E2616" i="1"/>
  <c r="A2617" i="1"/>
  <c r="B2617" i="1"/>
  <c r="C2617" i="1"/>
  <c r="D2617" i="1"/>
  <c r="E2617" i="1"/>
  <c r="A2618" i="1"/>
  <c r="B2618" i="1"/>
  <c r="C2618" i="1"/>
  <c r="D2618" i="1"/>
  <c r="E2618" i="1"/>
  <c r="A2619" i="1"/>
  <c r="B2619" i="1"/>
  <c r="C2619" i="1"/>
  <c r="D2619" i="1"/>
  <c r="E2619" i="1"/>
  <c r="A2620" i="1"/>
  <c r="B2620" i="1"/>
  <c r="C2620" i="1"/>
  <c r="D2620" i="1"/>
  <c r="E2620" i="1"/>
  <c r="A2621" i="1"/>
  <c r="B2621" i="1"/>
  <c r="C2621" i="1"/>
  <c r="D2621" i="1"/>
  <c r="E2621" i="1"/>
  <c r="A2622" i="1"/>
  <c r="B2622" i="1"/>
  <c r="C2622" i="1"/>
  <c r="D2622" i="1"/>
  <c r="E2622" i="1"/>
  <c r="A2623" i="1"/>
  <c r="B2623" i="1"/>
  <c r="C2623" i="1"/>
  <c r="D2623" i="1"/>
  <c r="E2623" i="1"/>
  <c r="A2624" i="1"/>
  <c r="B2624" i="1"/>
  <c r="C2624" i="1"/>
  <c r="D2624" i="1"/>
  <c r="E2624" i="1"/>
  <c r="A2625" i="1"/>
  <c r="B2625" i="1"/>
  <c r="C2625" i="1"/>
  <c r="D2625" i="1"/>
  <c r="E2625" i="1"/>
  <c r="A2626" i="1"/>
  <c r="B2626" i="1"/>
  <c r="C2626" i="1"/>
  <c r="D2626" i="1"/>
  <c r="E2626" i="1"/>
  <c r="A2627" i="1"/>
  <c r="B2627" i="1"/>
  <c r="C2627" i="1"/>
  <c r="D2627" i="1"/>
  <c r="E2627" i="1"/>
  <c r="A2628" i="1"/>
  <c r="B2628" i="1"/>
  <c r="C2628" i="1"/>
  <c r="D2628" i="1"/>
  <c r="E2628" i="1"/>
  <c r="A2629" i="1"/>
  <c r="B2629" i="1"/>
  <c r="C2629" i="1"/>
  <c r="D2629" i="1"/>
  <c r="E2629" i="1"/>
  <c r="A2630" i="1"/>
  <c r="B2630" i="1"/>
  <c r="C2630" i="1"/>
  <c r="D2630" i="1"/>
  <c r="E2630" i="1"/>
  <c r="A2631" i="1"/>
  <c r="B2631" i="1"/>
  <c r="C2631" i="1"/>
  <c r="D2631" i="1"/>
  <c r="E2631" i="1"/>
  <c r="A2632" i="1"/>
  <c r="B2632" i="1"/>
  <c r="C2632" i="1"/>
  <c r="D2632" i="1"/>
  <c r="E2632" i="1"/>
  <c r="A2633" i="1"/>
  <c r="B2633" i="1"/>
  <c r="C2633" i="1"/>
  <c r="D2633" i="1"/>
  <c r="E2633" i="1"/>
  <c r="A2634" i="1"/>
  <c r="B2634" i="1"/>
  <c r="C2634" i="1"/>
  <c r="D2634" i="1"/>
  <c r="E2634" i="1"/>
  <c r="A2635" i="1"/>
  <c r="B2635" i="1"/>
  <c r="C2635" i="1"/>
  <c r="D2635" i="1"/>
  <c r="E2635" i="1"/>
  <c r="A2636" i="1"/>
  <c r="B2636" i="1"/>
  <c r="C2636" i="1"/>
  <c r="D2636" i="1"/>
  <c r="E2636" i="1"/>
  <c r="A2637" i="1"/>
  <c r="B2637" i="1"/>
  <c r="C2637" i="1"/>
  <c r="D2637" i="1"/>
  <c r="E2637" i="1"/>
  <c r="A2638" i="1"/>
  <c r="B2638" i="1"/>
  <c r="C2638" i="1"/>
  <c r="D2638" i="1"/>
  <c r="E2638" i="1"/>
  <c r="A2639" i="1"/>
  <c r="B2639" i="1"/>
  <c r="C2639" i="1"/>
  <c r="D2639" i="1"/>
  <c r="E2639" i="1"/>
  <c r="A2640" i="1"/>
  <c r="B2640" i="1"/>
  <c r="C2640" i="1"/>
  <c r="D2640" i="1"/>
  <c r="E2640" i="1"/>
  <c r="A2641" i="1"/>
  <c r="B2641" i="1"/>
  <c r="C2641" i="1"/>
  <c r="D2641" i="1"/>
  <c r="E2641" i="1"/>
  <c r="A2642" i="1"/>
  <c r="B2642" i="1"/>
  <c r="C2642" i="1"/>
  <c r="D2642" i="1"/>
  <c r="E2642" i="1"/>
  <c r="A2643" i="1"/>
  <c r="B2643" i="1"/>
  <c r="C2643" i="1"/>
  <c r="D2643" i="1"/>
  <c r="E2643" i="1"/>
  <c r="A2644" i="1"/>
  <c r="B2644" i="1"/>
  <c r="C2644" i="1"/>
  <c r="D2644" i="1"/>
  <c r="E2644" i="1"/>
  <c r="A2645" i="1"/>
  <c r="B2645" i="1"/>
  <c r="C2645" i="1"/>
  <c r="D2645" i="1"/>
  <c r="E2645" i="1"/>
  <c r="A2646" i="1"/>
  <c r="B2646" i="1"/>
  <c r="C2646" i="1"/>
  <c r="D2646" i="1"/>
  <c r="E2646" i="1"/>
  <c r="A2647" i="1"/>
  <c r="B2647" i="1"/>
  <c r="C2647" i="1"/>
  <c r="D2647" i="1"/>
  <c r="E2647" i="1"/>
  <c r="A2648" i="1"/>
  <c r="B2648" i="1"/>
  <c r="C2648" i="1"/>
  <c r="D2648" i="1"/>
  <c r="E2648" i="1"/>
  <c r="A2649" i="1"/>
  <c r="B2649" i="1"/>
  <c r="C2649" i="1"/>
  <c r="D2649" i="1"/>
  <c r="E2649" i="1"/>
  <c r="A2650" i="1"/>
  <c r="B2650" i="1"/>
  <c r="C2650" i="1"/>
  <c r="D2650" i="1"/>
  <c r="E2650" i="1"/>
  <c r="A2651" i="1"/>
  <c r="B2651" i="1"/>
  <c r="C2651" i="1"/>
  <c r="D2651" i="1"/>
  <c r="E2651" i="1"/>
  <c r="A2652" i="1"/>
  <c r="B2652" i="1"/>
  <c r="C2652" i="1"/>
  <c r="D2652" i="1"/>
  <c r="E2652" i="1"/>
  <c r="A2653" i="1"/>
  <c r="B2653" i="1"/>
  <c r="C2653" i="1"/>
  <c r="D2653" i="1"/>
  <c r="E2653" i="1"/>
  <c r="A2654" i="1"/>
  <c r="B2654" i="1"/>
  <c r="C2654" i="1"/>
  <c r="D2654" i="1"/>
  <c r="E2654" i="1"/>
  <c r="A2655" i="1"/>
  <c r="B2655" i="1"/>
  <c r="C2655" i="1"/>
  <c r="D2655" i="1"/>
  <c r="E2655" i="1"/>
  <c r="A2656" i="1"/>
  <c r="B2656" i="1"/>
  <c r="C2656" i="1"/>
  <c r="D2656" i="1"/>
  <c r="E2656" i="1"/>
  <c r="A2657" i="1"/>
  <c r="B2657" i="1"/>
  <c r="C2657" i="1"/>
  <c r="D2657" i="1"/>
  <c r="E2657" i="1"/>
  <c r="A2658" i="1"/>
  <c r="B2658" i="1"/>
  <c r="C2658" i="1"/>
  <c r="D2658" i="1"/>
  <c r="E2658" i="1"/>
  <c r="A2659" i="1"/>
  <c r="B2659" i="1"/>
  <c r="C2659" i="1"/>
  <c r="D2659" i="1"/>
  <c r="E2659" i="1"/>
  <c r="A2660" i="1"/>
  <c r="B2660" i="1"/>
  <c r="C2660" i="1"/>
  <c r="D2660" i="1"/>
  <c r="E2660" i="1"/>
  <c r="A2661" i="1"/>
  <c r="B2661" i="1"/>
  <c r="C2661" i="1"/>
  <c r="D2661" i="1"/>
  <c r="E2661" i="1"/>
  <c r="A2662" i="1"/>
  <c r="B2662" i="1"/>
  <c r="C2662" i="1"/>
  <c r="D2662" i="1"/>
  <c r="E2662" i="1"/>
  <c r="A2663" i="1"/>
  <c r="B2663" i="1"/>
  <c r="C2663" i="1"/>
  <c r="D2663" i="1"/>
  <c r="E2663" i="1"/>
  <c r="A2664" i="1"/>
  <c r="B2664" i="1"/>
  <c r="C2664" i="1"/>
  <c r="D2664" i="1"/>
  <c r="E2664" i="1"/>
  <c r="A2665" i="1"/>
  <c r="B2665" i="1"/>
  <c r="C2665" i="1"/>
  <c r="D2665" i="1"/>
  <c r="E2665" i="1"/>
  <c r="A2666" i="1"/>
  <c r="B2666" i="1"/>
  <c r="C2666" i="1"/>
  <c r="D2666" i="1"/>
  <c r="E2666" i="1"/>
  <c r="A2667" i="1"/>
  <c r="B2667" i="1"/>
  <c r="C2667" i="1"/>
  <c r="D2667" i="1"/>
  <c r="E2667" i="1"/>
  <c r="A2668" i="1"/>
  <c r="B2668" i="1"/>
  <c r="C2668" i="1"/>
  <c r="D2668" i="1"/>
  <c r="E2668" i="1"/>
  <c r="A2669" i="1"/>
  <c r="B2669" i="1"/>
  <c r="C2669" i="1"/>
  <c r="D2669" i="1"/>
  <c r="E2669" i="1"/>
  <c r="A2670" i="1"/>
  <c r="B2670" i="1"/>
  <c r="C2670" i="1"/>
  <c r="D2670" i="1"/>
  <c r="E2670" i="1"/>
  <c r="A2671" i="1"/>
  <c r="B2671" i="1"/>
  <c r="C2671" i="1"/>
  <c r="D2671" i="1"/>
  <c r="E2671" i="1"/>
  <c r="A2672" i="1"/>
  <c r="B2672" i="1"/>
  <c r="C2672" i="1"/>
  <c r="D2672" i="1"/>
  <c r="E2672" i="1"/>
  <c r="A2673" i="1"/>
  <c r="B2673" i="1"/>
  <c r="C2673" i="1"/>
  <c r="D2673" i="1"/>
  <c r="E2673" i="1"/>
  <c r="A2674" i="1"/>
  <c r="B2674" i="1"/>
  <c r="C2674" i="1"/>
  <c r="D2674" i="1"/>
  <c r="E2674" i="1"/>
  <c r="A2675" i="1"/>
  <c r="B2675" i="1"/>
  <c r="C2675" i="1"/>
  <c r="D2675" i="1"/>
  <c r="E2675" i="1"/>
  <c r="A2676" i="1"/>
  <c r="B2676" i="1"/>
  <c r="C2676" i="1"/>
  <c r="D2676" i="1"/>
  <c r="E2676" i="1"/>
  <c r="A2677" i="1"/>
  <c r="B2677" i="1"/>
  <c r="C2677" i="1"/>
  <c r="D2677" i="1"/>
  <c r="E2677" i="1"/>
  <c r="A2678" i="1"/>
  <c r="B2678" i="1"/>
  <c r="C2678" i="1"/>
  <c r="D2678" i="1"/>
  <c r="E2678" i="1"/>
  <c r="A2679" i="1"/>
  <c r="B2679" i="1"/>
  <c r="C2679" i="1"/>
  <c r="D2679" i="1"/>
  <c r="E2679" i="1"/>
  <c r="A2680" i="1"/>
  <c r="B2680" i="1"/>
  <c r="C2680" i="1"/>
  <c r="D2680" i="1"/>
  <c r="E2680" i="1"/>
  <c r="A2681" i="1"/>
  <c r="B2681" i="1"/>
  <c r="C2681" i="1"/>
  <c r="D2681" i="1"/>
  <c r="E2681" i="1"/>
  <c r="A2682" i="1"/>
  <c r="B2682" i="1"/>
  <c r="C2682" i="1"/>
  <c r="D2682" i="1"/>
  <c r="E2682" i="1"/>
  <c r="A2683" i="1"/>
  <c r="B2683" i="1"/>
  <c r="C2683" i="1"/>
  <c r="D2683" i="1"/>
  <c r="E2683" i="1"/>
  <c r="A2684" i="1"/>
  <c r="B2684" i="1"/>
  <c r="C2684" i="1"/>
  <c r="D2684" i="1"/>
  <c r="E2684" i="1"/>
  <c r="A2685" i="1"/>
  <c r="B2685" i="1"/>
  <c r="C2685" i="1"/>
  <c r="D2685" i="1"/>
  <c r="E2685" i="1"/>
  <c r="A2686" i="1"/>
  <c r="B2686" i="1"/>
  <c r="C2686" i="1"/>
  <c r="D2686" i="1"/>
  <c r="E2686" i="1"/>
  <c r="A2687" i="1"/>
  <c r="B2687" i="1"/>
  <c r="C2687" i="1"/>
  <c r="D2687" i="1"/>
  <c r="E2687" i="1"/>
  <c r="A2688" i="1"/>
  <c r="B2688" i="1"/>
  <c r="C2688" i="1"/>
  <c r="D2688" i="1"/>
  <c r="E2688" i="1"/>
  <c r="A2689" i="1"/>
  <c r="B2689" i="1"/>
  <c r="C2689" i="1"/>
  <c r="D2689" i="1"/>
  <c r="E2689" i="1"/>
  <c r="A2690" i="1"/>
  <c r="B2690" i="1"/>
  <c r="C2690" i="1"/>
  <c r="D2690" i="1"/>
  <c r="E2690" i="1"/>
  <c r="A2691" i="1"/>
  <c r="B2691" i="1"/>
  <c r="C2691" i="1"/>
  <c r="D2691" i="1"/>
  <c r="E2691" i="1"/>
  <c r="A2692" i="1"/>
  <c r="B2692" i="1"/>
  <c r="C2692" i="1"/>
  <c r="D2692" i="1"/>
  <c r="E2692" i="1"/>
  <c r="A2693" i="1"/>
  <c r="B2693" i="1"/>
  <c r="C2693" i="1"/>
  <c r="D2693" i="1"/>
  <c r="E2693" i="1"/>
  <c r="A2694" i="1"/>
  <c r="B2694" i="1"/>
  <c r="C2694" i="1"/>
  <c r="D2694" i="1"/>
  <c r="E2694" i="1"/>
  <c r="A2695" i="1"/>
  <c r="B2695" i="1"/>
  <c r="C2695" i="1"/>
  <c r="D2695" i="1"/>
  <c r="E2695" i="1"/>
  <c r="A2696" i="1"/>
  <c r="B2696" i="1"/>
  <c r="C2696" i="1"/>
  <c r="D2696" i="1"/>
  <c r="E2696" i="1"/>
  <c r="A2697" i="1"/>
  <c r="B2697" i="1"/>
  <c r="C2697" i="1"/>
  <c r="D2697" i="1"/>
  <c r="E2697" i="1"/>
  <c r="A2698" i="1"/>
  <c r="B2698" i="1"/>
  <c r="C2698" i="1"/>
  <c r="D2698" i="1"/>
  <c r="E2698" i="1"/>
  <c r="A2699" i="1"/>
  <c r="B2699" i="1"/>
  <c r="C2699" i="1"/>
  <c r="D2699" i="1"/>
  <c r="E2699" i="1"/>
  <c r="A2700" i="1"/>
  <c r="B2700" i="1"/>
  <c r="C2700" i="1"/>
  <c r="D2700" i="1"/>
  <c r="E2700" i="1"/>
  <c r="A2701" i="1"/>
  <c r="B2701" i="1"/>
  <c r="C2701" i="1"/>
  <c r="D2701" i="1"/>
  <c r="E2701" i="1"/>
  <c r="A2702" i="1"/>
  <c r="B2702" i="1"/>
  <c r="C2702" i="1"/>
  <c r="D2702" i="1"/>
  <c r="E2702" i="1"/>
  <c r="A2703" i="1"/>
  <c r="B2703" i="1"/>
  <c r="C2703" i="1"/>
  <c r="D2703" i="1"/>
  <c r="E2703" i="1"/>
  <c r="A2704" i="1"/>
  <c r="B2704" i="1"/>
  <c r="C2704" i="1"/>
  <c r="D2704" i="1"/>
  <c r="E2704" i="1"/>
  <c r="A2705" i="1"/>
  <c r="B2705" i="1"/>
  <c r="C2705" i="1"/>
  <c r="D2705" i="1"/>
  <c r="E2705" i="1"/>
  <c r="A2706" i="1"/>
  <c r="B2706" i="1"/>
  <c r="C2706" i="1"/>
  <c r="D2706" i="1"/>
  <c r="E2706" i="1"/>
  <c r="A2707" i="1"/>
  <c r="B2707" i="1"/>
  <c r="C2707" i="1"/>
  <c r="D2707" i="1"/>
  <c r="E2707" i="1"/>
  <c r="A2708" i="1"/>
  <c r="B2708" i="1"/>
  <c r="C2708" i="1"/>
  <c r="D2708" i="1"/>
  <c r="E2708" i="1"/>
  <c r="A2709" i="1"/>
  <c r="B2709" i="1"/>
  <c r="C2709" i="1"/>
  <c r="D2709" i="1"/>
  <c r="E2709" i="1"/>
  <c r="A2710" i="1"/>
  <c r="B2710" i="1"/>
  <c r="C2710" i="1"/>
  <c r="D2710" i="1"/>
  <c r="E2710" i="1"/>
  <c r="A2711" i="1"/>
  <c r="B2711" i="1"/>
  <c r="C2711" i="1"/>
  <c r="D2711" i="1"/>
  <c r="E2711" i="1"/>
  <c r="A2712" i="1"/>
  <c r="B2712" i="1"/>
  <c r="C2712" i="1"/>
  <c r="D2712" i="1"/>
  <c r="E2712" i="1"/>
  <c r="A2713" i="1"/>
  <c r="B2713" i="1"/>
  <c r="C2713" i="1"/>
  <c r="D2713" i="1"/>
  <c r="E2713" i="1"/>
  <c r="A2714" i="1"/>
  <c r="B2714" i="1"/>
  <c r="C2714" i="1"/>
  <c r="D2714" i="1"/>
  <c r="E2714" i="1"/>
  <c r="A2715" i="1"/>
  <c r="B2715" i="1"/>
  <c r="C2715" i="1"/>
  <c r="D2715" i="1"/>
  <c r="E2715" i="1"/>
  <c r="A2716" i="1"/>
  <c r="B2716" i="1"/>
  <c r="C2716" i="1"/>
  <c r="D2716" i="1"/>
  <c r="E2716" i="1"/>
  <c r="A2717" i="1"/>
  <c r="B2717" i="1"/>
  <c r="C2717" i="1"/>
  <c r="D2717" i="1"/>
  <c r="E2717" i="1"/>
  <c r="A2718" i="1"/>
  <c r="B2718" i="1"/>
  <c r="C2718" i="1"/>
  <c r="D2718" i="1"/>
  <c r="E2718" i="1"/>
  <c r="A2719" i="1"/>
  <c r="B2719" i="1"/>
  <c r="C2719" i="1"/>
  <c r="D2719" i="1"/>
  <c r="E2719" i="1"/>
  <c r="A2720" i="1"/>
  <c r="B2720" i="1"/>
  <c r="C2720" i="1"/>
  <c r="D2720" i="1"/>
  <c r="E2720" i="1"/>
  <c r="A2721" i="1"/>
  <c r="B2721" i="1"/>
  <c r="C2721" i="1"/>
  <c r="D2721" i="1"/>
  <c r="E2721" i="1"/>
  <c r="A2722" i="1"/>
  <c r="B2722" i="1"/>
  <c r="C2722" i="1"/>
  <c r="D2722" i="1"/>
  <c r="E2722" i="1"/>
  <c r="A2723" i="1"/>
  <c r="B2723" i="1"/>
  <c r="C2723" i="1"/>
  <c r="D2723" i="1"/>
  <c r="E2723" i="1"/>
  <c r="A2724" i="1"/>
  <c r="B2724" i="1"/>
  <c r="C2724" i="1"/>
  <c r="D2724" i="1"/>
  <c r="E2724" i="1"/>
  <c r="A2725" i="1"/>
  <c r="B2725" i="1"/>
  <c r="C2725" i="1"/>
  <c r="D2725" i="1"/>
  <c r="E2725" i="1"/>
  <c r="A2726" i="1"/>
  <c r="B2726" i="1"/>
  <c r="C2726" i="1"/>
  <c r="D2726" i="1"/>
  <c r="E2726" i="1"/>
  <c r="A2727" i="1"/>
  <c r="B2727" i="1"/>
  <c r="C2727" i="1"/>
  <c r="D2727" i="1"/>
  <c r="E2727" i="1"/>
  <c r="A2728" i="1"/>
  <c r="B2728" i="1"/>
  <c r="C2728" i="1"/>
  <c r="D2728" i="1"/>
  <c r="E2728" i="1"/>
  <c r="A2729" i="1"/>
  <c r="B2729" i="1"/>
  <c r="C2729" i="1"/>
  <c r="D2729" i="1"/>
  <c r="E2729" i="1"/>
  <c r="A2730" i="1"/>
  <c r="B2730" i="1"/>
  <c r="C2730" i="1"/>
  <c r="D2730" i="1"/>
  <c r="E2730" i="1"/>
  <c r="A2731" i="1"/>
  <c r="B2731" i="1"/>
  <c r="C2731" i="1"/>
  <c r="D2731" i="1"/>
  <c r="E2731" i="1"/>
  <c r="A2732" i="1"/>
  <c r="B2732" i="1"/>
  <c r="C2732" i="1"/>
  <c r="D2732" i="1"/>
  <c r="E2732" i="1"/>
  <c r="A2733" i="1"/>
  <c r="B2733" i="1"/>
  <c r="C2733" i="1"/>
  <c r="D2733" i="1"/>
  <c r="E2733" i="1"/>
  <c r="A2734" i="1"/>
  <c r="B2734" i="1"/>
  <c r="C2734" i="1"/>
  <c r="D2734" i="1"/>
  <c r="E2734" i="1"/>
  <c r="A2735" i="1"/>
  <c r="B2735" i="1"/>
  <c r="C2735" i="1"/>
  <c r="D2735" i="1"/>
  <c r="E2735" i="1"/>
  <c r="A2736" i="1"/>
  <c r="B2736" i="1"/>
  <c r="C2736" i="1"/>
  <c r="D2736" i="1"/>
  <c r="E2736" i="1"/>
  <c r="A2737" i="1"/>
  <c r="B2737" i="1"/>
  <c r="C2737" i="1"/>
  <c r="D2737" i="1"/>
  <c r="E2737" i="1"/>
  <c r="A2738" i="1"/>
  <c r="B2738" i="1"/>
  <c r="C2738" i="1"/>
  <c r="D2738" i="1"/>
  <c r="E2738" i="1"/>
  <c r="A2739" i="1"/>
  <c r="B2739" i="1"/>
  <c r="C2739" i="1"/>
  <c r="D2739" i="1"/>
  <c r="E2739" i="1"/>
  <c r="A2740" i="1"/>
  <c r="B2740" i="1"/>
  <c r="C2740" i="1"/>
  <c r="D2740" i="1"/>
  <c r="E2740" i="1"/>
  <c r="A2741" i="1"/>
  <c r="B2741" i="1"/>
  <c r="C2741" i="1"/>
  <c r="D2741" i="1"/>
  <c r="E2741" i="1"/>
  <c r="A2742" i="1"/>
  <c r="B2742" i="1"/>
  <c r="C2742" i="1"/>
  <c r="D2742" i="1"/>
  <c r="E2742" i="1"/>
  <c r="A2743" i="1"/>
  <c r="B2743" i="1"/>
  <c r="C2743" i="1"/>
  <c r="D2743" i="1"/>
  <c r="E2743" i="1"/>
  <c r="A2744" i="1"/>
  <c r="B2744" i="1"/>
  <c r="C2744" i="1"/>
  <c r="D2744" i="1"/>
  <c r="E2744" i="1"/>
  <c r="A2745" i="1"/>
  <c r="B2745" i="1"/>
  <c r="C2745" i="1"/>
  <c r="D2745" i="1"/>
  <c r="E2745" i="1"/>
  <c r="A2746" i="1"/>
  <c r="B2746" i="1"/>
  <c r="C2746" i="1"/>
  <c r="D2746" i="1"/>
  <c r="E2746" i="1"/>
  <c r="A2747" i="1"/>
  <c r="B2747" i="1"/>
  <c r="C2747" i="1"/>
  <c r="D2747" i="1"/>
  <c r="E2747" i="1"/>
  <c r="A2748" i="1"/>
  <c r="B2748" i="1"/>
  <c r="C2748" i="1"/>
  <c r="D2748" i="1"/>
  <c r="E2748" i="1"/>
  <c r="A2749" i="1"/>
  <c r="B2749" i="1"/>
  <c r="C2749" i="1"/>
  <c r="D2749" i="1"/>
  <c r="E2749" i="1"/>
  <c r="A2750" i="1"/>
  <c r="B2750" i="1"/>
  <c r="C2750" i="1"/>
  <c r="D2750" i="1"/>
  <c r="E2750" i="1"/>
  <c r="A2751" i="1"/>
  <c r="B2751" i="1"/>
  <c r="C2751" i="1"/>
  <c r="D2751" i="1"/>
  <c r="E2751" i="1"/>
  <c r="A2752" i="1"/>
  <c r="B2752" i="1"/>
  <c r="C2752" i="1"/>
  <c r="D2752" i="1"/>
  <c r="E2752" i="1"/>
  <c r="A2753" i="1"/>
  <c r="B2753" i="1"/>
  <c r="C2753" i="1"/>
  <c r="D2753" i="1"/>
  <c r="E2753" i="1"/>
  <c r="A2754" i="1"/>
  <c r="B2754" i="1"/>
  <c r="C2754" i="1"/>
  <c r="D2754" i="1"/>
  <c r="E2754" i="1"/>
  <c r="A2755" i="1"/>
  <c r="B2755" i="1"/>
  <c r="C2755" i="1"/>
  <c r="D2755" i="1"/>
  <c r="E2755" i="1"/>
  <c r="A2756" i="1"/>
  <c r="B2756" i="1"/>
  <c r="C2756" i="1"/>
  <c r="D2756" i="1"/>
  <c r="E2756" i="1"/>
  <c r="A2757" i="1"/>
  <c r="B2757" i="1"/>
  <c r="C2757" i="1"/>
  <c r="D2757" i="1"/>
  <c r="E2757" i="1"/>
  <c r="A2758" i="1"/>
  <c r="B2758" i="1"/>
  <c r="C2758" i="1"/>
  <c r="D2758" i="1"/>
  <c r="E2758" i="1"/>
  <c r="A2759" i="1"/>
  <c r="B2759" i="1"/>
  <c r="C2759" i="1"/>
  <c r="D2759" i="1"/>
  <c r="E2759" i="1"/>
  <c r="A2760" i="1"/>
  <c r="B2760" i="1"/>
  <c r="C2760" i="1"/>
  <c r="D2760" i="1"/>
  <c r="E2760" i="1"/>
  <c r="A2761" i="1"/>
  <c r="B2761" i="1"/>
  <c r="C2761" i="1"/>
  <c r="D2761" i="1"/>
  <c r="E2761" i="1"/>
  <c r="A2762" i="1"/>
  <c r="B2762" i="1"/>
  <c r="C2762" i="1"/>
  <c r="D2762" i="1"/>
  <c r="E2762" i="1"/>
  <c r="A2763" i="1"/>
  <c r="B2763" i="1"/>
  <c r="C2763" i="1"/>
  <c r="D2763" i="1"/>
  <c r="E2763" i="1"/>
  <c r="A2764" i="1"/>
  <c r="B2764" i="1"/>
  <c r="C2764" i="1"/>
  <c r="D2764" i="1"/>
  <c r="E2764" i="1"/>
  <c r="A2765" i="1"/>
  <c r="B2765" i="1"/>
  <c r="C2765" i="1"/>
  <c r="D2765" i="1"/>
  <c r="E2765" i="1"/>
  <c r="A2766" i="1"/>
  <c r="B2766" i="1"/>
  <c r="C2766" i="1"/>
  <c r="D2766" i="1"/>
  <c r="E2766" i="1"/>
  <c r="A2767" i="1"/>
  <c r="B2767" i="1"/>
  <c r="C2767" i="1"/>
  <c r="D2767" i="1"/>
  <c r="E2767" i="1"/>
  <c r="A2768" i="1"/>
  <c r="B2768" i="1"/>
  <c r="C2768" i="1"/>
  <c r="D2768" i="1"/>
  <c r="E2768" i="1"/>
  <c r="A2769" i="1"/>
  <c r="B2769" i="1"/>
  <c r="C2769" i="1"/>
  <c r="D2769" i="1"/>
  <c r="E2769" i="1"/>
  <c r="A2770" i="1"/>
  <c r="B2770" i="1"/>
  <c r="C2770" i="1"/>
  <c r="D2770" i="1"/>
  <c r="E2770" i="1"/>
  <c r="A2771" i="1"/>
  <c r="B2771" i="1"/>
  <c r="C2771" i="1"/>
  <c r="D2771" i="1"/>
  <c r="E2771" i="1"/>
  <c r="A2772" i="1"/>
  <c r="B2772" i="1"/>
  <c r="C2772" i="1"/>
  <c r="D2772" i="1"/>
  <c r="E2772" i="1"/>
  <c r="A2773" i="1"/>
  <c r="B2773" i="1"/>
  <c r="C2773" i="1"/>
  <c r="D2773" i="1"/>
  <c r="E2773" i="1"/>
  <c r="A2774" i="1"/>
  <c r="B2774" i="1"/>
  <c r="C2774" i="1"/>
  <c r="D2774" i="1"/>
  <c r="E2774" i="1"/>
  <c r="A2775" i="1"/>
  <c r="B2775" i="1"/>
  <c r="C2775" i="1"/>
  <c r="D2775" i="1"/>
  <c r="E2775" i="1"/>
  <c r="A2776" i="1"/>
  <c r="B2776" i="1"/>
  <c r="C2776" i="1"/>
  <c r="D2776" i="1"/>
  <c r="E2776" i="1"/>
  <c r="A2777" i="1"/>
  <c r="B2777" i="1"/>
  <c r="C2777" i="1"/>
  <c r="D2777" i="1"/>
  <c r="E2777" i="1"/>
  <c r="A2778" i="1"/>
  <c r="B2778" i="1"/>
  <c r="C2778" i="1"/>
  <c r="D2778" i="1"/>
  <c r="E2778" i="1"/>
  <c r="A2779" i="1"/>
  <c r="B2779" i="1"/>
  <c r="C2779" i="1"/>
  <c r="D2779" i="1"/>
  <c r="E2779" i="1"/>
  <c r="A2780" i="1"/>
  <c r="B2780" i="1"/>
  <c r="C2780" i="1"/>
  <c r="D2780" i="1"/>
  <c r="E2780" i="1"/>
  <c r="A2781" i="1"/>
  <c r="B2781" i="1"/>
  <c r="C2781" i="1"/>
  <c r="D2781" i="1"/>
  <c r="E2781" i="1"/>
  <c r="A2782" i="1"/>
  <c r="B2782" i="1"/>
  <c r="C2782" i="1"/>
  <c r="D2782" i="1"/>
  <c r="E2782" i="1"/>
  <c r="A2783" i="1"/>
  <c r="B2783" i="1"/>
  <c r="C2783" i="1"/>
  <c r="D2783" i="1"/>
  <c r="E2783" i="1"/>
  <c r="A2784" i="1"/>
  <c r="B2784" i="1"/>
  <c r="C2784" i="1"/>
  <c r="D2784" i="1"/>
  <c r="E2784" i="1"/>
  <c r="A2785" i="1"/>
  <c r="B2785" i="1"/>
  <c r="C2785" i="1"/>
  <c r="D2785" i="1"/>
  <c r="E2785" i="1"/>
  <c r="A2786" i="1"/>
  <c r="B2786" i="1"/>
  <c r="C2786" i="1"/>
  <c r="D2786" i="1"/>
  <c r="E2786" i="1"/>
  <c r="A2787" i="1"/>
  <c r="B2787" i="1"/>
  <c r="C2787" i="1"/>
  <c r="D2787" i="1"/>
  <c r="E2787" i="1"/>
  <c r="A2788" i="1"/>
  <c r="B2788" i="1"/>
  <c r="C2788" i="1"/>
  <c r="D2788" i="1"/>
  <c r="E2788" i="1"/>
  <c r="A2789" i="1"/>
  <c r="B2789" i="1"/>
  <c r="C2789" i="1"/>
  <c r="D2789" i="1"/>
  <c r="E2789" i="1"/>
  <c r="A2790" i="1"/>
  <c r="B2790" i="1"/>
  <c r="C2790" i="1"/>
  <c r="D2790" i="1"/>
  <c r="E2790" i="1"/>
  <c r="A2791" i="1"/>
  <c r="B2791" i="1"/>
  <c r="C2791" i="1"/>
  <c r="D2791" i="1"/>
  <c r="E2791" i="1"/>
  <c r="A2792" i="1"/>
  <c r="B2792" i="1"/>
  <c r="C2792" i="1"/>
  <c r="D2792" i="1"/>
  <c r="E2792" i="1"/>
  <c r="A2793" i="1"/>
  <c r="B2793" i="1"/>
  <c r="C2793" i="1"/>
  <c r="D2793" i="1"/>
  <c r="E2793" i="1"/>
  <c r="A2794" i="1"/>
  <c r="B2794" i="1"/>
  <c r="C2794" i="1"/>
  <c r="D2794" i="1"/>
  <c r="E2794" i="1"/>
  <c r="A2795" i="1"/>
  <c r="B2795" i="1"/>
  <c r="C2795" i="1"/>
  <c r="D2795" i="1"/>
  <c r="E2795" i="1"/>
  <c r="A2796" i="1"/>
  <c r="B2796" i="1"/>
  <c r="C2796" i="1"/>
  <c r="D2796" i="1"/>
  <c r="E2796" i="1"/>
  <c r="A2797" i="1"/>
  <c r="B2797" i="1"/>
  <c r="C2797" i="1"/>
  <c r="D2797" i="1"/>
  <c r="E2797" i="1"/>
  <c r="A2798" i="1"/>
  <c r="B2798" i="1"/>
  <c r="C2798" i="1"/>
  <c r="D2798" i="1"/>
  <c r="E2798" i="1"/>
  <c r="A2799" i="1"/>
  <c r="B2799" i="1"/>
  <c r="C2799" i="1"/>
  <c r="D2799" i="1"/>
  <c r="E2799" i="1"/>
  <c r="A2800" i="1"/>
  <c r="B2800" i="1"/>
  <c r="C2800" i="1"/>
  <c r="D2800" i="1"/>
  <c r="E2800" i="1"/>
  <c r="A2801" i="1"/>
  <c r="B2801" i="1"/>
  <c r="C2801" i="1"/>
  <c r="D2801" i="1"/>
  <c r="E2801" i="1"/>
  <c r="A2802" i="1"/>
  <c r="B2802" i="1"/>
  <c r="C2802" i="1"/>
  <c r="D2802" i="1"/>
  <c r="E2802" i="1"/>
  <c r="A2803" i="1"/>
  <c r="B2803" i="1"/>
  <c r="C2803" i="1"/>
  <c r="D2803" i="1"/>
  <c r="E2803" i="1"/>
  <c r="A2804" i="1"/>
  <c r="B2804" i="1"/>
  <c r="C2804" i="1"/>
  <c r="D2804" i="1"/>
  <c r="E2804" i="1"/>
  <c r="A2805" i="1"/>
  <c r="B2805" i="1"/>
  <c r="C2805" i="1"/>
  <c r="D2805" i="1"/>
  <c r="E2805" i="1"/>
  <c r="A2806" i="1"/>
  <c r="B2806" i="1"/>
  <c r="C2806" i="1"/>
  <c r="D2806" i="1"/>
  <c r="E2806" i="1"/>
  <c r="A2807" i="1"/>
  <c r="B2807" i="1"/>
  <c r="C2807" i="1"/>
  <c r="D2807" i="1"/>
  <c r="E2807" i="1"/>
  <c r="A2808" i="1"/>
  <c r="B2808" i="1"/>
  <c r="C2808" i="1"/>
  <c r="D2808" i="1"/>
  <c r="E2808" i="1"/>
  <c r="A2809" i="1"/>
  <c r="B2809" i="1"/>
  <c r="C2809" i="1"/>
  <c r="D2809" i="1"/>
  <c r="E2809" i="1"/>
  <c r="A2810" i="1"/>
  <c r="B2810" i="1"/>
  <c r="C2810" i="1"/>
  <c r="D2810" i="1"/>
  <c r="E2810" i="1"/>
  <c r="A2811" i="1"/>
  <c r="B2811" i="1"/>
  <c r="C2811" i="1"/>
  <c r="D2811" i="1"/>
  <c r="E2811" i="1"/>
  <c r="A2812" i="1"/>
  <c r="B2812" i="1"/>
  <c r="C2812" i="1"/>
  <c r="D2812" i="1"/>
  <c r="E2812" i="1"/>
  <c r="A2813" i="1"/>
  <c r="B2813" i="1"/>
  <c r="C2813" i="1"/>
  <c r="D2813" i="1"/>
  <c r="E2813" i="1"/>
  <c r="A2814" i="1"/>
  <c r="B2814" i="1"/>
  <c r="C2814" i="1"/>
  <c r="D2814" i="1"/>
  <c r="E2814" i="1"/>
  <c r="A2815" i="1"/>
  <c r="B2815" i="1"/>
  <c r="C2815" i="1"/>
  <c r="D2815" i="1"/>
  <c r="E2815" i="1"/>
  <c r="A2816" i="1"/>
  <c r="B2816" i="1"/>
  <c r="C2816" i="1"/>
  <c r="D2816" i="1"/>
  <c r="E2816" i="1"/>
  <c r="A2817" i="1"/>
  <c r="B2817" i="1"/>
  <c r="C2817" i="1"/>
  <c r="D2817" i="1"/>
  <c r="E2817" i="1"/>
  <c r="A2818" i="1"/>
  <c r="B2818" i="1"/>
  <c r="C2818" i="1"/>
  <c r="D2818" i="1"/>
  <c r="E2818" i="1"/>
  <c r="A2819" i="1"/>
  <c r="B2819" i="1"/>
  <c r="C2819" i="1"/>
  <c r="D2819" i="1"/>
  <c r="E2819" i="1"/>
  <c r="A2820" i="1"/>
  <c r="B2820" i="1"/>
  <c r="C2820" i="1"/>
  <c r="D2820" i="1"/>
  <c r="E2820" i="1"/>
  <c r="A2821" i="1"/>
  <c r="B2821" i="1"/>
  <c r="C2821" i="1"/>
  <c r="D2821" i="1"/>
  <c r="E2821" i="1"/>
  <c r="A2822" i="1"/>
  <c r="B2822" i="1"/>
  <c r="C2822" i="1"/>
  <c r="D2822" i="1"/>
  <c r="E2822" i="1"/>
  <c r="A2823" i="1"/>
  <c r="B2823" i="1"/>
  <c r="C2823" i="1"/>
  <c r="D2823" i="1"/>
  <c r="E2823" i="1"/>
  <c r="A2824" i="1"/>
  <c r="B2824" i="1"/>
  <c r="C2824" i="1"/>
  <c r="D2824" i="1"/>
  <c r="E2824" i="1"/>
  <c r="A2825" i="1"/>
  <c r="B2825" i="1"/>
  <c r="C2825" i="1"/>
  <c r="D2825" i="1"/>
  <c r="E2825" i="1"/>
  <c r="A2826" i="1"/>
  <c r="B2826" i="1"/>
  <c r="C2826" i="1"/>
  <c r="D2826" i="1"/>
  <c r="E2826" i="1"/>
  <c r="A2827" i="1"/>
  <c r="B2827" i="1"/>
  <c r="C2827" i="1"/>
  <c r="D2827" i="1"/>
  <c r="E2827" i="1"/>
  <c r="A2828" i="1"/>
  <c r="B2828" i="1"/>
  <c r="C2828" i="1"/>
  <c r="D2828" i="1"/>
  <c r="E2828" i="1"/>
  <c r="A2829" i="1"/>
  <c r="B2829" i="1"/>
  <c r="C2829" i="1"/>
  <c r="D2829" i="1"/>
  <c r="E2829" i="1"/>
  <c r="A2830" i="1"/>
  <c r="B2830" i="1"/>
  <c r="C2830" i="1"/>
  <c r="D2830" i="1"/>
  <c r="E2830" i="1"/>
  <c r="A2831" i="1"/>
  <c r="B2831" i="1"/>
  <c r="C2831" i="1"/>
  <c r="D2831" i="1"/>
  <c r="E2831" i="1"/>
  <c r="A2832" i="1"/>
  <c r="B2832" i="1"/>
  <c r="C2832" i="1"/>
  <c r="D2832" i="1"/>
  <c r="E2832" i="1"/>
  <c r="A2833" i="1"/>
  <c r="B2833" i="1"/>
  <c r="C2833" i="1"/>
  <c r="D2833" i="1"/>
  <c r="E2833" i="1"/>
  <c r="A2834" i="1"/>
  <c r="B2834" i="1"/>
  <c r="C2834" i="1"/>
  <c r="D2834" i="1"/>
  <c r="E2834" i="1"/>
  <c r="A2835" i="1"/>
  <c r="B2835" i="1"/>
  <c r="C2835" i="1"/>
  <c r="D2835" i="1"/>
  <c r="E2835" i="1"/>
  <c r="A2836" i="1"/>
  <c r="B2836" i="1"/>
  <c r="C2836" i="1"/>
  <c r="D2836" i="1"/>
  <c r="E2836" i="1"/>
  <c r="A2837" i="1"/>
  <c r="B2837" i="1"/>
  <c r="C2837" i="1"/>
  <c r="D2837" i="1"/>
  <c r="E2837" i="1"/>
  <c r="A2838" i="1"/>
  <c r="B2838" i="1"/>
  <c r="C2838" i="1"/>
  <c r="D2838" i="1"/>
  <c r="E2838" i="1"/>
  <c r="A2839" i="1"/>
  <c r="B2839" i="1"/>
  <c r="C2839" i="1"/>
  <c r="D2839" i="1"/>
  <c r="E2839" i="1"/>
  <c r="A2840" i="1"/>
  <c r="B2840" i="1"/>
  <c r="C2840" i="1"/>
  <c r="D2840" i="1"/>
  <c r="E2840" i="1"/>
  <c r="A2841" i="1"/>
  <c r="B2841" i="1"/>
  <c r="C2841" i="1"/>
  <c r="D2841" i="1"/>
  <c r="E2841" i="1"/>
  <c r="A2842" i="1"/>
  <c r="B2842" i="1"/>
  <c r="C2842" i="1"/>
  <c r="D2842" i="1"/>
  <c r="E2842" i="1"/>
  <c r="A2843" i="1"/>
  <c r="B2843" i="1"/>
  <c r="C2843" i="1"/>
  <c r="D2843" i="1"/>
  <c r="E2843" i="1"/>
  <c r="A2844" i="1"/>
  <c r="B2844" i="1"/>
  <c r="C2844" i="1"/>
  <c r="D2844" i="1"/>
  <c r="E2844" i="1"/>
  <c r="A2845" i="1"/>
  <c r="B2845" i="1"/>
  <c r="C2845" i="1"/>
  <c r="D2845" i="1"/>
  <c r="E2845" i="1"/>
  <c r="A2846" i="1"/>
  <c r="B2846" i="1"/>
  <c r="C2846" i="1"/>
  <c r="D2846" i="1"/>
  <c r="E2846" i="1"/>
  <c r="A2847" i="1"/>
  <c r="B2847" i="1"/>
  <c r="C2847" i="1"/>
  <c r="D2847" i="1"/>
  <c r="E2847" i="1"/>
  <c r="A2848" i="1"/>
  <c r="B2848" i="1"/>
  <c r="C2848" i="1"/>
  <c r="D2848" i="1"/>
  <c r="E2848" i="1"/>
  <c r="A2849" i="1"/>
  <c r="B2849" i="1"/>
  <c r="C2849" i="1"/>
  <c r="D2849" i="1"/>
  <c r="E2849" i="1"/>
  <c r="A2850" i="1"/>
  <c r="B2850" i="1"/>
  <c r="C2850" i="1"/>
  <c r="D2850" i="1"/>
  <c r="E2850" i="1"/>
  <c r="A2851" i="1"/>
  <c r="B2851" i="1"/>
  <c r="C2851" i="1"/>
  <c r="D2851" i="1"/>
  <c r="E2851" i="1"/>
  <c r="A2852" i="1"/>
  <c r="B2852" i="1"/>
  <c r="C2852" i="1"/>
  <c r="D2852" i="1"/>
  <c r="E2852" i="1"/>
  <c r="A2853" i="1"/>
  <c r="B2853" i="1"/>
  <c r="C2853" i="1"/>
  <c r="D2853" i="1"/>
  <c r="E2853" i="1"/>
  <c r="A2854" i="1"/>
  <c r="B2854" i="1"/>
  <c r="C2854" i="1"/>
  <c r="D2854" i="1"/>
  <c r="E2854" i="1"/>
  <c r="A2855" i="1"/>
  <c r="B2855" i="1"/>
  <c r="C2855" i="1"/>
  <c r="D2855" i="1"/>
  <c r="E2855" i="1"/>
  <c r="A2856" i="1"/>
  <c r="B2856" i="1"/>
  <c r="C2856" i="1"/>
  <c r="D2856" i="1"/>
  <c r="E2856" i="1"/>
  <c r="A2857" i="1"/>
  <c r="B2857" i="1"/>
  <c r="C2857" i="1"/>
  <c r="D2857" i="1"/>
  <c r="E2857" i="1"/>
  <c r="A2858" i="1"/>
  <c r="B2858" i="1"/>
  <c r="C2858" i="1"/>
  <c r="D2858" i="1"/>
  <c r="E2858" i="1"/>
  <c r="A2859" i="1"/>
  <c r="B2859" i="1"/>
  <c r="C2859" i="1"/>
  <c r="D2859" i="1"/>
  <c r="E2859" i="1"/>
  <c r="A2860" i="1"/>
  <c r="B2860" i="1"/>
  <c r="C2860" i="1"/>
  <c r="D2860" i="1"/>
  <c r="E2860" i="1"/>
  <c r="A2861" i="1"/>
  <c r="B2861" i="1"/>
  <c r="C2861" i="1"/>
  <c r="D2861" i="1"/>
  <c r="E2861" i="1"/>
  <c r="A2862" i="1"/>
  <c r="B2862" i="1"/>
  <c r="C2862" i="1"/>
  <c r="D2862" i="1"/>
  <c r="E2862" i="1"/>
  <c r="A2863" i="1"/>
  <c r="B2863" i="1"/>
  <c r="C2863" i="1"/>
  <c r="D2863" i="1"/>
  <c r="E2863" i="1"/>
  <c r="A2864" i="1"/>
  <c r="B2864" i="1"/>
  <c r="C2864" i="1"/>
  <c r="D2864" i="1"/>
  <c r="E2864" i="1"/>
  <c r="A2865" i="1"/>
  <c r="B2865" i="1"/>
  <c r="C2865" i="1"/>
  <c r="D2865" i="1"/>
  <c r="E2865" i="1"/>
  <c r="A2866" i="1"/>
  <c r="B2866" i="1"/>
  <c r="C2866" i="1"/>
  <c r="D2866" i="1"/>
  <c r="E2866" i="1"/>
  <c r="A2867" i="1"/>
  <c r="B2867" i="1"/>
  <c r="C2867" i="1"/>
  <c r="D2867" i="1"/>
  <c r="E2867" i="1"/>
  <c r="A2868" i="1"/>
  <c r="B2868" i="1"/>
  <c r="C2868" i="1"/>
  <c r="D2868" i="1"/>
  <c r="E2868" i="1"/>
  <c r="A2869" i="1"/>
  <c r="B2869" i="1"/>
  <c r="C2869" i="1"/>
  <c r="D2869" i="1"/>
  <c r="E2869" i="1"/>
  <c r="A2870" i="1"/>
  <c r="B2870" i="1"/>
  <c r="C2870" i="1"/>
  <c r="D2870" i="1"/>
  <c r="E2870" i="1"/>
  <c r="A2871" i="1"/>
  <c r="B2871" i="1"/>
  <c r="C2871" i="1"/>
  <c r="D2871" i="1"/>
  <c r="E2871" i="1"/>
  <c r="A2872" i="1"/>
  <c r="B2872" i="1"/>
  <c r="C2872" i="1"/>
  <c r="D2872" i="1"/>
  <c r="E2872" i="1"/>
  <c r="A2873" i="1"/>
  <c r="B2873" i="1"/>
  <c r="C2873" i="1"/>
  <c r="D2873" i="1"/>
  <c r="E2873" i="1"/>
  <c r="A2874" i="1"/>
  <c r="B2874" i="1"/>
  <c r="C2874" i="1"/>
  <c r="D2874" i="1"/>
  <c r="E2874" i="1"/>
  <c r="A2875" i="1"/>
  <c r="B2875" i="1"/>
  <c r="C2875" i="1"/>
  <c r="D2875" i="1"/>
  <c r="E2875" i="1"/>
  <c r="A2876" i="1"/>
  <c r="B2876" i="1"/>
  <c r="C2876" i="1"/>
  <c r="D2876" i="1"/>
  <c r="E2876" i="1"/>
  <c r="A2877" i="1"/>
  <c r="B2877" i="1"/>
  <c r="C2877" i="1"/>
  <c r="D2877" i="1"/>
  <c r="E2877" i="1"/>
  <c r="A2878" i="1"/>
  <c r="B2878" i="1"/>
  <c r="C2878" i="1"/>
  <c r="D2878" i="1"/>
  <c r="E2878" i="1"/>
  <c r="A2879" i="1"/>
  <c r="B2879" i="1"/>
  <c r="C2879" i="1"/>
  <c r="D2879" i="1"/>
  <c r="E2879" i="1"/>
  <c r="A2880" i="1"/>
  <c r="B2880" i="1"/>
  <c r="C2880" i="1"/>
  <c r="D2880" i="1"/>
  <c r="E2880" i="1"/>
  <c r="A2881" i="1"/>
  <c r="B2881" i="1"/>
  <c r="C2881" i="1"/>
  <c r="D2881" i="1"/>
  <c r="E2881" i="1"/>
  <c r="A2882" i="1"/>
  <c r="B2882" i="1"/>
  <c r="C2882" i="1"/>
  <c r="D2882" i="1"/>
  <c r="E2882" i="1"/>
  <c r="A2883" i="1"/>
  <c r="B2883" i="1"/>
  <c r="C2883" i="1"/>
  <c r="D2883" i="1"/>
  <c r="E2883" i="1"/>
  <c r="A2884" i="1"/>
  <c r="B2884" i="1"/>
  <c r="C2884" i="1"/>
  <c r="D2884" i="1"/>
  <c r="E2884" i="1"/>
  <c r="A2885" i="1"/>
  <c r="B2885" i="1"/>
  <c r="C2885" i="1"/>
  <c r="D2885" i="1"/>
  <c r="E2885" i="1"/>
  <c r="A2886" i="1"/>
  <c r="B2886" i="1"/>
  <c r="C2886" i="1"/>
  <c r="D2886" i="1"/>
  <c r="E2886" i="1"/>
  <c r="A2887" i="1"/>
  <c r="B2887" i="1"/>
  <c r="C2887" i="1"/>
  <c r="D2887" i="1"/>
  <c r="E2887" i="1"/>
  <c r="A2888" i="1"/>
  <c r="B2888" i="1"/>
  <c r="C2888" i="1"/>
  <c r="D2888" i="1"/>
  <c r="E2888" i="1"/>
  <c r="A2889" i="1"/>
  <c r="B2889" i="1"/>
  <c r="C2889" i="1"/>
  <c r="D2889" i="1"/>
  <c r="E2889" i="1"/>
  <c r="A2890" i="1"/>
  <c r="B2890" i="1"/>
  <c r="C2890" i="1"/>
  <c r="D2890" i="1"/>
  <c r="E2890" i="1"/>
  <c r="A2891" i="1"/>
  <c r="B2891" i="1"/>
  <c r="C2891" i="1"/>
  <c r="D2891" i="1"/>
  <c r="E2891" i="1"/>
  <c r="A2892" i="1"/>
  <c r="B2892" i="1"/>
  <c r="C2892" i="1"/>
  <c r="D2892" i="1"/>
  <c r="E2892" i="1"/>
  <c r="A2893" i="1"/>
  <c r="B2893" i="1"/>
  <c r="C2893" i="1"/>
  <c r="D2893" i="1"/>
  <c r="E2893" i="1"/>
  <c r="A2894" i="1"/>
  <c r="B2894" i="1"/>
  <c r="C2894" i="1"/>
  <c r="D2894" i="1"/>
  <c r="E2894" i="1"/>
  <c r="A2895" i="1"/>
  <c r="B2895" i="1"/>
  <c r="C2895" i="1"/>
  <c r="D2895" i="1"/>
  <c r="E2895" i="1"/>
  <c r="A2896" i="1"/>
  <c r="B2896" i="1"/>
  <c r="C2896" i="1"/>
  <c r="D2896" i="1"/>
  <c r="E2896" i="1"/>
  <c r="A2897" i="1"/>
  <c r="B2897" i="1"/>
  <c r="C2897" i="1"/>
  <c r="D2897" i="1"/>
  <c r="E2897" i="1"/>
  <c r="A2898" i="1"/>
  <c r="B2898" i="1"/>
  <c r="C2898" i="1"/>
  <c r="D2898" i="1"/>
  <c r="E2898" i="1"/>
  <c r="A2899" i="1"/>
  <c r="B2899" i="1"/>
  <c r="C2899" i="1"/>
  <c r="D2899" i="1"/>
  <c r="E2899" i="1"/>
  <c r="A2900" i="1"/>
  <c r="B2900" i="1"/>
  <c r="C2900" i="1"/>
  <c r="D2900" i="1"/>
  <c r="E2900" i="1"/>
  <c r="A2901" i="1"/>
  <c r="B2901" i="1"/>
  <c r="C2901" i="1"/>
  <c r="D2901" i="1"/>
  <c r="E2901" i="1"/>
  <c r="A2902" i="1"/>
  <c r="B2902" i="1"/>
  <c r="C2902" i="1"/>
  <c r="D2902" i="1"/>
  <c r="E2902" i="1"/>
  <c r="A2903" i="1"/>
  <c r="B2903" i="1"/>
  <c r="C2903" i="1"/>
  <c r="D2903" i="1"/>
  <c r="E2903" i="1"/>
  <c r="A2904" i="1"/>
  <c r="B2904" i="1"/>
  <c r="C2904" i="1"/>
  <c r="D2904" i="1"/>
  <c r="E2904" i="1"/>
  <c r="A2905" i="1"/>
  <c r="B2905" i="1"/>
  <c r="C2905" i="1"/>
  <c r="D2905" i="1"/>
  <c r="E2905" i="1"/>
  <c r="A2906" i="1"/>
  <c r="B2906" i="1"/>
  <c r="C2906" i="1"/>
  <c r="D2906" i="1"/>
  <c r="E2906" i="1"/>
  <c r="A2907" i="1"/>
  <c r="B2907" i="1"/>
  <c r="C2907" i="1"/>
  <c r="D2907" i="1"/>
  <c r="E2907" i="1"/>
  <c r="A2908" i="1"/>
  <c r="B2908" i="1"/>
  <c r="C2908" i="1"/>
  <c r="D2908" i="1"/>
  <c r="E2908" i="1"/>
  <c r="A2909" i="1"/>
  <c r="B2909" i="1"/>
  <c r="C2909" i="1"/>
  <c r="D2909" i="1"/>
  <c r="E2909" i="1"/>
  <c r="A2910" i="1"/>
  <c r="B2910" i="1"/>
  <c r="C2910" i="1"/>
  <c r="D2910" i="1"/>
  <c r="E2910" i="1"/>
  <c r="A2911" i="1"/>
  <c r="B2911" i="1"/>
  <c r="C2911" i="1"/>
  <c r="D2911" i="1"/>
  <c r="E2911" i="1"/>
  <c r="A2912" i="1"/>
  <c r="B2912" i="1"/>
  <c r="C2912" i="1"/>
  <c r="D2912" i="1"/>
  <c r="E2912" i="1"/>
  <c r="A2913" i="1"/>
  <c r="B2913" i="1"/>
  <c r="C2913" i="1"/>
  <c r="D2913" i="1"/>
  <c r="E2913" i="1"/>
  <c r="A2914" i="1"/>
  <c r="B2914" i="1"/>
  <c r="C2914" i="1"/>
  <c r="D2914" i="1"/>
  <c r="E2914" i="1"/>
  <c r="A2915" i="1"/>
  <c r="B2915" i="1"/>
  <c r="C2915" i="1"/>
  <c r="D2915" i="1"/>
  <c r="E2915" i="1"/>
  <c r="A2916" i="1"/>
  <c r="B2916" i="1"/>
  <c r="C2916" i="1"/>
  <c r="D2916" i="1"/>
  <c r="E2916" i="1"/>
  <c r="A2917" i="1"/>
  <c r="B2917" i="1"/>
  <c r="C2917" i="1"/>
  <c r="D2917" i="1"/>
  <c r="E2917" i="1"/>
  <c r="A2918" i="1"/>
  <c r="B2918" i="1"/>
  <c r="C2918" i="1"/>
  <c r="D2918" i="1"/>
  <c r="E2918" i="1"/>
  <c r="A2919" i="1"/>
  <c r="B2919" i="1"/>
  <c r="C2919" i="1"/>
  <c r="D2919" i="1"/>
  <c r="E2919" i="1"/>
  <c r="A2920" i="1"/>
  <c r="B2920" i="1"/>
  <c r="C2920" i="1"/>
  <c r="D2920" i="1"/>
  <c r="E2920" i="1"/>
  <c r="A2921" i="1"/>
  <c r="B2921" i="1"/>
  <c r="C2921" i="1"/>
  <c r="D2921" i="1"/>
  <c r="E2921" i="1"/>
  <c r="A2922" i="1"/>
  <c r="B2922" i="1"/>
  <c r="C2922" i="1"/>
  <c r="D2922" i="1"/>
  <c r="E2922" i="1"/>
  <c r="A2923" i="1"/>
  <c r="B2923" i="1"/>
  <c r="C2923" i="1"/>
  <c r="D2923" i="1"/>
  <c r="E2923" i="1"/>
  <c r="A2924" i="1"/>
  <c r="B2924" i="1"/>
  <c r="C2924" i="1"/>
  <c r="D2924" i="1"/>
  <c r="E2924" i="1"/>
  <c r="A2925" i="1"/>
  <c r="B2925" i="1"/>
  <c r="C2925" i="1"/>
  <c r="D2925" i="1"/>
  <c r="E2925" i="1"/>
  <c r="A2926" i="1"/>
  <c r="B2926" i="1"/>
  <c r="C2926" i="1"/>
  <c r="D2926" i="1"/>
  <c r="E2926" i="1"/>
  <c r="A2927" i="1"/>
  <c r="B2927" i="1"/>
  <c r="C2927" i="1"/>
  <c r="D2927" i="1"/>
  <c r="E2927" i="1"/>
  <c r="A2928" i="1"/>
  <c r="B2928" i="1"/>
  <c r="C2928" i="1"/>
  <c r="D2928" i="1"/>
  <c r="E2928" i="1"/>
  <c r="A2929" i="1"/>
  <c r="B2929" i="1"/>
  <c r="C2929" i="1"/>
  <c r="D2929" i="1"/>
  <c r="E2929" i="1"/>
  <c r="A2930" i="1"/>
  <c r="B2930" i="1"/>
  <c r="C2930" i="1"/>
  <c r="D2930" i="1"/>
  <c r="E2930" i="1"/>
  <c r="A2931" i="1"/>
  <c r="B2931" i="1"/>
  <c r="C2931" i="1"/>
  <c r="D2931" i="1"/>
  <c r="E2931" i="1"/>
  <c r="A2932" i="1"/>
  <c r="B2932" i="1"/>
  <c r="C2932" i="1"/>
  <c r="D2932" i="1"/>
  <c r="E2932" i="1"/>
  <c r="A2933" i="1"/>
  <c r="B2933" i="1"/>
  <c r="C2933" i="1"/>
  <c r="D2933" i="1"/>
  <c r="E2933" i="1"/>
  <c r="A2934" i="1"/>
  <c r="B2934" i="1"/>
  <c r="C2934" i="1"/>
  <c r="D2934" i="1"/>
  <c r="E2934" i="1"/>
  <c r="A2935" i="1"/>
  <c r="B2935" i="1"/>
  <c r="C2935" i="1"/>
  <c r="D2935" i="1"/>
  <c r="E2935" i="1"/>
  <c r="A2936" i="1"/>
  <c r="B2936" i="1"/>
  <c r="C2936" i="1"/>
  <c r="D2936" i="1"/>
  <c r="E2936" i="1"/>
  <c r="A2937" i="1"/>
  <c r="B2937" i="1"/>
  <c r="C2937" i="1"/>
  <c r="D2937" i="1"/>
  <c r="E2937" i="1"/>
  <c r="A2938" i="1"/>
  <c r="B2938" i="1"/>
  <c r="C2938" i="1"/>
  <c r="D2938" i="1"/>
  <c r="E2938" i="1"/>
  <c r="A2939" i="1"/>
  <c r="B2939" i="1"/>
  <c r="C2939" i="1"/>
  <c r="D2939" i="1"/>
  <c r="E2939" i="1"/>
  <c r="A2940" i="1"/>
  <c r="B2940" i="1"/>
  <c r="C2940" i="1"/>
  <c r="D2940" i="1"/>
  <c r="E2940" i="1"/>
  <c r="A2941" i="1"/>
  <c r="B2941" i="1"/>
  <c r="C2941" i="1"/>
  <c r="D2941" i="1"/>
  <c r="E2941" i="1"/>
  <c r="A2942" i="1"/>
  <c r="B2942" i="1"/>
  <c r="C2942" i="1"/>
  <c r="D2942" i="1"/>
  <c r="E2942" i="1"/>
  <c r="A2943" i="1"/>
  <c r="B2943" i="1"/>
  <c r="C2943" i="1"/>
  <c r="D2943" i="1"/>
  <c r="E2943" i="1"/>
  <c r="A2944" i="1"/>
  <c r="B2944" i="1"/>
  <c r="C2944" i="1"/>
  <c r="D2944" i="1"/>
  <c r="E2944" i="1"/>
  <c r="A2945" i="1"/>
  <c r="B2945" i="1"/>
  <c r="C2945" i="1"/>
  <c r="D2945" i="1"/>
  <c r="E2945" i="1"/>
  <c r="A2946" i="1"/>
  <c r="B2946" i="1"/>
  <c r="C2946" i="1"/>
  <c r="D2946" i="1"/>
  <c r="E2946" i="1"/>
  <c r="A2947" i="1"/>
  <c r="B2947" i="1"/>
  <c r="C2947" i="1"/>
  <c r="D2947" i="1"/>
  <c r="E2947" i="1"/>
  <c r="A2948" i="1"/>
  <c r="B2948" i="1"/>
  <c r="C2948" i="1"/>
  <c r="D2948" i="1"/>
  <c r="E2948" i="1"/>
  <c r="A2949" i="1"/>
  <c r="B2949" i="1"/>
  <c r="C2949" i="1"/>
  <c r="D2949" i="1"/>
  <c r="E2949" i="1"/>
  <c r="A2950" i="1"/>
  <c r="B2950" i="1"/>
  <c r="C2950" i="1"/>
  <c r="D2950" i="1"/>
  <c r="E2950" i="1"/>
  <c r="A2951" i="1"/>
  <c r="B2951" i="1"/>
  <c r="C2951" i="1"/>
  <c r="D2951" i="1"/>
  <c r="E2951" i="1"/>
  <c r="A2952" i="1"/>
  <c r="B2952" i="1"/>
  <c r="C2952" i="1"/>
  <c r="D2952" i="1"/>
  <c r="E2952" i="1"/>
  <c r="A2953" i="1"/>
  <c r="B2953" i="1"/>
  <c r="C2953" i="1"/>
  <c r="D2953" i="1"/>
  <c r="E2953" i="1"/>
  <c r="A2954" i="1"/>
  <c r="B2954" i="1"/>
  <c r="C2954" i="1"/>
  <c r="D2954" i="1"/>
  <c r="E2954" i="1"/>
  <c r="A2955" i="1"/>
  <c r="B2955" i="1"/>
  <c r="C2955" i="1"/>
  <c r="D2955" i="1"/>
  <c r="E2955" i="1"/>
  <c r="A2956" i="1"/>
  <c r="B2956" i="1"/>
  <c r="C2956" i="1"/>
  <c r="D2956" i="1"/>
  <c r="E2956" i="1"/>
  <c r="A2957" i="1"/>
  <c r="B2957" i="1"/>
  <c r="C2957" i="1"/>
  <c r="D2957" i="1"/>
  <c r="E2957" i="1"/>
  <c r="A2958" i="1"/>
  <c r="B2958" i="1"/>
  <c r="C2958" i="1"/>
  <c r="D2958" i="1"/>
  <c r="E2958" i="1"/>
  <c r="A2959" i="1"/>
  <c r="B2959" i="1"/>
  <c r="C2959" i="1"/>
  <c r="D2959" i="1"/>
  <c r="E2959" i="1"/>
  <c r="A2960" i="1"/>
  <c r="B2960" i="1"/>
  <c r="C2960" i="1"/>
  <c r="D2960" i="1"/>
  <c r="E2960" i="1"/>
  <c r="A2961" i="1"/>
  <c r="B2961" i="1"/>
  <c r="C2961" i="1"/>
  <c r="D2961" i="1"/>
  <c r="E2961" i="1"/>
  <c r="A2962" i="1"/>
  <c r="B2962" i="1"/>
  <c r="C2962" i="1"/>
  <c r="D2962" i="1"/>
  <c r="E2962" i="1"/>
  <c r="A2963" i="1"/>
  <c r="B2963" i="1"/>
  <c r="C2963" i="1"/>
  <c r="D2963" i="1"/>
  <c r="E2963" i="1"/>
  <c r="A2964" i="1"/>
  <c r="B2964" i="1"/>
  <c r="C2964" i="1"/>
  <c r="D2964" i="1"/>
  <c r="E2964" i="1"/>
  <c r="A2965" i="1"/>
  <c r="B2965" i="1"/>
  <c r="C2965" i="1"/>
  <c r="D2965" i="1"/>
  <c r="E2965" i="1"/>
  <c r="A2966" i="1"/>
  <c r="B2966" i="1"/>
  <c r="C2966" i="1"/>
  <c r="D2966" i="1"/>
  <c r="E2966" i="1"/>
  <c r="A2967" i="1"/>
  <c r="B2967" i="1"/>
  <c r="C2967" i="1"/>
  <c r="D2967" i="1"/>
  <c r="E2967" i="1"/>
  <c r="A2968" i="1"/>
  <c r="B2968" i="1"/>
  <c r="C2968" i="1"/>
  <c r="D2968" i="1"/>
  <c r="E2968" i="1"/>
  <c r="A2969" i="1"/>
  <c r="B2969" i="1"/>
  <c r="C2969" i="1"/>
  <c r="D2969" i="1"/>
  <c r="E2969" i="1"/>
  <c r="A2970" i="1"/>
  <c r="B2970" i="1"/>
  <c r="C2970" i="1"/>
  <c r="D2970" i="1"/>
  <c r="E2970" i="1"/>
  <c r="A2971" i="1"/>
  <c r="B2971" i="1"/>
  <c r="C2971" i="1"/>
  <c r="D2971" i="1"/>
  <c r="E2971" i="1"/>
  <c r="A2972" i="1"/>
  <c r="B2972" i="1"/>
  <c r="C2972" i="1"/>
  <c r="D2972" i="1"/>
  <c r="E2972" i="1"/>
  <c r="A2973" i="1"/>
  <c r="B2973" i="1"/>
  <c r="C2973" i="1"/>
  <c r="D2973" i="1"/>
  <c r="E2973" i="1"/>
  <c r="A2974" i="1"/>
  <c r="B2974" i="1"/>
  <c r="C2974" i="1"/>
  <c r="D2974" i="1"/>
  <c r="E2974" i="1"/>
  <c r="A2975" i="1"/>
  <c r="B2975" i="1"/>
  <c r="C2975" i="1"/>
  <c r="D2975" i="1"/>
  <c r="E2975" i="1"/>
  <c r="A2976" i="1"/>
  <c r="B2976" i="1"/>
  <c r="C2976" i="1"/>
  <c r="D2976" i="1"/>
  <c r="E2976" i="1"/>
  <c r="A2977" i="1"/>
  <c r="B2977" i="1"/>
  <c r="C2977" i="1"/>
  <c r="D2977" i="1"/>
  <c r="E2977" i="1"/>
  <c r="A2978" i="1"/>
  <c r="B2978" i="1"/>
  <c r="C2978" i="1"/>
  <c r="D2978" i="1"/>
  <c r="E2978" i="1"/>
  <c r="A2979" i="1"/>
  <c r="B2979" i="1"/>
  <c r="C2979" i="1"/>
  <c r="D2979" i="1"/>
  <c r="E2979" i="1"/>
  <c r="A2980" i="1"/>
  <c r="B2980" i="1"/>
  <c r="C2980" i="1"/>
  <c r="D2980" i="1"/>
  <c r="E2980" i="1"/>
  <c r="A2981" i="1"/>
  <c r="B2981" i="1"/>
  <c r="C2981" i="1"/>
  <c r="D2981" i="1"/>
  <c r="E2981" i="1"/>
  <c r="A2982" i="1"/>
  <c r="B2982" i="1"/>
  <c r="C2982" i="1"/>
  <c r="D2982" i="1"/>
  <c r="E2982" i="1"/>
  <c r="A2983" i="1"/>
  <c r="B2983" i="1"/>
  <c r="C2983" i="1"/>
  <c r="D2983" i="1"/>
  <c r="E2983" i="1"/>
  <c r="A2984" i="1"/>
  <c r="B2984" i="1"/>
  <c r="C2984" i="1"/>
  <c r="D2984" i="1"/>
  <c r="E2984" i="1"/>
  <c r="A2985" i="1"/>
  <c r="B2985" i="1"/>
  <c r="C2985" i="1"/>
  <c r="D2985" i="1"/>
  <c r="E2985" i="1"/>
  <c r="A2986" i="1"/>
  <c r="B2986" i="1"/>
  <c r="C2986" i="1"/>
  <c r="D2986" i="1"/>
  <c r="E2986" i="1"/>
  <c r="A2987" i="1"/>
  <c r="B2987" i="1"/>
  <c r="C2987" i="1"/>
  <c r="D2987" i="1"/>
  <c r="E2987" i="1"/>
  <c r="A2988" i="1"/>
  <c r="B2988" i="1"/>
  <c r="C2988" i="1"/>
  <c r="D2988" i="1"/>
  <c r="E2988" i="1"/>
  <c r="A2989" i="1"/>
  <c r="B2989" i="1"/>
  <c r="C2989" i="1"/>
  <c r="D2989" i="1"/>
  <c r="E2989" i="1"/>
  <c r="A2990" i="1"/>
  <c r="B2990" i="1"/>
  <c r="C2990" i="1"/>
  <c r="D2990" i="1"/>
  <c r="E2990" i="1"/>
  <c r="A2991" i="1"/>
  <c r="B2991" i="1"/>
  <c r="C2991" i="1"/>
  <c r="D2991" i="1"/>
  <c r="E2991" i="1"/>
  <c r="A2992" i="1"/>
  <c r="B2992" i="1"/>
  <c r="C2992" i="1"/>
  <c r="D2992" i="1"/>
  <c r="E2992" i="1"/>
  <c r="A2993" i="1"/>
  <c r="B2993" i="1"/>
  <c r="C2993" i="1"/>
  <c r="D2993" i="1"/>
  <c r="E2993" i="1"/>
  <c r="A2994" i="1"/>
  <c r="B2994" i="1"/>
  <c r="C2994" i="1"/>
  <c r="D2994" i="1"/>
  <c r="E2994" i="1"/>
  <c r="A2995" i="1"/>
  <c r="B2995" i="1"/>
  <c r="C2995" i="1"/>
  <c r="D2995" i="1"/>
  <c r="E2995" i="1"/>
  <c r="A2996" i="1"/>
  <c r="B2996" i="1"/>
  <c r="C2996" i="1"/>
  <c r="D2996" i="1"/>
  <c r="E2996" i="1"/>
  <c r="A2997" i="1"/>
  <c r="B2997" i="1"/>
  <c r="C2997" i="1"/>
  <c r="D2997" i="1"/>
  <c r="E2997" i="1"/>
  <c r="A2998" i="1"/>
  <c r="B2998" i="1"/>
  <c r="C2998" i="1"/>
  <c r="D2998" i="1"/>
  <c r="E2998" i="1"/>
  <c r="A2999" i="1"/>
  <c r="B2999" i="1"/>
  <c r="C2999" i="1"/>
  <c r="D2999" i="1"/>
  <c r="E2999" i="1"/>
  <c r="A3000" i="1"/>
  <c r="B3000" i="1"/>
  <c r="C3000" i="1"/>
  <c r="D3000" i="1"/>
  <c r="E3000" i="1"/>
  <c r="A3001" i="1"/>
  <c r="B3001" i="1"/>
  <c r="C3001" i="1"/>
  <c r="D3001" i="1"/>
  <c r="E3001" i="1"/>
  <c r="A3002" i="1"/>
  <c r="B3002" i="1"/>
  <c r="C3002" i="1"/>
  <c r="D3002" i="1"/>
  <c r="E3002" i="1"/>
  <c r="A3003" i="1"/>
  <c r="B3003" i="1"/>
  <c r="C3003" i="1"/>
  <c r="D3003" i="1"/>
  <c r="E3003" i="1"/>
  <c r="A3004" i="1"/>
  <c r="B3004" i="1"/>
  <c r="C3004" i="1"/>
  <c r="D3004" i="1"/>
  <c r="E3004" i="1"/>
  <c r="A3005" i="1"/>
  <c r="B3005" i="1"/>
  <c r="C3005" i="1"/>
  <c r="D3005" i="1"/>
  <c r="E3005" i="1"/>
  <c r="A3006" i="1"/>
  <c r="B3006" i="1"/>
  <c r="C3006" i="1"/>
  <c r="D3006" i="1"/>
  <c r="E3006" i="1"/>
  <c r="A3007" i="1"/>
  <c r="B3007" i="1"/>
  <c r="C3007" i="1"/>
  <c r="D3007" i="1"/>
  <c r="E3007" i="1"/>
  <c r="A3008" i="1"/>
  <c r="B3008" i="1"/>
  <c r="C3008" i="1"/>
  <c r="D3008" i="1"/>
  <c r="E3008" i="1"/>
  <c r="A3009" i="1"/>
  <c r="B3009" i="1"/>
  <c r="C3009" i="1"/>
  <c r="D3009" i="1"/>
  <c r="E3009" i="1"/>
  <c r="A3010" i="1"/>
  <c r="B3010" i="1"/>
  <c r="C3010" i="1"/>
  <c r="D3010" i="1"/>
  <c r="E3010" i="1"/>
  <c r="A3011" i="1"/>
  <c r="B3011" i="1"/>
  <c r="C3011" i="1"/>
  <c r="D3011" i="1"/>
  <c r="E3011" i="1"/>
  <c r="A3012" i="1"/>
  <c r="B3012" i="1"/>
  <c r="C3012" i="1"/>
  <c r="D3012" i="1"/>
  <c r="E3012" i="1"/>
  <c r="A3013" i="1"/>
  <c r="B3013" i="1"/>
  <c r="C3013" i="1"/>
  <c r="D3013" i="1"/>
  <c r="E3013" i="1"/>
  <c r="A3014" i="1"/>
  <c r="B3014" i="1"/>
  <c r="C3014" i="1"/>
  <c r="D3014" i="1"/>
  <c r="E3014" i="1"/>
  <c r="A3015" i="1"/>
  <c r="B3015" i="1"/>
  <c r="C3015" i="1"/>
  <c r="D3015" i="1"/>
  <c r="E3015" i="1"/>
  <c r="A3016" i="1"/>
  <c r="B3016" i="1"/>
  <c r="C3016" i="1"/>
  <c r="D3016" i="1"/>
  <c r="E3016" i="1"/>
  <c r="A3017" i="1"/>
  <c r="B3017" i="1"/>
  <c r="C3017" i="1"/>
  <c r="D3017" i="1"/>
  <c r="E3017" i="1"/>
  <c r="A3018" i="1"/>
  <c r="B3018" i="1"/>
  <c r="C3018" i="1"/>
  <c r="D3018" i="1"/>
  <c r="E3018" i="1"/>
  <c r="A3019" i="1"/>
  <c r="B3019" i="1"/>
  <c r="C3019" i="1"/>
  <c r="D3019" i="1"/>
  <c r="E3019" i="1"/>
  <c r="A3020" i="1"/>
  <c r="B3020" i="1"/>
  <c r="C3020" i="1"/>
  <c r="D3020" i="1"/>
  <c r="E3020" i="1"/>
  <c r="A3021" i="1"/>
  <c r="B3021" i="1"/>
  <c r="C3021" i="1"/>
  <c r="D3021" i="1"/>
  <c r="E3021" i="1"/>
  <c r="A3022" i="1"/>
  <c r="B3022" i="1"/>
  <c r="C3022" i="1"/>
  <c r="D3022" i="1"/>
  <c r="E3022" i="1"/>
  <c r="A3023" i="1"/>
  <c r="B3023" i="1"/>
  <c r="C3023" i="1"/>
  <c r="D3023" i="1"/>
  <c r="E3023" i="1"/>
  <c r="A3024" i="1"/>
  <c r="B3024" i="1"/>
  <c r="C3024" i="1"/>
  <c r="D3024" i="1"/>
  <c r="E3024" i="1"/>
  <c r="A3025" i="1"/>
  <c r="B3025" i="1"/>
  <c r="C3025" i="1"/>
  <c r="D3025" i="1"/>
  <c r="E3025" i="1"/>
  <c r="A3026" i="1"/>
  <c r="B3026" i="1"/>
  <c r="C3026" i="1"/>
  <c r="D3026" i="1"/>
  <c r="E3026" i="1"/>
  <c r="A3027" i="1"/>
  <c r="B3027" i="1"/>
  <c r="C3027" i="1"/>
  <c r="D3027" i="1"/>
  <c r="E3027" i="1"/>
  <c r="A3028" i="1"/>
  <c r="B3028" i="1"/>
  <c r="C3028" i="1"/>
  <c r="D3028" i="1"/>
  <c r="E3028" i="1"/>
  <c r="A3029" i="1"/>
  <c r="B3029" i="1"/>
  <c r="C3029" i="1"/>
  <c r="D3029" i="1"/>
  <c r="E3029" i="1"/>
  <c r="A3030" i="1"/>
  <c r="B3030" i="1"/>
  <c r="C3030" i="1"/>
  <c r="D3030" i="1"/>
  <c r="E3030" i="1"/>
  <c r="A3031" i="1"/>
  <c r="B3031" i="1"/>
  <c r="C3031" i="1"/>
  <c r="D3031" i="1"/>
  <c r="E3031" i="1"/>
  <c r="A3032" i="1"/>
  <c r="B3032" i="1"/>
  <c r="C3032" i="1"/>
  <c r="D3032" i="1"/>
  <c r="E3032" i="1"/>
  <c r="A3033" i="1"/>
  <c r="B3033" i="1"/>
  <c r="C3033" i="1"/>
  <c r="D3033" i="1"/>
  <c r="E3033" i="1"/>
  <c r="A3034" i="1"/>
  <c r="B3034" i="1"/>
  <c r="C3034" i="1"/>
  <c r="D3034" i="1"/>
  <c r="E3034" i="1"/>
  <c r="A3035" i="1"/>
  <c r="B3035" i="1"/>
  <c r="C3035" i="1"/>
  <c r="D3035" i="1"/>
  <c r="E3035" i="1"/>
  <c r="A3036" i="1"/>
  <c r="B3036" i="1"/>
  <c r="C3036" i="1"/>
  <c r="D3036" i="1"/>
  <c r="E3036" i="1"/>
  <c r="A3037" i="1"/>
  <c r="B3037" i="1"/>
  <c r="C3037" i="1"/>
  <c r="D3037" i="1"/>
  <c r="E3037" i="1"/>
  <c r="A3038" i="1"/>
  <c r="B3038" i="1"/>
  <c r="C3038" i="1"/>
  <c r="D3038" i="1"/>
  <c r="E3038" i="1"/>
  <c r="A3039" i="1"/>
  <c r="B3039" i="1"/>
  <c r="C3039" i="1"/>
  <c r="D3039" i="1"/>
  <c r="E3039" i="1"/>
  <c r="A3040" i="1"/>
  <c r="B3040" i="1"/>
  <c r="C3040" i="1"/>
  <c r="D3040" i="1"/>
  <c r="E3040" i="1"/>
  <c r="A3041" i="1"/>
  <c r="B3041" i="1"/>
  <c r="C3041" i="1"/>
  <c r="D3041" i="1"/>
  <c r="E3041" i="1"/>
  <c r="A3042" i="1"/>
  <c r="B3042" i="1"/>
  <c r="C3042" i="1"/>
  <c r="D3042" i="1"/>
  <c r="E3042" i="1"/>
  <c r="A3043" i="1"/>
  <c r="B3043" i="1"/>
  <c r="C3043" i="1"/>
  <c r="D3043" i="1"/>
  <c r="E3043" i="1"/>
  <c r="A3044" i="1"/>
  <c r="B3044" i="1"/>
  <c r="C3044" i="1"/>
  <c r="D3044" i="1"/>
  <c r="E3044" i="1"/>
  <c r="A3045" i="1"/>
  <c r="B3045" i="1"/>
  <c r="C3045" i="1"/>
  <c r="D3045" i="1"/>
  <c r="E3045" i="1"/>
  <c r="A3046" i="1"/>
  <c r="B3046" i="1"/>
  <c r="C3046" i="1"/>
  <c r="D3046" i="1"/>
  <c r="E3046" i="1"/>
  <c r="A3047" i="1"/>
  <c r="B3047" i="1"/>
  <c r="C3047" i="1"/>
  <c r="D3047" i="1"/>
  <c r="E3047" i="1"/>
  <c r="A3048" i="1"/>
  <c r="B3048" i="1"/>
  <c r="C3048" i="1"/>
  <c r="D3048" i="1"/>
  <c r="E3048" i="1"/>
  <c r="A3049" i="1"/>
  <c r="B3049" i="1"/>
  <c r="C3049" i="1"/>
  <c r="D3049" i="1"/>
  <c r="E3049" i="1"/>
  <c r="A3050" i="1"/>
  <c r="B3050" i="1"/>
  <c r="C3050" i="1"/>
  <c r="D3050" i="1"/>
  <c r="E3050" i="1"/>
  <c r="A3051" i="1"/>
  <c r="B3051" i="1"/>
  <c r="C3051" i="1"/>
  <c r="D3051" i="1"/>
  <c r="E3051" i="1"/>
  <c r="A3052" i="1"/>
  <c r="B3052" i="1"/>
  <c r="C3052" i="1"/>
  <c r="D3052" i="1"/>
  <c r="E3052" i="1"/>
  <c r="A3053" i="1"/>
  <c r="B3053" i="1"/>
  <c r="C3053" i="1"/>
  <c r="D3053" i="1"/>
  <c r="E3053" i="1"/>
  <c r="A3054" i="1"/>
  <c r="B3054" i="1"/>
  <c r="C3054" i="1"/>
  <c r="D3054" i="1"/>
  <c r="E3054" i="1"/>
  <c r="A3055" i="1"/>
  <c r="B3055" i="1"/>
  <c r="C3055" i="1"/>
  <c r="D3055" i="1"/>
  <c r="E3055" i="1"/>
  <c r="A3056" i="1"/>
  <c r="B3056" i="1"/>
  <c r="C3056" i="1"/>
  <c r="D3056" i="1"/>
  <c r="E3056" i="1"/>
  <c r="A3057" i="1"/>
  <c r="B3057" i="1"/>
  <c r="C3057" i="1"/>
  <c r="D3057" i="1"/>
  <c r="E3057" i="1"/>
  <c r="A3058" i="1"/>
  <c r="B3058" i="1"/>
  <c r="C3058" i="1"/>
  <c r="D3058" i="1"/>
  <c r="E3058" i="1"/>
  <c r="A3059" i="1"/>
  <c r="B3059" i="1"/>
  <c r="C3059" i="1"/>
  <c r="D3059" i="1"/>
  <c r="E3059" i="1"/>
  <c r="A3060" i="1"/>
  <c r="B3060" i="1"/>
  <c r="C3060" i="1"/>
  <c r="D3060" i="1"/>
  <c r="E3060" i="1"/>
  <c r="A3061" i="1"/>
  <c r="B3061" i="1"/>
  <c r="C3061" i="1"/>
  <c r="D3061" i="1"/>
  <c r="E3061" i="1"/>
  <c r="A3062" i="1"/>
  <c r="B3062" i="1"/>
  <c r="C3062" i="1"/>
  <c r="D3062" i="1"/>
  <c r="E3062" i="1"/>
  <c r="A3063" i="1"/>
  <c r="B3063" i="1"/>
  <c r="C3063" i="1"/>
  <c r="D3063" i="1"/>
  <c r="E3063" i="1"/>
  <c r="A3064" i="1"/>
  <c r="B3064" i="1"/>
  <c r="C3064" i="1"/>
  <c r="D3064" i="1"/>
  <c r="E3064" i="1"/>
  <c r="A3065" i="1"/>
  <c r="B3065" i="1"/>
  <c r="C3065" i="1"/>
  <c r="D3065" i="1"/>
  <c r="E3065" i="1"/>
  <c r="A3066" i="1"/>
  <c r="B3066" i="1"/>
  <c r="C3066" i="1"/>
  <c r="D3066" i="1"/>
  <c r="E3066" i="1"/>
  <c r="A3067" i="1"/>
  <c r="B3067" i="1"/>
  <c r="C3067" i="1"/>
  <c r="D3067" i="1"/>
  <c r="E3067" i="1"/>
  <c r="A3068" i="1"/>
  <c r="B3068" i="1"/>
  <c r="C3068" i="1"/>
  <c r="D3068" i="1"/>
  <c r="E3068" i="1"/>
  <c r="A3069" i="1"/>
  <c r="B3069" i="1"/>
  <c r="C3069" i="1"/>
  <c r="D3069" i="1"/>
  <c r="E3069" i="1"/>
  <c r="A3070" i="1"/>
  <c r="B3070" i="1"/>
  <c r="C3070" i="1"/>
  <c r="D3070" i="1"/>
  <c r="E3070" i="1"/>
  <c r="A3071" i="1"/>
  <c r="B3071" i="1"/>
  <c r="C3071" i="1"/>
  <c r="D3071" i="1"/>
  <c r="E3071" i="1"/>
  <c r="A3072" i="1"/>
  <c r="B3072" i="1"/>
  <c r="C3072" i="1"/>
  <c r="D3072" i="1"/>
  <c r="E3072" i="1"/>
  <c r="A3073" i="1"/>
  <c r="B3073" i="1"/>
  <c r="C3073" i="1"/>
  <c r="D3073" i="1"/>
  <c r="E3073" i="1"/>
  <c r="A3074" i="1"/>
  <c r="B3074" i="1"/>
  <c r="C3074" i="1"/>
  <c r="D3074" i="1"/>
  <c r="E3074" i="1"/>
  <c r="A3075" i="1"/>
  <c r="B3075" i="1"/>
  <c r="C3075" i="1"/>
  <c r="D3075" i="1"/>
  <c r="E3075" i="1"/>
  <c r="A3076" i="1"/>
  <c r="B3076" i="1"/>
  <c r="C3076" i="1"/>
  <c r="D3076" i="1"/>
  <c r="E3076" i="1"/>
  <c r="A3077" i="1"/>
  <c r="B3077" i="1"/>
  <c r="C3077" i="1"/>
  <c r="D3077" i="1"/>
  <c r="E3077" i="1"/>
  <c r="A3078" i="1"/>
  <c r="B3078" i="1"/>
  <c r="C3078" i="1"/>
  <c r="D3078" i="1"/>
  <c r="E3078" i="1"/>
  <c r="A3079" i="1"/>
  <c r="B3079" i="1"/>
  <c r="C3079" i="1"/>
  <c r="D3079" i="1"/>
  <c r="E3079" i="1"/>
  <c r="A3080" i="1"/>
  <c r="B3080" i="1"/>
  <c r="C3080" i="1"/>
  <c r="D3080" i="1"/>
  <c r="E3080" i="1"/>
  <c r="A3081" i="1"/>
  <c r="B3081" i="1"/>
  <c r="C3081" i="1"/>
  <c r="D3081" i="1"/>
  <c r="E3081" i="1"/>
  <c r="A3082" i="1"/>
  <c r="B3082" i="1"/>
  <c r="C3082" i="1"/>
  <c r="D3082" i="1"/>
  <c r="E3082" i="1"/>
  <c r="A3083" i="1"/>
  <c r="B3083" i="1"/>
  <c r="C3083" i="1"/>
  <c r="D3083" i="1"/>
  <c r="E3083" i="1"/>
  <c r="A3084" i="1"/>
  <c r="B3084" i="1"/>
  <c r="C3084" i="1"/>
  <c r="D3084" i="1"/>
  <c r="E3084" i="1"/>
  <c r="A3085" i="1"/>
  <c r="B3085" i="1"/>
  <c r="C3085" i="1"/>
  <c r="D3085" i="1"/>
  <c r="E3085" i="1"/>
  <c r="A3086" i="1"/>
  <c r="B3086" i="1"/>
  <c r="C3086" i="1"/>
  <c r="D3086" i="1"/>
  <c r="E3086" i="1"/>
  <c r="A3087" i="1"/>
  <c r="B3087" i="1"/>
  <c r="C3087" i="1"/>
  <c r="D3087" i="1"/>
  <c r="E3087" i="1"/>
  <c r="A3088" i="1"/>
  <c r="B3088" i="1"/>
  <c r="C3088" i="1"/>
  <c r="D3088" i="1"/>
  <c r="E3088" i="1"/>
  <c r="A3089" i="1"/>
  <c r="B3089" i="1"/>
  <c r="C3089" i="1"/>
  <c r="D3089" i="1"/>
  <c r="E3089" i="1"/>
  <c r="A3090" i="1"/>
  <c r="B3090" i="1"/>
  <c r="C3090" i="1"/>
  <c r="D3090" i="1"/>
  <c r="E3090" i="1"/>
  <c r="A3091" i="1"/>
  <c r="B3091" i="1"/>
  <c r="C3091" i="1"/>
  <c r="D3091" i="1"/>
  <c r="E3091" i="1"/>
  <c r="A3092" i="1"/>
  <c r="B3092" i="1"/>
  <c r="C3092" i="1"/>
  <c r="D3092" i="1"/>
  <c r="E3092" i="1"/>
  <c r="A3093" i="1"/>
  <c r="B3093" i="1"/>
  <c r="C3093" i="1"/>
  <c r="D3093" i="1"/>
  <c r="E3093" i="1"/>
  <c r="A3094" i="1"/>
  <c r="B3094" i="1"/>
  <c r="C3094" i="1"/>
  <c r="D3094" i="1"/>
  <c r="E3094" i="1"/>
  <c r="A3095" i="1"/>
  <c r="B3095" i="1"/>
  <c r="C3095" i="1"/>
  <c r="D3095" i="1"/>
  <c r="E3095" i="1"/>
  <c r="A3096" i="1"/>
  <c r="B3096" i="1"/>
  <c r="C3096" i="1"/>
  <c r="D3096" i="1"/>
  <c r="E3096" i="1"/>
  <c r="A3097" i="1"/>
  <c r="B3097" i="1"/>
  <c r="C3097" i="1"/>
  <c r="D3097" i="1"/>
  <c r="E3097" i="1"/>
  <c r="A3098" i="1"/>
  <c r="B3098" i="1"/>
  <c r="C3098" i="1"/>
  <c r="D3098" i="1"/>
  <c r="E3098" i="1"/>
  <c r="A3099" i="1"/>
  <c r="B3099" i="1"/>
  <c r="C3099" i="1"/>
  <c r="D3099" i="1"/>
  <c r="E3099" i="1"/>
  <c r="A3100" i="1"/>
  <c r="B3100" i="1"/>
  <c r="C3100" i="1"/>
  <c r="D3100" i="1"/>
  <c r="E3100" i="1"/>
  <c r="A3101" i="1"/>
  <c r="B3101" i="1"/>
  <c r="C3101" i="1"/>
  <c r="D3101" i="1"/>
  <c r="E3101" i="1"/>
  <c r="A3102" i="1"/>
  <c r="B3102" i="1"/>
  <c r="C3102" i="1"/>
  <c r="D3102" i="1"/>
  <c r="E3102" i="1"/>
  <c r="A3103" i="1"/>
  <c r="B3103" i="1"/>
  <c r="C3103" i="1"/>
  <c r="D3103" i="1"/>
  <c r="E3103" i="1"/>
  <c r="A3104" i="1"/>
  <c r="B3104" i="1"/>
  <c r="C3104" i="1"/>
  <c r="D3104" i="1"/>
  <c r="E3104" i="1"/>
  <c r="A3105" i="1"/>
  <c r="B3105" i="1"/>
  <c r="C3105" i="1"/>
  <c r="D3105" i="1"/>
  <c r="E3105" i="1"/>
  <c r="A3106" i="1"/>
  <c r="B3106" i="1"/>
  <c r="C3106" i="1"/>
  <c r="D3106" i="1"/>
  <c r="E3106" i="1"/>
  <c r="A3107" i="1"/>
  <c r="B3107" i="1"/>
  <c r="C3107" i="1"/>
  <c r="D3107" i="1"/>
  <c r="E3107" i="1"/>
  <c r="A3108" i="1"/>
  <c r="B3108" i="1"/>
  <c r="C3108" i="1"/>
  <c r="D3108" i="1"/>
  <c r="E3108" i="1"/>
  <c r="A3109" i="1"/>
  <c r="B3109" i="1"/>
  <c r="C3109" i="1"/>
  <c r="D3109" i="1"/>
  <c r="E3109" i="1"/>
  <c r="A3110" i="1"/>
  <c r="B3110" i="1"/>
  <c r="C3110" i="1"/>
  <c r="D3110" i="1"/>
  <c r="E3110" i="1"/>
  <c r="A3111" i="1"/>
  <c r="B3111" i="1"/>
  <c r="C3111" i="1"/>
  <c r="D3111" i="1"/>
  <c r="E3111" i="1"/>
  <c r="A3112" i="1"/>
  <c r="B3112" i="1"/>
  <c r="C3112" i="1"/>
  <c r="D3112" i="1"/>
  <c r="E3112" i="1"/>
  <c r="A3113" i="1"/>
  <c r="B3113" i="1"/>
  <c r="C3113" i="1"/>
  <c r="D3113" i="1"/>
  <c r="E3113" i="1"/>
  <c r="A3114" i="1"/>
  <c r="B3114" i="1"/>
  <c r="C3114" i="1"/>
  <c r="D3114" i="1"/>
  <c r="E3114" i="1"/>
  <c r="A3115" i="1"/>
  <c r="B3115" i="1"/>
  <c r="C3115" i="1"/>
  <c r="D3115" i="1"/>
  <c r="E3115" i="1"/>
  <c r="A3116" i="1"/>
  <c r="B3116" i="1"/>
  <c r="C3116" i="1"/>
  <c r="D3116" i="1"/>
  <c r="E3116" i="1"/>
  <c r="A3117" i="1"/>
  <c r="B3117" i="1"/>
  <c r="C3117" i="1"/>
  <c r="D3117" i="1"/>
  <c r="E3117" i="1"/>
  <c r="A3118" i="1"/>
  <c r="B3118" i="1"/>
  <c r="C3118" i="1"/>
  <c r="D3118" i="1"/>
  <c r="E3118" i="1"/>
  <c r="A3119" i="1"/>
  <c r="B3119" i="1"/>
  <c r="C3119" i="1"/>
  <c r="D3119" i="1"/>
  <c r="E3119" i="1"/>
  <c r="A3120" i="1"/>
  <c r="B3120" i="1"/>
  <c r="C3120" i="1"/>
  <c r="D3120" i="1"/>
  <c r="E3120" i="1"/>
  <c r="A3121" i="1"/>
  <c r="B3121" i="1"/>
  <c r="C3121" i="1"/>
  <c r="D3121" i="1"/>
  <c r="E3121" i="1"/>
  <c r="A3122" i="1"/>
  <c r="B3122" i="1"/>
  <c r="C3122" i="1"/>
  <c r="D3122" i="1"/>
  <c r="E3122" i="1"/>
  <c r="A3123" i="1"/>
  <c r="B3123" i="1"/>
  <c r="C3123" i="1"/>
  <c r="D3123" i="1"/>
  <c r="E3123" i="1"/>
  <c r="A3124" i="1"/>
  <c r="B3124" i="1"/>
  <c r="C3124" i="1"/>
  <c r="D3124" i="1"/>
  <c r="E3124" i="1"/>
  <c r="A3125" i="1"/>
  <c r="B3125" i="1"/>
  <c r="C3125" i="1"/>
  <c r="D3125" i="1"/>
  <c r="E3125" i="1"/>
  <c r="A3126" i="1"/>
  <c r="B3126" i="1"/>
  <c r="C3126" i="1"/>
  <c r="D3126" i="1"/>
  <c r="E3126" i="1"/>
  <c r="A3127" i="1"/>
  <c r="B3127" i="1"/>
  <c r="C3127" i="1"/>
  <c r="D3127" i="1"/>
  <c r="E3127" i="1"/>
  <c r="A3128" i="1"/>
  <c r="B3128" i="1"/>
  <c r="C3128" i="1"/>
  <c r="D3128" i="1"/>
  <c r="E3128" i="1"/>
  <c r="A3129" i="1"/>
  <c r="B3129" i="1"/>
  <c r="C3129" i="1"/>
  <c r="D3129" i="1"/>
  <c r="E3129" i="1"/>
  <c r="A3130" i="1"/>
  <c r="B3130" i="1"/>
  <c r="C3130" i="1"/>
  <c r="D3130" i="1"/>
  <c r="E3130" i="1"/>
  <c r="A3131" i="1"/>
  <c r="B3131" i="1"/>
  <c r="C3131" i="1"/>
  <c r="D3131" i="1"/>
  <c r="E3131" i="1"/>
  <c r="A3132" i="1"/>
  <c r="B3132" i="1"/>
  <c r="C3132" i="1"/>
  <c r="D3132" i="1"/>
  <c r="E3132" i="1"/>
  <c r="A3133" i="1"/>
  <c r="B3133" i="1"/>
  <c r="C3133" i="1"/>
  <c r="D3133" i="1"/>
  <c r="E3133" i="1"/>
  <c r="A3134" i="1"/>
  <c r="B3134" i="1"/>
  <c r="C3134" i="1"/>
  <c r="D3134" i="1"/>
  <c r="E3134" i="1"/>
  <c r="A3135" i="1"/>
  <c r="B3135" i="1"/>
  <c r="C3135" i="1"/>
  <c r="D3135" i="1"/>
  <c r="E3135" i="1"/>
  <c r="A3136" i="1"/>
  <c r="B3136" i="1"/>
  <c r="C3136" i="1"/>
  <c r="D3136" i="1"/>
  <c r="E3136" i="1"/>
  <c r="A3137" i="1"/>
  <c r="B3137" i="1"/>
  <c r="C3137" i="1"/>
  <c r="D3137" i="1"/>
  <c r="E3137" i="1"/>
  <c r="A3138" i="1"/>
  <c r="B3138" i="1"/>
  <c r="C3138" i="1"/>
  <c r="D3138" i="1"/>
  <c r="E3138" i="1"/>
  <c r="A3139" i="1"/>
  <c r="B3139" i="1"/>
  <c r="C3139" i="1"/>
  <c r="D3139" i="1"/>
  <c r="E3139" i="1"/>
  <c r="A3140" i="1"/>
  <c r="B3140" i="1"/>
  <c r="C3140" i="1"/>
  <c r="D3140" i="1"/>
  <c r="E3140" i="1"/>
  <c r="A3141" i="1"/>
  <c r="B3141" i="1"/>
  <c r="C3141" i="1"/>
  <c r="D3141" i="1"/>
  <c r="E3141" i="1"/>
  <c r="A3142" i="1"/>
  <c r="B3142" i="1"/>
  <c r="C3142" i="1"/>
  <c r="D3142" i="1"/>
  <c r="E3142" i="1"/>
  <c r="A3143" i="1"/>
  <c r="B3143" i="1"/>
  <c r="C3143" i="1"/>
  <c r="D3143" i="1"/>
  <c r="E3143" i="1"/>
  <c r="A3144" i="1"/>
  <c r="B3144" i="1"/>
  <c r="C3144" i="1"/>
  <c r="D3144" i="1"/>
  <c r="E3144" i="1"/>
  <c r="A3145" i="1"/>
  <c r="B3145" i="1"/>
  <c r="C3145" i="1"/>
  <c r="D3145" i="1"/>
  <c r="E3145" i="1"/>
  <c r="A3146" i="1"/>
  <c r="B3146" i="1"/>
  <c r="C3146" i="1"/>
  <c r="D3146" i="1"/>
  <c r="E3146" i="1"/>
  <c r="A3147" i="1"/>
  <c r="B3147" i="1"/>
  <c r="C3147" i="1"/>
  <c r="D3147" i="1"/>
  <c r="E3147" i="1"/>
  <c r="A3148" i="1"/>
  <c r="B3148" i="1"/>
  <c r="C3148" i="1"/>
  <c r="D3148" i="1"/>
  <c r="E3148" i="1"/>
  <c r="A3149" i="1"/>
  <c r="B3149" i="1"/>
  <c r="C3149" i="1"/>
  <c r="D3149" i="1"/>
  <c r="E3149" i="1"/>
  <c r="A3150" i="1"/>
  <c r="B3150" i="1"/>
  <c r="C3150" i="1"/>
  <c r="D3150" i="1"/>
  <c r="E3150" i="1"/>
  <c r="A3151" i="1"/>
  <c r="B3151" i="1"/>
  <c r="C3151" i="1"/>
  <c r="D3151" i="1"/>
  <c r="E3151" i="1"/>
  <c r="A3152" i="1"/>
  <c r="B3152" i="1"/>
  <c r="C3152" i="1"/>
  <c r="D3152" i="1"/>
  <c r="E3152" i="1"/>
  <c r="A3153" i="1"/>
  <c r="B3153" i="1"/>
  <c r="C3153" i="1"/>
  <c r="D3153" i="1"/>
  <c r="E3153" i="1"/>
  <c r="A3154" i="1"/>
  <c r="B3154" i="1"/>
  <c r="C3154" i="1"/>
  <c r="D3154" i="1"/>
  <c r="E3154" i="1"/>
  <c r="A3155" i="1"/>
  <c r="B3155" i="1"/>
  <c r="C3155" i="1"/>
  <c r="D3155" i="1"/>
  <c r="E3155" i="1"/>
  <c r="A3156" i="1"/>
  <c r="B3156" i="1"/>
  <c r="C3156" i="1"/>
  <c r="D3156" i="1"/>
  <c r="E3156" i="1"/>
  <c r="A3157" i="1"/>
  <c r="B3157" i="1"/>
  <c r="C3157" i="1"/>
  <c r="D3157" i="1"/>
  <c r="E3157" i="1"/>
  <c r="A3158" i="1"/>
  <c r="B3158" i="1"/>
  <c r="C3158" i="1"/>
  <c r="D3158" i="1"/>
  <c r="E3158" i="1"/>
  <c r="A3159" i="1"/>
  <c r="B3159" i="1"/>
  <c r="C3159" i="1"/>
  <c r="D3159" i="1"/>
  <c r="E3159" i="1"/>
  <c r="A3160" i="1"/>
  <c r="B3160" i="1"/>
  <c r="C3160" i="1"/>
  <c r="D3160" i="1"/>
  <c r="E3160" i="1"/>
  <c r="A3161" i="1"/>
  <c r="B3161" i="1"/>
  <c r="C3161" i="1"/>
  <c r="D3161" i="1"/>
  <c r="E3161" i="1"/>
  <c r="A3162" i="1"/>
  <c r="B3162" i="1"/>
  <c r="C3162" i="1"/>
  <c r="D3162" i="1"/>
  <c r="E3162" i="1"/>
  <c r="A3163" i="1"/>
  <c r="B3163" i="1"/>
  <c r="C3163" i="1"/>
  <c r="D3163" i="1"/>
  <c r="E3163" i="1"/>
  <c r="A3164" i="1"/>
  <c r="B3164" i="1"/>
  <c r="C3164" i="1"/>
  <c r="D3164" i="1"/>
  <c r="E3164" i="1"/>
  <c r="A3165" i="1"/>
  <c r="B3165" i="1"/>
  <c r="C3165" i="1"/>
  <c r="D3165" i="1"/>
  <c r="E3165" i="1"/>
  <c r="A3166" i="1"/>
  <c r="B3166" i="1"/>
  <c r="C3166" i="1"/>
  <c r="D3166" i="1"/>
  <c r="E3166" i="1"/>
  <c r="A3167" i="1"/>
  <c r="B3167" i="1"/>
  <c r="C3167" i="1"/>
  <c r="D3167" i="1"/>
  <c r="E3167" i="1"/>
  <c r="A3168" i="1"/>
  <c r="B3168" i="1"/>
  <c r="C3168" i="1"/>
  <c r="D3168" i="1"/>
  <c r="E3168" i="1"/>
  <c r="A3169" i="1"/>
  <c r="B3169" i="1"/>
  <c r="C3169" i="1"/>
  <c r="D3169" i="1"/>
  <c r="E3169" i="1"/>
  <c r="A3170" i="1"/>
  <c r="B3170" i="1"/>
  <c r="C3170" i="1"/>
  <c r="D3170" i="1"/>
  <c r="E3170" i="1"/>
  <c r="A3171" i="1"/>
  <c r="B3171" i="1"/>
  <c r="C3171" i="1"/>
  <c r="D3171" i="1"/>
  <c r="E3171" i="1"/>
  <c r="A3172" i="1"/>
  <c r="B3172" i="1"/>
  <c r="C3172" i="1"/>
  <c r="D3172" i="1"/>
  <c r="E3172" i="1"/>
  <c r="A3173" i="1"/>
  <c r="B3173" i="1"/>
  <c r="C3173" i="1"/>
  <c r="D3173" i="1"/>
  <c r="E3173" i="1"/>
  <c r="A3174" i="1"/>
  <c r="B3174" i="1"/>
  <c r="C3174" i="1"/>
  <c r="D3174" i="1"/>
  <c r="E3174" i="1"/>
  <c r="A3175" i="1"/>
  <c r="B3175" i="1"/>
  <c r="C3175" i="1"/>
  <c r="D3175" i="1"/>
  <c r="E3175" i="1"/>
  <c r="A3176" i="1"/>
  <c r="B3176" i="1"/>
  <c r="C3176" i="1"/>
  <c r="D3176" i="1"/>
  <c r="E3176" i="1"/>
  <c r="A3177" i="1"/>
  <c r="B3177" i="1"/>
  <c r="C3177" i="1"/>
  <c r="D3177" i="1"/>
  <c r="E3177" i="1"/>
  <c r="A3178" i="1"/>
  <c r="B3178" i="1"/>
  <c r="C3178" i="1"/>
  <c r="D3178" i="1"/>
  <c r="E3178" i="1"/>
  <c r="A3179" i="1"/>
  <c r="B3179" i="1"/>
  <c r="C3179" i="1"/>
  <c r="D3179" i="1"/>
  <c r="E3179" i="1"/>
  <c r="A3180" i="1"/>
  <c r="B3180" i="1"/>
  <c r="C3180" i="1"/>
  <c r="D3180" i="1"/>
  <c r="E3180" i="1"/>
  <c r="A3181" i="1"/>
  <c r="B3181" i="1"/>
  <c r="C3181" i="1"/>
  <c r="D3181" i="1"/>
  <c r="E3181" i="1"/>
  <c r="A3182" i="1"/>
  <c r="B3182" i="1"/>
  <c r="C3182" i="1"/>
  <c r="D3182" i="1"/>
  <c r="E3182" i="1"/>
  <c r="A3183" i="1"/>
  <c r="B3183" i="1"/>
  <c r="C3183" i="1"/>
  <c r="D3183" i="1"/>
  <c r="E3183" i="1"/>
  <c r="A3184" i="1"/>
  <c r="B3184" i="1"/>
  <c r="C3184" i="1"/>
  <c r="D3184" i="1"/>
  <c r="E3184" i="1"/>
  <c r="A3185" i="1"/>
  <c r="B3185" i="1"/>
  <c r="C3185" i="1"/>
  <c r="D3185" i="1"/>
  <c r="E3185" i="1"/>
  <c r="A3186" i="1"/>
  <c r="B3186" i="1"/>
  <c r="C3186" i="1"/>
  <c r="D3186" i="1"/>
  <c r="E3186" i="1"/>
  <c r="A3187" i="1"/>
  <c r="B3187" i="1"/>
  <c r="C3187" i="1"/>
  <c r="D3187" i="1"/>
  <c r="E3187" i="1"/>
  <c r="A3188" i="1"/>
  <c r="B3188" i="1"/>
  <c r="C3188" i="1"/>
  <c r="D3188" i="1"/>
  <c r="E3188" i="1"/>
  <c r="A3189" i="1"/>
  <c r="B3189" i="1"/>
  <c r="C3189" i="1"/>
  <c r="D3189" i="1"/>
  <c r="E3189" i="1"/>
  <c r="A3190" i="1"/>
  <c r="B3190" i="1"/>
  <c r="C3190" i="1"/>
  <c r="D3190" i="1"/>
  <c r="E3190" i="1"/>
  <c r="A3191" i="1"/>
  <c r="B3191" i="1"/>
  <c r="C3191" i="1"/>
  <c r="D3191" i="1"/>
  <c r="E3191" i="1"/>
  <c r="A3192" i="1"/>
  <c r="B3192" i="1"/>
  <c r="C3192" i="1"/>
  <c r="D3192" i="1"/>
  <c r="E3192" i="1"/>
  <c r="A3193" i="1"/>
  <c r="B3193" i="1"/>
  <c r="C3193" i="1"/>
  <c r="D3193" i="1"/>
  <c r="E3193" i="1"/>
  <c r="A3194" i="1"/>
  <c r="B3194" i="1"/>
  <c r="C3194" i="1"/>
  <c r="D3194" i="1"/>
  <c r="E3194" i="1"/>
  <c r="A3195" i="1"/>
  <c r="B3195" i="1"/>
  <c r="C3195" i="1"/>
  <c r="D3195" i="1"/>
  <c r="E3195" i="1"/>
  <c r="A3196" i="1"/>
  <c r="B3196" i="1"/>
  <c r="C3196" i="1"/>
  <c r="D3196" i="1"/>
  <c r="E3196" i="1"/>
  <c r="A3197" i="1"/>
  <c r="B3197" i="1"/>
  <c r="C3197" i="1"/>
  <c r="D3197" i="1"/>
  <c r="E3197" i="1"/>
  <c r="A3198" i="1"/>
  <c r="B3198" i="1"/>
  <c r="C3198" i="1"/>
  <c r="D3198" i="1"/>
  <c r="E3198" i="1"/>
  <c r="A3199" i="1"/>
  <c r="B3199" i="1"/>
  <c r="C3199" i="1"/>
  <c r="D3199" i="1"/>
  <c r="E3199" i="1"/>
  <c r="A3200" i="1"/>
  <c r="B3200" i="1"/>
  <c r="C3200" i="1"/>
  <c r="D3200" i="1"/>
  <c r="E3200" i="1"/>
  <c r="A3201" i="1"/>
  <c r="B3201" i="1"/>
  <c r="C3201" i="1"/>
  <c r="D3201" i="1"/>
  <c r="E3201" i="1"/>
  <c r="A3202" i="1"/>
  <c r="B3202" i="1"/>
  <c r="C3202" i="1"/>
  <c r="D3202" i="1"/>
  <c r="E3202" i="1"/>
  <c r="A3203" i="1"/>
  <c r="B3203" i="1"/>
  <c r="C3203" i="1"/>
  <c r="D3203" i="1"/>
  <c r="E3203" i="1"/>
  <c r="A3204" i="1"/>
  <c r="B3204" i="1"/>
  <c r="C3204" i="1"/>
  <c r="D3204" i="1"/>
  <c r="E3204" i="1"/>
  <c r="A3205" i="1"/>
  <c r="B3205" i="1"/>
  <c r="C3205" i="1"/>
  <c r="D3205" i="1"/>
  <c r="E3205" i="1"/>
  <c r="A3206" i="1"/>
  <c r="B3206" i="1"/>
  <c r="C3206" i="1"/>
  <c r="D3206" i="1"/>
  <c r="E3206" i="1"/>
  <c r="A3207" i="1"/>
  <c r="B3207" i="1"/>
  <c r="C3207" i="1"/>
  <c r="D3207" i="1"/>
  <c r="E3207" i="1"/>
  <c r="A3208" i="1"/>
  <c r="B3208" i="1"/>
  <c r="C3208" i="1"/>
  <c r="D3208" i="1"/>
  <c r="E3208" i="1"/>
  <c r="A3209" i="1"/>
  <c r="B3209" i="1"/>
  <c r="C3209" i="1"/>
  <c r="D3209" i="1"/>
  <c r="E3209" i="1"/>
  <c r="A3210" i="1"/>
  <c r="B3210" i="1"/>
  <c r="C3210" i="1"/>
  <c r="D3210" i="1"/>
  <c r="E3210" i="1"/>
  <c r="A3211" i="1"/>
  <c r="B3211" i="1"/>
  <c r="C3211" i="1"/>
  <c r="D3211" i="1"/>
  <c r="E3211" i="1"/>
  <c r="A3212" i="1"/>
  <c r="B3212" i="1"/>
  <c r="C3212" i="1"/>
  <c r="D3212" i="1"/>
  <c r="E3212" i="1"/>
  <c r="A3213" i="1"/>
  <c r="B3213" i="1"/>
  <c r="C3213" i="1"/>
  <c r="D3213" i="1"/>
  <c r="E3213" i="1"/>
  <c r="A3214" i="1"/>
  <c r="B3214" i="1"/>
  <c r="C3214" i="1"/>
  <c r="D3214" i="1"/>
  <c r="E3214" i="1"/>
  <c r="A3215" i="1"/>
  <c r="B3215" i="1"/>
  <c r="C3215" i="1"/>
  <c r="D3215" i="1"/>
  <c r="E3215" i="1"/>
  <c r="A3216" i="1"/>
  <c r="B3216" i="1"/>
  <c r="C3216" i="1"/>
  <c r="D3216" i="1"/>
  <c r="E3216" i="1"/>
  <c r="A3217" i="1"/>
  <c r="B3217" i="1"/>
  <c r="C3217" i="1"/>
  <c r="D3217" i="1"/>
  <c r="E3217" i="1"/>
  <c r="A3218" i="1"/>
  <c r="B3218" i="1"/>
  <c r="C3218" i="1"/>
  <c r="D3218" i="1"/>
  <c r="E3218" i="1"/>
  <c r="A3219" i="1"/>
  <c r="B3219" i="1"/>
  <c r="C3219" i="1"/>
  <c r="D3219" i="1"/>
  <c r="E3219" i="1"/>
  <c r="A3220" i="1"/>
  <c r="B3220" i="1"/>
  <c r="C3220" i="1"/>
  <c r="D3220" i="1"/>
  <c r="E3220" i="1"/>
  <c r="A3221" i="1"/>
  <c r="B3221" i="1"/>
  <c r="C3221" i="1"/>
  <c r="D3221" i="1"/>
  <c r="E3221" i="1"/>
  <c r="A3222" i="1"/>
  <c r="B3222" i="1"/>
  <c r="C3222" i="1"/>
  <c r="D3222" i="1"/>
  <c r="E3222" i="1"/>
  <c r="A3223" i="1"/>
  <c r="B3223" i="1"/>
  <c r="C3223" i="1"/>
  <c r="D3223" i="1"/>
  <c r="E3223" i="1"/>
  <c r="A3224" i="1"/>
  <c r="B3224" i="1"/>
  <c r="C3224" i="1"/>
  <c r="D3224" i="1"/>
  <c r="E3224" i="1"/>
  <c r="A3225" i="1"/>
  <c r="B3225" i="1"/>
  <c r="C3225" i="1"/>
  <c r="D3225" i="1"/>
  <c r="E3225" i="1"/>
  <c r="A3226" i="1"/>
  <c r="B3226" i="1"/>
  <c r="C3226" i="1"/>
  <c r="D3226" i="1"/>
  <c r="E3226" i="1"/>
  <c r="A3227" i="1"/>
  <c r="B3227" i="1"/>
  <c r="C3227" i="1"/>
  <c r="D3227" i="1"/>
  <c r="E3227" i="1"/>
  <c r="A3228" i="1"/>
  <c r="B3228" i="1"/>
  <c r="C3228" i="1"/>
  <c r="D3228" i="1"/>
  <c r="E3228" i="1"/>
  <c r="A3229" i="1"/>
  <c r="B3229" i="1"/>
  <c r="C3229" i="1"/>
  <c r="D3229" i="1"/>
  <c r="E3229" i="1"/>
  <c r="A3230" i="1"/>
  <c r="B3230" i="1"/>
  <c r="C3230" i="1"/>
  <c r="D3230" i="1"/>
  <c r="E3230" i="1"/>
  <c r="A3231" i="1"/>
  <c r="B3231" i="1"/>
  <c r="C3231" i="1"/>
  <c r="D3231" i="1"/>
  <c r="E3231" i="1"/>
  <c r="A3232" i="1"/>
  <c r="B3232" i="1"/>
  <c r="C3232" i="1"/>
  <c r="D3232" i="1"/>
  <c r="E3232" i="1"/>
  <c r="A3233" i="1"/>
  <c r="B3233" i="1"/>
  <c r="C3233" i="1"/>
  <c r="D3233" i="1"/>
  <c r="E3233" i="1"/>
  <c r="A3234" i="1"/>
  <c r="B3234" i="1"/>
  <c r="C3234" i="1"/>
  <c r="D3234" i="1"/>
  <c r="E3234" i="1"/>
  <c r="A3235" i="1"/>
  <c r="B3235" i="1"/>
  <c r="C3235" i="1"/>
  <c r="D3235" i="1"/>
  <c r="E3235" i="1"/>
  <c r="A3236" i="1"/>
  <c r="B3236" i="1"/>
  <c r="C3236" i="1"/>
  <c r="D3236" i="1"/>
  <c r="E3236" i="1"/>
  <c r="A3237" i="1"/>
  <c r="B3237" i="1"/>
  <c r="C3237" i="1"/>
  <c r="D3237" i="1"/>
  <c r="E3237" i="1"/>
  <c r="A3238" i="1"/>
  <c r="B3238" i="1"/>
  <c r="C3238" i="1"/>
  <c r="D3238" i="1"/>
  <c r="E3238" i="1"/>
  <c r="A3239" i="1"/>
  <c r="B3239" i="1"/>
  <c r="C3239" i="1"/>
  <c r="D3239" i="1"/>
  <c r="E3239" i="1"/>
  <c r="A3240" i="1"/>
  <c r="B3240" i="1"/>
  <c r="C3240" i="1"/>
  <c r="D3240" i="1"/>
  <c r="E3240" i="1"/>
  <c r="A3241" i="1"/>
  <c r="B3241" i="1"/>
  <c r="C3241" i="1"/>
  <c r="D3241" i="1"/>
  <c r="E3241" i="1"/>
  <c r="A3242" i="1"/>
  <c r="B3242" i="1"/>
  <c r="C3242" i="1"/>
  <c r="D3242" i="1"/>
  <c r="E3242" i="1"/>
  <c r="A3243" i="1"/>
  <c r="B3243" i="1"/>
  <c r="C3243" i="1"/>
  <c r="D3243" i="1"/>
  <c r="E3243" i="1"/>
  <c r="A3244" i="1"/>
  <c r="B3244" i="1"/>
  <c r="C3244" i="1"/>
  <c r="D3244" i="1"/>
  <c r="E3244" i="1"/>
  <c r="A3245" i="1"/>
  <c r="B3245" i="1"/>
  <c r="C3245" i="1"/>
  <c r="D3245" i="1"/>
  <c r="E3245" i="1"/>
  <c r="A3246" i="1"/>
  <c r="B3246" i="1"/>
  <c r="C3246" i="1"/>
  <c r="D3246" i="1"/>
  <c r="E3246" i="1"/>
  <c r="A3247" i="1"/>
  <c r="B3247" i="1"/>
  <c r="C3247" i="1"/>
  <c r="D3247" i="1"/>
  <c r="E3247" i="1"/>
  <c r="A3248" i="1"/>
  <c r="B3248" i="1"/>
  <c r="C3248" i="1"/>
  <c r="D3248" i="1"/>
  <c r="E3248" i="1"/>
  <c r="A3249" i="1"/>
  <c r="B3249" i="1"/>
  <c r="C3249" i="1"/>
  <c r="D3249" i="1"/>
  <c r="E3249" i="1"/>
  <c r="A3250" i="1"/>
  <c r="B3250" i="1"/>
  <c r="C3250" i="1"/>
  <c r="D3250" i="1"/>
  <c r="E3250" i="1"/>
  <c r="A3251" i="1"/>
  <c r="B3251" i="1"/>
  <c r="C3251" i="1"/>
  <c r="D3251" i="1"/>
  <c r="E3251" i="1"/>
  <c r="A3252" i="1"/>
  <c r="B3252" i="1"/>
  <c r="C3252" i="1"/>
  <c r="D3252" i="1"/>
  <c r="E3252" i="1"/>
  <c r="A3253" i="1"/>
  <c r="B3253" i="1"/>
  <c r="C3253" i="1"/>
  <c r="D3253" i="1"/>
  <c r="E3253" i="1"/>
  <c r="A3254" i="1"/>
  <c r="B3254" i="1"/>
  <c r="C3254" i="1"/>
  <c r="D3254" i="1"/>
  <c r="E3254" i="1"/>
  <c r="A3255" i="1"/>
  <c r="B3255" i="1"/>
  <c r="C3255" i="1"/>
  <c r="D3255" i="1"/>
  <c r="E3255" i="1"/>
  <c r="A3256" i="1"/>
  <c r="B3256" i="1"/>
  <c r="C3256" i="1"/>
  <c r="D3256" i="1"/>
  <c r="E3256" i="1"/>
  <c r="A3257" i="1"/>
  <c r="B3257" i="1"/>
  <c r="C3257" i="1"/>
  <c r="D3257" i="1"/>
  <c r="E3257" i="1"/>
  <c r="A3258" i="1"/>
  <c r="B3258" i="1"/>
  <c r="C3258" i="1"/>
  <c r="D3258" i="1"/>
  <c r="E3258" i="1"/>
  <c r="A3259" i="1"/>
  <c r="B3259" i="1"/>
  <c r="C3259" i="1"/>
  <c r="D3259" i="1"/>
  <c r="E3259" i="1"/>
  <c r="A3260" i="1"/>
  <c r="B3260" i="1"/>
  <c r="C3260" i="1"/>
  <c r="D3260" i="1"/>
  <c r="E3260" i="1"/>
  <c r="A3261" i="1"/>
  <c r="B3261" i="1"/>
  <c r="C3261" i="1"/>
  <c r="D3261" i="1"/>
  <c r="E3261" i="1"/>
  <c r="A3262" i="1"/>
  <c r="B3262" i="1"/>
  <c r="C3262" i="1"/>
  <c r="D3262" i="1"/>
  <c r="E3262" i="1"/>
  <c r="A3263" i="1"/>
  <c r="B3263" i="1"/>
  <c r="C3263" i="1"/>
  <c r="D3263" i="1"/>
  <c r="E3263" i="1"/>
  <c r="A3264" i="1"/>
  <c r="B3264" i="1"/>
  <c r="C3264" i="1"/>
  <c r="D3264" i="1"/>
  <c r="E3264" i="1"/>
  <c r="A3265" i="1"/>
  <c r="B3265" i="1"/>
  <c r="C3265" i="1"/>
  <c r="D3265" i="1"/>
  <c r="E3265" i="1"/>
  <c r="A3266" i="1"/>
  <c r="B3266" i="1"/>
  <c r="C3266" i="1"/>
  <c r="D3266" i="1"/>
  <c r="E3266" i="1"/>
  <c r="A3267" i="1"/>
  <c r="B3267" i="1"/>
  <c r="C3267" i="1"/>
  <c r="D3267" i="1"/>
  <c r="E3267" i="1"/>
  <c r="A3268" i="1"/>
  <c r="B3268" i="1"/>
  <c r="C3268" i="1"/>
  <c r="D3268" i="1"/>
  <c r="E3268" i="1"/>
  <c r="A3269" i="1"/>
  <c r="B3269" i="1"/>
  <c r="C3269" i="1"/>
  <c r="D3269" i="1"/>
  <c r="E3269" i="1"/>
  <c r="A3270" i="1"/>
  <c r="B3270" i="1"/>
  <c r="C3270" i="1"/>
  <c r="D3270" i="1"/>
  <c r="E3270" i="1"/>
  <c r="A3271" i="1"/>
  <c r="B3271" i="1"/>
  <c r="C3271" i="1"/>
  <c r="D3271" i="1"/>
  <c r="E3271" i="1"/>
  <c r="A3272" i="1"/>
  <c r="B3272" i="1"/>
  <c r="C3272" i="1"/>
  <c r="D3272" i="1"/>
  <c r="E3272" i="1"/>
  <c r="A3273" i="1"/>
  <c r="B3273" i="1"/>
  <c r="C3273" i="1"/>
  <c r="D3273" i="1"/>
  <c r="E3273" i="1"/>
  <c r="A3274" i="1"/>
  <c r="B3274" i="1"/>
  <c r="C3274" i="1"/>
  <c r="D3274" i="1"/>
  <c r="E3274" i="1"/>
  <c r="A3275" i="1"/>
  <c r="B3275" i="1"/>
  <c r="C3275" i="1"/>
  <c r="D3275" i="1"/>
  <c r="E3275" i="1"/>
  <c r="A3276" i="1"/>
  <c r="B3276" i="1"/>
  <c r="C3276" i="1"/>
  <c r="D3276" i="1"/>
  <c r="E3276" i="1"/>
  <c r="A3277" i="1"/>
  <c r="B3277" i="1"/>
  <c r="C3277" i="1"/>
  <c r="D3277" i="1"/>
  <c r="E3277" i="1"/>
  <c r="A3278" i="1"/>
  <c r="B3278" i="1"/>
  <c r="C3278" i="1"/>
  <c r="D3278" i="1"/>
  <c r="E3278" i="1"/>
  <c r="A3279" i="1"/>
  <c r="B3279" i="1"/>
  <c r="C3279" i="1"/>
  <c r="D3279" i="1"/>
  <c r="E3279" i="1"/>
  <c r="A3280" i="1"/>
  <c r="B3280" i="1"/>
  <c r="C3280" i="1"/>
  <c r="D3280" i="1"/>
  <c r="E3280" i="1"/>
  <c r="A3281" i="1"/>
  <c r="B3281" i="1"/>
  <c r="C3281" i="1"/>
  <c r="D3281" i="1"/>
  <c r="E3281" i="1"/>
  <c r="A3282" i="1"/>
  <c r="B3282" i="1"/>
  <c r="C3282" i="1"/>
  <c r="D3282" i="1"/>
  <c r="E3282" i="1"/>
  <c r="A3283" i="1"/>
  <c r="B3283" i="1"/>
  <c r="C3283" i="1"/>
  <c r="D3283" i="1"/>
  <c r="E3283" i="1"/>
  <c r="A3284" i="1"/>
  <c r="B3284" i="1"/>
  <c r="C3284" i="1"/>
  <c r="D3284" i="1"/>
  <c r="E3284" i="1"/>
  <c r="A3285" i="1"/>
  <c r="B3285" i="1"/>
  <c r="C3285" i="1"/>
  <c r="D3285" i="1"/>
  <c r="E3285" i="1"/>
  <c r="A3286" i="1"/>
  <c r="B3286" i="1"/>
  <c r="C3286" i="1"/>
  <c r="D3286" i="1"/>
  <c r="E3286" i="1"/>
  <c r="A3287" i="1"/>
  <c r="B3287" i="1"/>
  <c r="C3287" i="1"/>
  <c r="D3287" i="1"/>
  <c r="E3287" i="1"/>
  <c r="A3288" i="1"/>
  <c r="B3288" i="1"/>
  <c r="C3288" i="1"/>
  <c r="D3288" i="1"/>
  <c r="E3288" i="1"/>
  <c r="A3289" i="1"/>
  <c r="B3289" i="1"/>
  <c r="C3289" i="1"/>
  <c r="D3289" i="1"/>
  <c r="E3289" i="1"/>
  <c r="A3290" i="1"/>
  <c r="B3290" i="1"/>
  <c r="C3290" i="1"/>
  <c r="D3290" i="1"/>
  <c r="E3290" i="1"/>
  <c r="A3291" i="1"/>
  <c r="B3291" i="1"/>
  <c r="C3291" i="1"/>
  <c r="D3291" i="1"/>
  <c r="E3291" i="1"/>
  <c r="A3292" i="1"/>
  <c r="B3292" i="1"/>
  <c r="C3292" i="1"/>
  <c r="D3292" i="1"/>
  <c r="E3292" i="1"/>
  <c r="A3293" i="1"/>
  <c r="B3293" i="1"/>
  <c r="C3293" i="1"/>
  <c r="D3293" i="1"/>
  <c r="E3293" i="1"/>
  <c r="A3294" i="1"/>
  <c r="B3294" i="1"/>
  <c r="C3294" i="1"/>
  <c r="D3294" i="1"/>
  <c r="E3294" i="1"/>
  <c r="A3295" i="1"/>
  <c r="B3295" i="1"/>
  <c r="C3295" i="1"/>
  <c r="D3295" i="1"/>
  <c r="E3295" i="1"/>
  <c r="A3296" i="1"/>
  <c r="B3296" i="1"/>
  <c r="C3296" i="1"/>
  <c r="D3296" i="1"/>
  <c r="E3296" i="1"/>
  <c r="A3297" i="1"/>
  <c r="B3297" i="1"/>
  <c r="C3297" i="1"/>
  <c r="D3297" i="1"/>
  <c r="E3297" i="1"/>
  <c r="A3298" i="1"/>
  <c r="B3298" i="1"/>
  <c r="C3298" i="1"/>
  <c r="D3298" i="1"/>
  <c r="E3298" i="1"/>
  <c r="A3299" i="1"/>
  <c r="B3299" i="1"/>
  <c r="C3299" i="1"/>
  <c r="D3299" i="1"/>
  <c r="E3299" i="1"/>
  <c r="A3300" i="1"/>
  <c r="B3300" i="1"/>
  <c r="C3300" i="1"/>
  <c r="D3300" i="1"/>
  <c r="E3300" i="1"/>
  <c r="A3301" i="1"/>
  <c r="B3301" i="1"/>
  <c r="C3301" i="1"/>
  <c r="D3301" i="1"/>
  <c r="E3301" i="1"/>
  <c r="A3302" i="1"/>
  <c r="B3302" i="1"/>
  <c r="C3302" i="1"/>
  <c r="D3302" i="1"/>
  <c r="E3302" i="1"/>
  <c r="A3303" i="1"/>
  <c r="B3303" i="1"/>
  <c r="C3303" i="1"/>
  <c r="D3303" i="1"/>
  <c r="E3303" i="1"/>
  <c r="A3304" i="1"/>
  <c r="B3304" i="1"/>
  <c r="C3304" i="1"/>
  <c r="D3304" i="1"/>
  <c r="E3304" i="1"/>
  <c r="A3305" i="1"/>
  <c r="B3305" i="1"/>
  <c r="C3305" i="1"/>
  <c r="D3305" i="1"/>
  <c r="E3305" i="1"/>
  <c r="A3306" i="1"/>
  <c r="B3306" i="1"/>
  <c r="C3306" i="1"/>
  <c r="D3306" i="1"/>
  <c r="E3306" i="1"/>
  <c r="A3307" i="1"/>
  <c r="B3307" i="1"/>
  <c r="C3307" i="1"/>
  <c r="D3307" i="1"/>
  <c r="E3307" i="1"/>
  <c r="A3308" i="1"/>
  <c r="B3308" i="1"/>
  <c r="C3308" i="1"/>
  <c r="D3308" i="1"/>
  <c r="E3308" i="1"/>
  <c r="A3309" i="1"/>
  <c r="B3309" i="1"/>
  <c r="C3309" i="1"/>
  <c r="D3309" i="1"/>
  <c r="E3309" i="1"/>
  <c r="A3310" i="1"/>
  <c r="B3310" i="1"/>
  <c r="C3310" i="1"/>
  <c r="D3310" i="1"/>
  <c r="E3310" i="1"/>
  <c r="A3311" i="1"/>
  <c r="B3311" i="1"/>
  <c r="C3311" i="1"/>
  <c r="D3311" i="1"/>
  <c r="E3311" i="1"/>
  <c r="A3312" i="1"/>
  <c r="B3312" i="1"/>
  <c r="C3312" i="1"/>
  <c r="D3312" i="1"/>
  <c r="E3312" i="1"/>
  <c r="A3313" i="1"/>
  <c r="B3313" i="1"/>
  <c r="C3313" i="1"/>
  <c r="D3313" i="1"/>
  <c r="E3313" i="1"/>
  <c r="A3314" i="1"/>
  <c r="B3314" i="1"/>
  <c r="C3314" i="1"/>
  <c r="D3314" i="1"/>
  <c r="E3314" i="1"/>
  <c r="A3315" i="1"/>
  <c r="B3315" i="1"/>
  <c r="C3315" i="1"/>
  <c r="D3315" i="1"/>
  <c r="E3315" i="1"/>
  <c r="A3316" i="1"/>
  <c r="B3316" i="1"/>
  <c r="C3316" i="1"/>
  <c r="D3316" i="1"/>
  <c r="E3316" i="1"/>
  <c r="A3317" i="1"/>
  <c r="B3317" i="1"/>
  <c r="C3317" i="1"/>
  <c r="D3317" i="1"/>
  <c r="E3317" i="1"/>
  <c r="A3318" i="1"/>
  <c r="B3318" i="1"/>
  <c r="C3318" i="1"/>
  <c r="D3318" i="1"/>
  <c r="E3318" i="1"/>
  <c r="A3319" i="1"/>
  <c r="B3319" i="1"/>
  <c r="C3319" i="1"/>
  <c r="D3319" i="1"/>
  <c r="E3319" i="1"/>
  <c r="A3320" i="1"/>
  <c r="B3320" i="1"/>
  <c r="C3320" i="1"/>
  <c r="D3320" i="1"/>
  <c r="E3320" i="1"/>
  <c r="A3321" i="1"/>
  <c r="B3321" i="1"/>
  <c r="C3321" i="1"/>
  <c r="D3321" i="1"/>
  <c r="E3321" i="1"/>
  <c r="A3322" i="1"/>
  <c r="B3322" i="1"/>
  <c r="C3322" i="1"/>
  <c r="D3322" i="1"/>
  <c r="E3322" i="1"/>
  <c r="A3323" i="1"/>
  <c r="B3323" i="1"/>
  <c r="C3323" i="1"/>
  <c r="D3323" i="1"/>
  <c r="E3323" i="1"/>
  <c r="A3324" i="1"/>
  <c r="B3324" i="1"/>
  <c r="C3324" i="1"/>
  <c r="D3324" i="1"/>
  <c r="E3324" i="1"/>
  <c r="A3325" i="1"/>
  <c r="B3325" i="1"/>
  <c r="C3325" i="1"/>
  <c r="D3325" i="1"/>
  <c r="E3325" i="1"/>
  <c r="A3326" i="1"/>
  <c r="B3326" i="1"/>
  <c r="C3326" i="1"/>
  <c r="D3326" i="1"/>
  <c r="E3326" i="1"/>
  <c r="A3327" i="1"/>
  <c r="B3327" i="1"/>
  <c r="C3327" i="1"/>
  <c r="D3327" i="1"/>
  <c r="E3327" i="1"/>
  <c r="A3328" i="1"/>
  <c r="B3328" i="1"/>
  <c r="C3328" i="1"/>
  <c r="D3328" i="1"/>
  <c r="E3328" i="1"/>
  <c r="A3329" i="1"/>
  <c r="B3329" i="1"/>
  <c r="C3329" i="1"/>
  <c r="D3329" i="1"/>
  <c r="E3329" i="1"/>
  <c r="A3330" i="1"/>
  <c r="B3330" i="1"/>
  <c r="C3330" i="1"/>
  <c r="D3330" i="1"/>
  <c r="E3330" i="1"/>
  <c r="A3331" i="1"/>
  <c r="B3331" i="1"/>
  <c r="C3331" i="1"/>
  <c r="D3331" i="1"/>
  <c r="E3331" i="1"/>
  <c r="A3332" i="1"/>
  <c r="B3332" i="1"/>
  <c r="C3332" i="1"/>
  <c r="D3332" i="1"/>
  <c r="E3332" i="1"/>
  <c r="A3333" i="1"/>
  <c r="B3333" i="1"/>
  <c r="C3333" i="1"/>
  <c r="D3333" i="1"/>
  <c r="E3333" i="1"/>
  <c r="A3334" i="1"/>
  <c r="B3334" i="1"/>
  <c r="C3334" i="1"/>
  <c r="D3334" i="1"/>
  <c r="E3334" i="1"/>
  <c r="A3335" i="1"/>
  <c r="B3335" i="1"/>
  <c r="C3335" i="1"/>
  <c r="D3335" i="1"/>
  <c r="E3335" i="1"/>
  <c r="A3336" i="1"/>
  <c r="B3336" i="1"/>
  <c r="C3336" i="1"/>
  <c r="D3336" i="1"/>
  <c r="E3336" i="1"/>
  <c r="A3337" i="1"/>
  <c r="B3337" i="1"/>
  <c r="C3337" i="1"/>
  <c r="D3337" i="1"/>
  <c r="E3337" i="1"/>
  <c r="A3338" i="1"/>
  <c r="B3338" i="1"/>
  <c r="C3338" i="1"/>
  <c r="D3338" i="1"/>
  <c r="E3338" i="1"/>
  <c r="A3339" i="1"/>
  <c r="B3339" i="1"/>
  <c r="C3339" i="1"/>
  <c r="D3339" i="1"/>
  <c r="E3339" i="1"/>
  <c r="A3340" i="1"/>
  <c r="B3340" i="1"/>
  <c r="C3340" i="1"/>
  <c r="D3340" i="1"/>
  <c r="E3340" i="1"/>
  <c r="A3341" i="1"/>
  <c r="B3341" i="1"/>
  <c r="C3341" i="1"/>
  <c r="D3341" i="1"/>
  <c r="E3341" i="1"/>
  <c r="A3342" i="1"/>
  <c r="B3342" i="1"/>
  <c r="C3342" i="1"/>
  <c r="D3342" i="1"/>
  <c r="E3342" i="1"/>
  <c r="A3343" i="1"/>
  <c r="B3343" i="1"/>
  <c r="C3343" i="1"/>
  <c r="D3343" i="1"/>
  <c r="E3343" i="1"/>
  <c r="A3344" i="1"/>
  <c r="B3344" i="1"/>
  <c r="C3344" i="1"/>
  <c r="D3344" i="1"/>
  <c r="E3344" i="1"/>
  <c r="A3345" i="1"/>
  <c r="B3345" i="1"/>
  <c r="C3345" i="1"/>
  <c r="D3345" i="1"/>
  <c r="E3345" i="1"/>
  <c r="A3346" i="1"/>
  <c r="B3346" i="1"/>
  <c r="C3346" i="1"/>
  <c r="D3346" i="1"/>
  <c r="E3346" i="1"/>
  <c r="A3347" i="1"/>
  <c r="B3347" i="1"/>
  <c r="C3347" i="1"/>
  <c r="D3347" i="1"/>
  <c r="E3347" i="1"/>
  <c r="A3348" i="1"/>
  <c r="B3348" i="1"/>
  <c r="C3348" i="1"/>
  <c r="D3348" i="1"/>
  <c r="E3348" i="1"/>
  <c r="A3349" i="1"/>
  <c r="B3349" i="1"/>
  <c r="C3349" i="1"/>
  <c r="D3349" i="1"/>
  <c r="E3349" i="1"/>
  <c r="A3350" i="1"/>
  <c r="B3350" i="1"/>
  <c r="C3350" i="1"/>
  <c r="D3350" i="1"/>
  <c r="E3350" i="1"/>
  <c r="A3351" i="1"/>
  <c r="B3351" i="1"/>
  <c r="C3351" i="1"/>
  <c r="D3351" i="1"/>
  <c r="E3351" i="1"/>
  <c r="A3352" i="1"/>
  <c r="B3352" i="1"/>
  <c r="C3352" i="1"/>
  <c r="D3352" i="1"/>
  <c r="E3352" i="1"/>
  <c r="A3353" i="1"/>
  <c r="B3353" i="1"/>
  <c r="C3353" i="1"/>
  <c r="D3353" i="1"/>
  <c r="E3353" i="1"/>
  <c r="A3354" i="1"/>
  <c r="B3354" i="1"/>
  <c r="C3354" i="1"/>
  <c r="D3354" i="1"/>
  <c r="E3354" i="1"/>
  <c r="A3355" i="1"/>
  <c r="B3355" i="1"/>
  <c r="C3355" i="1"/>
  <c r="D3355" i="1"/>
  <c r="E3355" i="1"/>
  <c r="A3356" i="1"/>
  <c r="B3356" i="1"/>
  <c r="C3356" i="1"/>
  <c r="D3356" i="1"/>
  <c r="E3356" i="1"/>
  <c r="A3357" i="1"/>
  <c r="B3357" i="1"/>
  <c r="C3357" i="1"/>
  <c r="D3357" i="1"/>
  <c r="E3357" i="1"/>
  <c r="A3358" i="1"/>
  <c r="B3358" i="1"/>
  <c r="C3358" i="1"/>
  <c r="D3358" i="1"/>
  <c r="E3358" i="1"/>
  <c r="A3359" i="1"/>
  <c r="B3359" i="1"/>
  <c r="C3359" i="1"/>
  <c r="D3359" i="1"/>
  <c r="E3359" i="1"/>
  <c r="A3360" i="1"/>
  <c r="B3360" i="1"/>
  <c r="C3360" i="1"/>
  <c r="D3360" i="1"/>
  <c r="E3360" i="1"/>
  <c r="A3361" i="1"/>
  <c r="B3361" i="1"/>
  <c r="C3361" i="1"/>
  <c r="D3361" i="1"/>
  <c r="E3361" i="1"/>
  <c r="A3362" i="1"/>
  <c r="B3362" i="1"/>
  <c r="C3362" i="1"/>
  <c r="D3362" i="1"/>
  <c r="E3362" i="1"/>
  <c r="A3363" i="1"/>
  <c r="B3363" i="1"/>
  <c r="C3363" i="1"/>
  <c r="D3363" i="1"/>
  <c r="E3363" i="1"/>
  <c r="A3364" i="1"/>
  <c r="B3364" i="1"/>
  <c r="C3364" i="1"/>
  <c r="D3364" i="1"/>
  <c r="E3364" i="1"/>
  <c r="A3365" i="1"/>
  <c r="B3365" i="1"/>
  <c r="C3365" i="1"/>
  <c r="D3365" i="1"/>
  <c r="E3365" i="1"/>
  <c r="A3366" i="1"/>
  <c r="B3366" i="1"/>
  <c r="C3366" i="1"/>
  <c r="D3366" i="1"/>
  <c r="E3366" i="1"/>
  <c r="A3367" i="1"/>
  <c r="B3367" i="1"/>
  <c r="C3367" i="1"/>
  <c r="D3367" i="1"/>
  <c r="E3367" i="1"/>
  <c r="A3368" i="1"/>
  <c r="B3368" i="1"/>
  <c r="C3368" i="1"/>
  <c r="D3368" i="1"/>
  <c r="E3368" i="1"/>
  <c r="A3369" i="1"/>
  <c r="B3369" i="1"/>
  <c r="C3369" i="1"/>
  <c r="D3369" i="1"/>
  <c r="E3369" i="1"/>
  <c r="A3370" i="1"/>
  <c r="B3370" i="1"/>
  <c r="C3370" i="1"/>
  <c r="D3370" i="1"/>
  <c r="E3370" i="1"/>
  <c r="A3371" i="1"/>
  <c r="B3371" i="1"/>
  <c r="C3371" i="1"/>
  <c r="D3371" i="1"/>
  <c r="E3371" i="1"/>
  <c r="A3372" i="1"/>
  <c r="B3372" i="1"/>
  <c r="C3372" i="1"/>
  <c r="D3372" i="1"/>
  <c r="E3372" i="1"/>
  <c r="A3373" i="1"/>
  <c r="B3373" i="1"/>
  <c r="C3373" i="1"/>
  <c r="D3373" i="1"/>
  <c r="E3373" i="1"/>
  <c r="A3374" i="1"/>
  <c r="B3374" i="1"/>
  <c r="C3374" i="1"/>
  <c r="D3374" i="1"/>
  <c r="E3374" i="1"/>
  <c r="A3375" i="1"/>
  <c r="B3375" i="1"/>
  <c r="C3375" i="1"/>
  <c r="D3375" i="1"/>
  <c r="E3375" i="1"/>
  <c r="A3376" i="1"/>
  <c r="B3376" i="1"/>
  <c r="C3376" i="1"/>
  <c r="D3376" i="1"/>
  <c r="E3376" i="1"/>
  <c r="A3377" i="1"/>
  <c r="B3377" i="1"/>
  <c r="C3377" i="1"/>
  <c r="D3377" i="1"/>
  <c r="E3377" i="1"/>
  <c r="A3378" i="1"/>
  <c r="B3378" i="1"/>
  <c r="C3378" i="1"/>
  <c r="D3378" i="1"/>
  <c r="E3378" i="1"/>
  <c r="A3379" i="1"/>
  <c r="B3379" i="1"/>
  <c r="C3379" i="1"/>
  <c r="D3379" i="1"/>
  <c r="E3379" i="1"/>
  <c r="A3380" i="1"/>
  <c r="B3380" i="1"/>
  <c r="C3380" i="1"/>
  <c r="D3380" i="1"/>
  <c r="E3380" i="1"/>
  <c r="A3381" i="1"/>
  <c r="B3381" i="1"/>
  <c r="C3381" i="1"/>
  <c r="D3381" i="1"/>
  <c r="E3381" i="1"/>
  <c r="A3382" i="1"/>
  <c r="B3382" i="1"/>
  <c r="C3382" i="1"/>
  <c r="D3382" i="1"/>
  <c r="E3382" i="1"/>
  <c r="A3383" i="1"/>
  <c r="B3383" i="1"/>
  <c r="C3383" i="1"/>
  <c r="D3383" i="1"/>
  <c r="E3383" i="1"/>
  <c r="A3384" i="1"/>
  <c r="B3384" i="1"/>
  <c r="C3384" i="1"/>
  <c r="D3384" i="1"/>
  <c r="E3384" i="1"/>
  <c r="A3385" i="1"/>
  <c r="B3385" i="1"/>
  <c r="C3385" i="1"/>
  <c r="D3385" i="1"/>
  <c r="E3385" i="1"/>
  <c r="A3386" i="1"/>
  <c r="B3386" i="1"/>
  <c r="C3386" i="1"/>
  <c r="D3386" i="1"/>
  <c r="E3386" i="1"/>
  <c r="A3387" i="1"/>
  <c r="B3387" i="1"/>
  <c r="C3387" i="1"/>
  <c r="D3387" i="1"/>
  <c r="E3387" i="1"/>
  <c r="A3388" i="1"/>
  <c r="B3388" i="1"/>
  <c r="C3388" i="1"/>
  <c r="D3388" i="1"/>
  <c r="E3388" i="1"/>
  <c r="A3389" i="1"/>
  <c r="B3389" i="1"/>
  <c r="C3389" i="1"/>
  <c r="D3389" i="1"/>
  <c r="E3389" i="1"/>
  <c r="A3390" i="1"/>
  <c r="B3390" i="1"/>
  <c r="C3390" i="1"/>
  <c r="D3390" i="1"/>
  <c r="E3390" i="1"/>
  <c r="A3391" i="1"/>
  <c r="B3391" i="1"/>
  <c r="C3391" i="1"/>
  <c r="D3391" i="1"/>
  <c r="E3391" i="1"/>
  <c r="A3392" i="1"/>
  <c r="B3392" i="1"/>
  <c r="C3392" i="1"/>
  <c r="D3392" i="1"/>
  <c r="E3392" i="1"/>
  <c r="A3393" i="1"/>
  <c r="B3393" i="1"/>
  <c r="C3393" i="1"/>
  <c r="D3393" i="1"/>
  <c r="E3393" i="1"/>
  <c r="A3394" i="1"/>
  <c r="B3394" i="1"/>
  <c r="C3394" i="1"/>
  <c r="D3394" i="1"/>
  <c r="E3394" i="1"/>
  <c r="A3395" i="1"/>
  <c r="B3395" i="1"/>
  <c r="C3395" i="1"/>
  <c r="D3395" i="1"/>
  <c r="E3395" i="1"/>
  <c r="A3396" i="1"/>
  <c r="B3396" i="1"/>
  <c r="C3396" i="1"/>
  <c r="D3396" i="1"/>
  <c r="E3396" i="1"/>
  <c r="A3397" i="1"/>
  <c r="B3397" i="1"/>
  <c r="C3397" i="1"/>
  <c r="D3397" i="1"/>
  <c r="E3397" i="1"/>
  <c r="A3398" i="1"/>
  <c r="B3398" i="1"/>
  <c r="C3398" i="1"/>
  <c r="D3398" i="1"/>
  <c r="E3398" i="1"/>
  <c r="A3399" i="1"/>
  <c r="B3399" i="1"/>
  <c r="C3399" i="1"/>
  <c r="D3399" i="1"/>
  <c r="E3399" i="1"/>
  <c r="A3400" i="1"/>
  <c r="B3400" i="1"/>
  <c r="C3400" i="1"/>
  <c r="D3400" i="1"/>
  <c r="E3400" i="1"/>
  <c r="A3401" i="1"/>
  <c r="B3401" i="1"/>
  <c r="C3401" i="1"/>
  <c r="D3401" i="1"/>
  <c r="E3401" i="1"/>
  <c r="A3402" i="1"/>
  <c r="B3402" i="1"/>
  <c r="C3402" i="1"/>
  <c r="D3402" i="1"/>
  <c r="E3402" i="1"/>
  <c r="A3403" i="1"/>
  <c r="B3403" i="1"/>
  <c r="C3403" i="1"/>
  <c r="D3403" i="1"/>
  <c r="E3403" i="1"/>
  <c r="A3404" i="1"/>
  <c r="B3404" i="1"/>
  <c r="C3404" i="1"/>
  <c r="D3404" i="1"/>
  <c r="E3404" i="1"/>
  <c r="A3405" i="1"/>
  <c r="B3405" i="1"/>
  <c r="C3405" i="1"/>
  <c r="D3405" i="1"/>
  <c r="E3405" i="1"/>
  <c r="A3406" i="1"/>
  <c r="B3406" i="1"/>
  <c r="C3406" i="1"/>
  <c r="D3406" i="1"/>
  <c r="E3406" i="1"/>
  <c r="A3407" i="1"/>
  <c r="B3407" i="1"/>
  <c r="C3407" i="1"/>
  <c r="D3407" i="1"/>
  <c r="E3407" i="1"/>
  <c r="A3408" i="1"/>
  <c r="B3408" i="1"/>
  <c r="C3408" i="1"/>
  <c r="D3408" i="1"/>
  <c r="E3408" i="1"/>
  <c r="A3409" i="1"/>
  <c r="B3409" i="1"/>
  <c r="C3409" i="1"/>
  <c r="D3409" i="1"/>
  <c r="E3409" i="1"/>
  <c r="A3410" i="1"/>
  <c r="B3410" i="1"/>
  <c r="C3410" i="1"/>
  <c r="D3410" i="1"/>
  <c r="E3410" i="1"/>
  <c r="A3411" i="1"/>
  <c r="B3411" i="1"/>
  <c r="C3411" i="1"/>
  <c r="D3411" i="1"/>
  <c r="E3411" i="1"/>
  <c r="A3412" i="1"/>
  <c r="B3412" i="1"/>
  <c r="C3412" i="1"/>
  <c r="D3412" i="1"/>
  <c r="E3412" i="1"/>
  <c r="A3413" i="1"/>
  <c r="B3413" i="1"/>
  <c r="C3413" i="1"/>
  <c r="D3413" i="1"/>
  <c r="E3413" i="1"/>
  <c r="A3414" i="1"/>
  <c r="B3414" i="1"/>
  <c r="C3414" i="1"/>
  <c r="D3414" i="1"/>
  <c r="E3414" i="1"/>
  <c r="A3415" i="1"/>
  <c r="B3415" i="1"/>
  <c r="C3415" i="1"/>
  <c r="D3415" i="1"/>
  <c r="E3415" i="1"/>
  <c r="A3416" i="1"/>
  <c r="B3416" i="1"/>
  <c r="C3416" i="1"/>
  <c r="D3416" i="1"/>
  <c r="E3416" i="1"/>
  <c r="A3417" i="1"/>
  <c r="B3417" i="1"/>
  <c r="C3417" i="1"/>
  <c r="D3417" i="1"/>
  <c r="E3417" i="1"/>
  <c r="A3418" i="1"/>
  <c r="B3418" i="1"/>
  <c r="C3418" i="1"/>
  <c r="D3418" i="1"/>
  <c r="E3418" i="1"/>
  <c r="A3419" i="1"/>
  <c r="B3419" i="1"/>
  <c r="C3419" i="1"/>
  <c r="D3419" i="1"/>
  <c r="E3419" i="1"/>
  <c r="A3420" i="1"/>
  <c r="B3420" i="1"/>
  <c r="C3420" i="1"/>
  <c r="D3420" i="1"/>
  <c r="E3420" i="1"/>
  <c r="A3421" i="1"/>
  <c r="B3421" i="1"/>
  <c r="C3421" i="1"/>
  <c r="D3421" i="1"/>
  <c r="E3421" i="1"/>
  <c r="A3422" i="1"/>
  <c r="B3422" i="1"/>
  <c r="C3422" i="1"/>
  <c r="D3422" i="1"/>
  <c r="E3422" i="1"/>
  <c r="A3423" i="1"/>
  <c r="B3423" i="1"/>
  <c r="C3423" i="1"/>
  <c r="D3423" i="1"/>
  <c r="E3423" i="1"/>
  <c r="A3424" i="1"/>
  <c r="B3424" i="1"/>
  <c r="C3424" i="1"/>
  <c r="D3424" i="1"/>
  <c r="E3424" i="1"/>
  <c r="A3425" i="1"/>
  <c r="B3425" i="1"/>
  <c r="C3425" i="1"/>
  <c r="D3425" i="1"/>
  <c r="E3425" i="1"/>
  <c r="A3426" i="1"/>
  <c r="B3426" i="1"/>
  <c r="C3426" i="1"/>
  <c r="D3426" i="1"/>
  <c r="E3426" i="1"/>
  <c r="A3427" i="1"/>
  <c r="B3427" i="1"/>
  <c r="C3427" i="1"/>
  <c r="D3427" i="1"/>
  <c r="E3427" i="1"/>
  <c r="A3428" i="1"/>
  <c r="B3428" i="1"/>
  <c r="C3428" i="1"/>
  <c r="D3428" i="1"/>
  <c r="E3428" i="1"/>
  <c r="A3429" i="1"/>
  <c r="B3429" i="1"/>
  <c r="C3429" i="1"/>
  <c r="D3429" i="1"/>
  <c r="E3429" i="1"/>
  <c r="A3430" i="1"/>
  <c r="B3430" i="1"/>
  <c r="C3430" i="1"/>
  <c r="D3430" i="1"/>
  <c r="E3430" i="1"/>
  <c r="A3431" i="1"/>
  <c r="B3431" i="1"/>
  <c r="C3431" i="1"/>
  <c r="D3431" i="1"/>
  <c r="E3431" i="1"/>
  <c r="A3432" i="1"/>
  <c r="B3432" i="1"/>
  <c r="C3432" i="1"/>
  <c r="D3432" i="1"/>
  <c r="E3432" i="1"/>
  <c r="A3433" i="1"/>
  <c r="B3433" i="1"/>
  <c r="C3433" i="1"/>
  <c r="D3433" i="1"/>
  <c r="E3433" i="1"/>
  <c r="A3434" i="1"/>
  <c r="B3434" i="1"/>
  <c r="C3434" i="1"/>
  <c r="D3434" i="1"/>
  <c r="E3434" i="1"/>
  <c r="A3435" i="1"/>
  <c r="B3435" i="1"/>
  <c r="C3435" i="1"/>
  <c r="D3435" i="1"/>
  <c r="E3435" i="1"/>
  <c r="A3436" i="1"/>
  <c r="B3436" i="1"/>
  <c r="C3436" i="1"/>
  <c r="D3436" i="1"/>
  <c r="E3436" i="1"/>
  <c r="A3437" i="1"/>
  <c r="B3437" i="1"/>
  <c r="C3437" i="1"/>
  <c r="D3437" i="1"/>
  <c r="E3437" i="1"/>
  <c r="A3438" i="1"/>
  <c r="B3438" i="1"/>
  <c r="C3438" i="1"/>
  <c r="D3438" i="1"/>
  <c r="E3438" i="1"/>
  <c r="A3439" i="1"/>
  <c r="B3439" i="1"/>
  <c r="C3439" i="1"/>
  <c r="D3439" i="1"/>
  <c r="E3439" i="1"/>
  <c r="A3440" i="1"/>
  <c r="B3440" i="1"/>
  <c r="C3440" i="1"/>
  <c r="D3440" i="1"/>
  <c r="E3440" i="1"/>
  <c r="A3441" i="1"/>
  <c r="B3441" i="1"/>
  <c r="C3441" i="1"/>
  <c r="D3441" i="1"/>
  <c r="E3441" i="1"/>
  <c r="A3442" i="1"/>
  <c r="B3442" i="1"/>
  <c r="C3442" i="1"/>
  <c r="D3442" i="1"/>
  <c r="E3442" i="1"/>
  <c r="A3443" i="1"/>
  <c r="B3443" i="1"/>
  <c r="C3443" i="1"/>
  <c r="D3443" i="1"/>
  <c r="E3443" i="1"/>
  <c r="A3444" i="1"/>
  <c r="B3444" i="1"/>
  <c r="C3444" i="1"/>
  <c r="D3444" i="1"/>
  <c r="E3444" i="1"/>
  <c r="A3445" i="1"/>
  <c r="B3445" i="1"/>
  <c r="C3445" i="1"/>
  <c r="D3445" i="1"/>
  <c r="E3445" i="1"/>
  <c r="A3446" i="1"/>
  <c r="B3446" i="1"/>
  <c r="C3446" i="1"/>
  <c r="D3446" i="1"/>
  <c r="E3446" i="1"/>
  <c r="A3447" i="1"/>
  <c r="B3447" i="1"/>
  <c r="C3447" i="1"/>
  <c r="D3447" i="1"/>
  <c r="E3447" i="1"/>
  <c r="A3448" i="1"/>
  <c r="B3448" i="1"/>
  <c r="C3448" i="1"/>
  <c r="D3448" i="1"/>
  <c r="E3448" i="1"/>
  <c r="A3449" i="1"/>
  <c r="B3449" i="1"/>
  <c r="C3449" i="1"/>
  <c r="D3449" i="1"/>
  <c r="E3449" i="1"/>
  <c r="A3450" i="1"/>
  <c r="B3450" i="1"/>
  <c r="C3450" i="1"/>
  <c r="D3450" i="1"/>
  <c r="E3450" i="1"/>
  <c r="A3451" i="1"/>
  <c r="B3451" i="1"/>
  <c r="C3451" i="1"/>
  <c r="D3451" i="1"/>
  <c r="E3451" i="1"/>
  <c r="A3452" i="1"/>
  <c r="B3452" i="1"/>
  <c r="C3452" i="1"/>
  <c r="D3452" i="1"/>
  <c r="E3452" i="1"/>
  <c r="A3453" i="1"/>
  <c r="B3453" i="1"/>
  <c r="C3453" i="1"/>
  <c r="D3453" i="1"/>
  <c r="E3453" i="1"/>
  <c r="A3454" i="1"/>
  <c r="B3454" i="1"/>
  <c r="C3454" i="1"/>
  <c r="D3454" i="1"/>
  <c r="E3454" i="1"/>
  <c r="A3455" i="1"/>
  <c r="B3455" i="1"/>
  <c r="C3455" i="1"/>
  <c r="D3455" i="1"/>
  <c r="E3455" i="1"/>
  <c r="A3456" i="1"/>
  <c r="B3456" i="1"/>
  <c r="C3456" i="1"/>
  <c r="D3456" i="1"/>
  <c r="E3456" i="1"/>
  <c r="A3457" i="1"/>
  <c r="B3457" i="1"/>
  <c r="C3457" i="1"/>
  <c r="D3457" i="1"/>
  <c r="E3457" i="1"/>
  <c r="A3458" i="1"/>
  <c r="B3458" i="1"/>
  <c r="C3458" i="1"/>
  <c r="D3458" i="1"/>
  <c r="E3458" i="1"/>
  <c r="A3459" i="1"/>
  <c r="B3459" i="1"/>
  <c r="C3459" i="1"/>
  <c r="D3459" i="1"/>
  <c r="E3459" i="1"/>
  <c r="A3460" i="1"/>
  <c r="B3460" i="1"/>
  <c r="C3460" i="1"/>
  <c r="D3460" i="1"/>
  <c r="E3460" i="1"/>
  <c r="A3461" i="1"/>
  <c r="B3461" i="1"/>
  <c r="C3461" i="1"/>
  <c r="D3461" i="1"/>
  <c r="E3461" i="1"/>
  <c r="A3462" i="1"/>
  <c r="B3462" i="1"/>
  <c r="C3462" i="1"/>
  <c r="D3462" i="1"/>
  <c r="E3462" i="1"/>
  <c r="A3463" i="1"/>
  <c r="B3463" i="1"/>
  <c r="C3463" i="1"/>
  <c r="D3463" i="1"/>
  <c r="E3463" i="1"/>
  <c r="A3464" i="1"/>
  <c r="B3464" i="1"/>
  <c r="C3464" i="1"/>
  <c r="D3464" i="1"/>
  <c r="E3464" i="1"/>
  <c r="A3465" i="1"/>
  <c r="B3465" i="1"/>
  <c r="C3465" i="1"/>
  <c r="D3465" i="1"/>
  <c r="E3465" i="1"/>
  <c r="A3466" i="1"/>
  <c r="B3466" i="1"/>
  <c r="C3466" i="1"/>
  <c r="D3466" i="1"/>
  <c r="E3466" i="1"/>
  <c r="A3467" i="1"/>
  <c r="B3467" i="1"/>
  <c r="C3467" i="1"/>
  <c r="D3467" i="1"/>
  <c r="E3467" i="1"/>
  <c r="A3468" i="1"/>
  <c r="B3468" i="1"/>
  <c r="C3468" i="1"/>
  <c r="D3468" i="1"/>
  <c r="E3468" i="1"/>
  <c r="A3469" i="1"/>
  <c r="B3469" i="1"/>
  <c r="C3469" i="1"/>
  <c r="D3469" i="1"/>
  <c r="E3469" i="1"/>
  <c r="A3470" i="1"/>
  <c r="B3470" i="1"/>
  <c r="C3470" i="1"/>
  <c r="D3470" i="1"/>
  <c r="E3470" i="1"/>
  <c r="A3471" i="1"/>
  <c r="B3471" i="1"/>
  <c r="C3471" i="1"/>
  <c r="D3471" i="1"/>
  <c r="E3471" i="1"/>
  <c r="A3472" i="1"/>
  <c r="B3472" i="1"/>
  <c r="C3472" i="1"/>
  <c r="D3472" i="1"/>
  <c r="E3472" i="1"/>
  <c r="A3473" i="1"/>
  <c r="B3473" i="1"/>
  <c r="C3473" i="1"/>
  <c r="D3473" i="1"/>
  <c r="E3473" i="1"/>
  <c r="A3474" i="1"/>
  <c r="B3474" i="1"/>
  <c r="C3474" i="1"/>
  <c r="D3474" i="1"/>
  <c r="E3474" i="1"/>
  <c r="A3475" i="1"/>
  <c r="B3475" i="1"/>
  <c r="C3475" i="1"/>
  <c r="D3475" i="1"/>
  <c r="E3475" i="1"/>
  <c r="A3476" i="1"/>
  <c r="B3476" i="1"/>
  <c r="C3476" i="1"/>
  <c r="D3476" i="1"/>
  <c r="E3476" i="1"/>
  <c r="A3477" i="1"/>
  <c r="B3477" i="1"/>
  <c r="C3477" i="1"/>
  <c r="D3477" i="1"/>
  <c r="E3477" i="1"/>
  <c r="A3478" i="1"/>
  <c r="B3478" i="1"/>
  <c r="C3478" i="1"/>
  <c r="D3478" i="1"/>
  <c r="E3478" i="1"/>
  <c r="A3479" i="1"/>
  <c r="B3479" i="1"/>
  <c r="C3479" i="1"/>
  <c r="D3479" i="1"/>
  <c r="E3479" i="1"/>
  <c r="A3480" i="1"/>
  <c r="B3480" i="1"/>
  <c r="C3480" i="1"/>
  <c r="D3480" i="1"/>
  <c r="E3480" i="1"/>
  <c r="A3481" i="1"/>
  <c r="B3481" i="1"/>
  <c r="C3481" i="1"/>
  <c r="D3481" i="1"/>
  <c r="E3481" i="1"/>
  <c r="A3482" i="1"/>
  <c r="B3482" i="1"/>
  <c r="C3482" i="1"/>
  <c r="D3482" i="1"/>
  <c r="E3482" i="1"/>
  <c r="A3483" i="1"/>
  <c r="B3483" i="1"/>
  <c r="C3483" i="1"/>
  <c r="D3483" i="1"/>
  <c r="E3483" i="1"/>
  <c r="A3484" i="1"/>
  <c r="B3484" i="1"/>
  <c r="C3484" i="1"/>
  <c r="D3484" i="1"/>
  <c r="E3484" i="1"/>
  <c r="A3485" i="1"/>
  <c r="B3485" i="1"/>
  <c r="C3485" i="1"/>
  <c r="D3485" i="1"/>
  <c r="E3485" i="1"/>
  <c r="A3486" i="1"/>
  <c r="B3486" i="1"/>
  <c r="C3486" i="1"/>
  <c r="D3486" i="1"/>
  <c r="E3486" i="1"/>
  <c r="A3487" i="1"/>
  <c r="B3487" i="1"/>
  <c r="C3487" i="1"/>
  <c r="D3487" i="1"/>
  <c r="E3487" i="1"/>
  <c r="A3488" i="1"/>
  <c r="B3488" i="1"/>
  <c r="C3488" i="1"/>
  <c r="D3488" i="1"/>
  <c r="E3488" i="1"/>
  <c r="A3489" i="1"/>
  <c r="B3489" i="1"/>
  <c r="C3489" i="1"/>
  <c r="D3489" i="1"/>
  <c r="E3489" i="1"/>
  <c r="A3490" i="1"/>
  <c r="B3490" i="1"/>
  <c r="C3490" i="1"/>
  <c r="D3490" i="1"/>
  <c r="E3490" i="1"/>
  <c r="A3491" i="1"/>
  <c r="B3491" i="1"/>
  <c r="C3491" i="1"/>
  <c r="D3491" i="1"/>
  <c r="E3491" i="1"/>
  <c r="A3492" i="1"/>
  <c r="B3492" i="1"/>
  <c r="C3492" i="1"/>
  <c r="D3492" i="1"/>
  <c r="E3492" i="1"/>
  <c r="A3493" i="1"/>
  <c r="B3493" i="1"/>
  <c r="C3493" i="1"/>
  <c r="D3493" i="1"/>
  <c r="E3493" i="1"/>
  <c r="A3494" i="1"/>
  <c r="B3494" i="1"/>
  <c r="C3494" i="1"/>
  <c r="D3494" i="1"/>
  <c r="E3494" i="1"/>
  <c r="A3495" i="1"/>
  <c r="B3495" i="1"/>
  <c r="C3495" i="1"/>
  <c r="D3495" i="1"/>
  <c r="E3495" i="1"/>
  <c r="A3496" i="1"/>
  <c r="B3496" i="1"/>
  <c r="C3496" i="1"/>
  <c r="D3496" i="1"/>
  <c r="E3496" i="1"/>
  <c r="A3497" i="1"/>
  <c r="B3497" i="1"/>
  <c r="C3497" i="1"/>
  <c r="D3497" i="1"/>
  <c r="E3497" i="1"/>
  <c r="A3498" i="1"/>
  <c r="B3498" i="1"/>
  <c r="C3498" i="1"/>
  <c r="D3498" i="1"/>
  <c r="E3498" i="1"/>
  <c r="A3499" i="1"/>
  <c r="B3499" i="1"/>
  <c r="C3499" i="1"/>
  <c r="D3499" i="1"/>
  <c r="E3499" i="1"/>
  <c r="A3500" i="1"/>
  <c r="B3500" i="1"/>
  <c r="C3500" i="1"/>
  <c r="D3500" i="1"/>
  <c r="E3500" i="1"/>
  <c r="A3501" i="1"/>
  <c r="B3501" i="1"/>
  <c r="C3501" i="1"/>
  <c r="D3501" i="1"/>
  <c r="E3501" i="1"/>
  <c r="A3502" i="1"/>
  <c r="B3502" i="1"/>
  <c r="C3502" i="1"/>
  <c r="D3502" i="1"/>
  <c r="E3502" i="1"/>
  <c r="A3503" i="1"/>
  <c r="B3503" i="1"/>
  <c r="C3503" i="1"/>
  <c r="D3503" i="1"/>
  <c r="E3503" i="1"/>
  <c r="A3504" i="1"/>
  <c r="B3504" i="1"/>
  <c r="C3504" i="1"/>
  <c r="D3504" i="1"/>
  <c r="E3504" i="1"/>
  <c r="A3505" i="1"/>
  <c r="B3505" i="1"/>
  <c r="C3505" i="1"/>
  <c r="D3505" i="1"/>
  <c r="E3505" i="1"/>
  <c r="A3506" i="1"/>
  <c r="B3506" i="1"/>
  <c r="C3506" i="1"/>
  <c r="D3506" i="1"/>
  <c r="E3506" i="1"/>
  <c r="A3507" i="1"/>
  <c r="B3507" i="1"/>
  <c r="C3507" i="1"/>
  <c r="D3507" i="1"/>
  <c r="E3507" i="1"/>
  <c r="A3508" i="1"/>
  <c r="B3508" i="1"/>
  <c r="C3508" i="1"/>
  <c r="D3508" i="1"/>
  <c r="E3508" i="1"/>
  <c r="A3509" i="1"/>
  <c r="B3509" i="1"/>
  <c r="C3509" i="1"/>
  <c r="D3509" i="1"/>
  <c r="E3509" i="1"/>
  <c r="A3510" i="1"/>
  <c r="B3510" i="1"/>
  <c r="C3510" i="1"/>
  <c r="D3510" i="1"/>
  <c r="E3510" i="1"/>
  <c r="A3511" i="1"/>
  <c r="B3511" i="1"/>
  <c r="C3511" i="1"/>
  <c r="D3511" i="1"/>
  <c r="E3511" i="1"/>
  <c r="A3512" i="1"/>
  <c r="B3512" i="1"/>
  <c r="C3512" i="1"/>
  <c r="D3512" i="1"/>
  <c r="E3512" i="1"/>
  <c r="A3513" i="1"/>
  <c r="B3513" i="1"/>
  <c r="C3513" i="1"/>
  <c r="D3513" i="1"/>
  <c r="E3513" i="1"/>
  <c r="A3514" i="1"/>
  <c r="B3514" i="1"/>
  <c r="C3514" i="1"/>
  <c r="D3514" i="1"/>
  <c r="E3514" i="1"/>
  <c r="A3515" i="1"/>
  <c r="B3515" i="1"/>
  <c r="C3515" i="1"/>
  <c r="D3515" i="1"/>
  <c r="E3515" i="1"/>
  <c r="A3516" i="1"/>
  <c r="B3516" i="1"/>
  <c r="C3516" i="1"/>
  <c r="D3516" i="1"/>
  <c r="E3516" i="1"/>
  <c r="A3517" i="1"/>
  <c r="B3517" i="1"/>
  <c r="C3517" i="1"/>
  <c r="D3517" i="1"/>
  <c r="E3517" i="1"/>
  <c r="A3518" i="1"/>
  <c r="B3518" i="1"/>
  <c r="C3518" i="1"/>
  <c r="D3518" i="1"/>
  <c r="E3518" i="1"/>
  <c r="A3519" i="1"/>
  <c r="B3519" i="1"/>
  <c r="C3519" i="1"/>
  <c r="D3519" i="1"/>
  <c r="E3519" i="1"/>
  <c r="A3520" i="1"/>
  <c r="B3520" i="1"/>
  <c r="C3520" i="1"/>
  <c r="D3520" i="1"/>
  <c r="E3520" i="1"/>
  <c r="A3521" i="1"/>
  <c r="B3521" i="1"/>
  <c r="C3521" i="1"/>
  <c r="D3521" i="1"/>
  <c r="E3521" i="1"/>
  <c r="A3522" i="1"/>
  <c r="B3522" i="1"/>
  <c r="C3522" i="1"/>
  <c r="D3522" i="1"/>
  <c r="E3522" i="1"/>
  <c r="A3523" i="1"/>
  <c r="B3523" i="1"/>
  <c r="C3523" i="1"/>
  <c r="D3523" i="1"/>
  <c r="E3523" i="1"/>
  <c r="A3524" i="1"/>
  <c r="B3524" i="1"/>
  <c r="C3524" i="1"/>
  <c r="D3524" i="1"/>
  <c r="E3524" i="1"/>
  <c r="A3525" i="1"/>
  <c r="B3525" i="1"/>
  <c r="C3525" i="1"/>
  <c r="D3525" i="1"/>
  <c r="E3525" i="1"/>
  <c r="A3526" i="1"/>
  <c r="B3526" i="1"/>
  <c r="C3526" i="1"/>
  <c r="D3526" i="1"/>
  <c r="E3526" i="1"/>
  <c r="A3527" i="1"/>
  <c r="B3527" i="1"/>
  <c r="C3527" i="1"/>
  <c r="D3527" i="1"/>
  <c r="E3527" i="1"/>
  <c r="A3528" i="1"/>
  <c r="B3528" i="1"/>
  <c r="C3528" i="1"/>
  <c r="D3528" i="1"/>
  <c r="E3528" i="1"/>
  <c r="A3529" i="1"/>
  <c r="B3529" i="1"/>
  <c r="C3529" i="1"/>
  <c r="D3529" i="1"/>
  <c r="E3529" i="1"/>
  <c r="A3530" i="1"/>
  <c r="B3530" i="1"/>
  <c r="C3530" i="1"/>
  <c r="D3530" i="1"/>
  <c r="E3530" i="1"/>
  <c r="A3531" i="1"/>
  <c r="B3531" i="1"/>
  <c r="C3531" i="1"/>
  <c r="D3531" i="1"/>
  <c r="E3531" i="1"/>
  <c r="A3532" i="1"/>
  <c r="B3532" i="1"/>
  <c r="C3532" i="1"/>
  <c r="D3532" i="1"/>
  <c r="E3532" i="1"/>
  <c r="A3533" i="1"/>
  <c r="B3533" i="1"/>
  <c r="C3533" i="1"/>
  <c r="D3533" i="1"/>
  <c r="E3533" i="1"/>
  <c r="A3534" i="1"/>
  <c r="B3534" i="1"/>
  <c r="C3534" i="1"/>
  <c r="D3534" i="1"/>
  <c r="E3534" i="1"/>
  <c r="A3535" i="1"/>
  <c r="B3535" i="1"/>
  <c r="C3535" i="1"/>
  <c r="D3535" i="1"/>
  <c r="E3535" i="1"/>
  <c r="A3536" i="1"/>
  <c r="B3536" i="1"/>
  <c r="C3536" i="1"/>
  <c r="D3536" i="1"/>
  <c r="E3536" i="1"/>
  <c r="A3537" i="1"/>
  <c r="B3537" i="1"/>
  <c r="C3537" i="1"/>
  <c r="D3537" i="1"/>
  <c r="E3537" i="1"/>
  <c r="A3538" i="1"/>
  <c r="B3538" i="1"/>
  <c r="C3538" i="1"/>
  <c r="D3538" i="1"/>
  <c r="E3538" i="1"/>
  <c r="A3539" i="1"/>
  <c r="B3539" i="1"/>
  <c r="C3539" i="1"/>
  <c r="D3539" i="1"/>
  <c r="E3539" i="1"/>
  <c r="A3540" i="1"/>
  <c r="B3540" i="1"/>
  <c r="C3540" i="1"/>
  <c r="D3540" i="1"/>
  <c r="E3540" i="1"/>
  <c r="A3541" i="1"/>
  <c r="B3541" i="1"/>
  <c r="C3541" i="1"/>
  <c r="D3541" i="1"/>
  <c r="E3541" i="1"/>
  <c r="A3542" i="1"/>
  <c r="B3542" i="1"/>
  <c r="C3542" i="1"/>
  <c r="D3542" i="1"/>
  <c r="E3542" i="1"/>
  <c r="A3543" i="1"/>
  <c r="B3543" i="1"/>
  <c r="C3543" i="1"/>
  <c r="D3543" i="1"/>
  <c r="E3543" i="1"/>
  <c r="A3544" i="1"/>
  <c r="B3544" i="1"/>
  <c r="C3544" i="1"/>
  <c r="D3544" i="1"/>
  <c r="E3544" i="1"/>
  <c r="A3545" i="1"/>
  <c r="B3545" i="1"/>
  <c r="C3545" i="1"/>
  <c r="D3545" i="1"/>
  <c r="E3545" i="1"/>
  <c r="A3546" i="1"/>
  <c r="B3546" i="1"/>
  <c r="C3546" i="1"/>
  <c r="D3546" i="1"/>
  <c r="E3546" i="1"/>
  <c r="A3547" i="1"/>
  <c r="B3547" i="1"/>
  <c r="C3547" i="1"/>
  <c r="D3547" i="1"/>
  <c r="E3547" i="1"/>
  <c r="A3548" i="1"/>
  <c r="B3548" i="1"/>
  <c r="C3548" i="1"/>
  <c r="D3548" i="1"/>
  <c r="E3548" i="1"/>
  <c r="A3549" i="1"/>
  <c r="B3549" i="1"/>
  <c r="C3549" i="1"/>
  <c r="D3549" i="1"/>
  <c r="E3549" i="1"/>
  <c r="A3550" i="1"/>
  <c r="B3550" i="1"/>
  <c r="C3550" i="1"/>
  <c r="D3550" i="1"/>
  <c r="E3550" i="1"/>
  <c r="A3551" i="1"/>
  <c r="B3551" i="1"/>
  <c r="C3551" i="1"/>
  <c r="D3551" i="1"/>
  <c r="E3551" i="1"/>
  <c r="A3552" i="1"/>
  <c r="B3552" i="1"/>
  <c r="C3552" i="1"/>
  <c r="D3552" i="1"/>
  <c r="E3552" i="1"/>
  <c r="A3553" i="1"/>
  <c r="B3553" i="1"/>
  <c r="C3553" i="1"/>
  <c r="D3553" i="1"/>
  <c r="E3553" i="1"/>
  <c r="A3554" i="1"/>
  <c r="B3554" i="1"/>
  <c r="C3554" i="1"/>
  <c r="D3554" i="1"/>
  <c r="E3554" i="1"/>
  <c r="A3555" i="1"/>
  <c r="B3555" i="1"/>
  <c r="C3555" i="1"/>
  <c r="D3555" i="1"/>
  <c r="E3555" i="1"/>
  <c r="A3556" i="1"/>
  <c r="B3556" i="1"/>
  <c r="C3556" i="1"/>
  <c r="D3556" i="1"/>
  <c r="E3556" i="1"/>
  <c r="A3557" i="1"/>
  <c r="B3557" i="1"/>
  <c r="C3557" i="1"/>
  <c r="D3557" i="1"/>
  <c r="E3557" i="1"/>
  <c r="A3558" i="1"/>
  <c r="B3558" i="1"/>
  <c r="C3558" i="1"/>
  <c r="D3558" i="1"/>
  <c r="E3558" i="1"/>
  <c r="A3559" i="1"/>
  <c r="B3559" i="1"/>
  <c r="C3559" i="1"/>
  <c r="D3559" i="1"/>
  <c r="E3559" i="1"/>
  <c r="A3560" i="1"/>
  <c r="B3560" i="1"/>
  <c r="C3560" i="1"/>
  <c r="D3560" i="1"/>
  <c r="E3560" i="1"/>
  <c r="A3561" i="1"/>
  <c r="B3561" i="1"/>
  <c r="C3561" i="1"/>
  <c r="D3561" i="1"/>
  <c r="E3561" i="1"/>
  <c r="A3562" i="1"/>
  <c r="B3562" i="1"/>
  <c r="C3562" i="1"/>
  <c r="D3562" i="1"/>
  <c r="E3562" i="1"/>
  <c r="A3563" i="1"/>
  <c r="B3563" i="1"/>
  <c r="C3563" i="1"/>
  <c r="D3563" i="1"/>
  <c r="E3563" i="1"/>
  <c r="A3564" i="1"/>
  <c r="B3564" i="1"/>
  <c r="C3564" i="1"/>
  <c r="D3564" i="1"/>
  <c r="E3564" i="1"/>
  <c r="A3565" i="1"/>
  <c r="B3565" i="1"/>
  <c r="C3565" i="1"/>
  <c r="D3565" i="1"/>
  <c r="E3565" i="1"/>
  <c r="A3566" i="1"/>
  <c r="B3566" i="1"/>
  <c r="C3566" i="1"/>
  <c r="D3566" i="1"/>
  <c r="E3566" i="1"/>
  <c r="A3567" i="1"/>
  <c r="B3567" i="1"/>
  <c r="C3567" i="1"/>
  <c r="D3567" i="1"/>
  <c r="E3567" i="1"/>
  <c r="A3568" i="1"/>
  <c r="B3568" i="1"/>
  <c r="C3568" i="1"/>
  <c r="D3568" i="1"/>
  <c r="E3568" i="1"/>
  <c r="A3569" i="1"/>
  <c r="B3569" i="1"/>
  <c r="C3569" i="1"/>
  <c r="D3569" i="1"/>
  <c r="E3569" i="1"/>
  <c r="A3570" i="1"/>
  <c r="B3570" i="1"/>
  <c r="C3570" i="1"/>
  <c r="D3570" i="1"/>
  <c r="E3570" i="1"/>
  <c r="A3571" i="1"/>
  <c r="B3571" i="1"/>
  <c r="C3571" i="1"/>
  <c r="D3571" i="1"/>
  <c r="E3571" i="1"/>
  <c r="A3572" i="1"/>
  <c r="B3572" i="1"/>
  <c r="C3572" i="1"/>
  <c r="D3572" i="1"/>
  <c r="E3572" i="1"/>
  <c r="A3573" i="1"/>
  <c r="B3573" i="1"/>
  <c r="C3573" i="1"/>
  <c r="D3573" i="1"/>
  <c r="E3573" i="1"/>
  <c r="A3574" i="1"/>
  <c r="B3574" i="1"/>
  <c r="C3574" i="1"/>
  <c r="D3574" i="1"/>
  <c r="E3574" i="1"/>
  <c r="A3575" i="1"/>
  <c r="B3575" i="1"/>
  <c r="C3575" i="1"/>
  <c r="D3575" i="1"/>
  <c r="E3575" i="1"/>
  <c r="A3576" i="1"/>
  <c r="B3576" i="1"/>
  <c r="C3576" i="1"/>
  <c r="D3576" i="1"/>
  <c r="E3576" i="1"/>
  <c r="A3577" i="1"/>
  <c r="B3577" i="1"/>
  <c r="C3577" i="1"/>
  <c r="D3577" i="1"/>
  <c r="E3577" i="1"/>
  <c r="A3578" i="1"/>
  <c r="B3578" i="1"/>
  <c r="C3578" i="1"/>
  <c r="D3578" i="1"/>
  <c r="E3578" i="1"/>
  <c r="A3579" i="1"/>
  <c r="B3579" i="1"/>
  <c r="C3579" i="1"/>
  <c r="D3579" i="1"/>
  <c r="E3579" i="1"/>
  <c r="A3580" i="1"/>
  <c r="B3580" i="1"/>
  <c r="C3580" i="1"/>
  <c r="D3580" i="1"/>
  <c r="E3580" i="1"/>
  <c r="A3581" i="1"/>
  <c r="B3581" i="1"/>
  <c r="C3581" i="1"/>
  <c r="D3581" i="1"/>
  <c r="E3581" i="1"/>
  <c r="A3582" i="1"/>
  <c r="B3582" i="1"/>
  <c r="C3582" i="1"/>
  <c r="D3582" i="1"/>
  <c r="E3582" i="1"/>
  <c r="A3583" i="1"/>
  <c r="B3583" i="1"/>
  <c r="C3583" i="1"/>
  <c r="D3583" i="1"/>
  <c r="E3583" i="1"/>
  <c r="A3584" i="1"/>
  <c r="B3584" i="1"/>
  <c r="C3584" i="1"/>
  <c r="D3584" i="1"/>
  <c r="E3584" i="1"/>
  <c r="A3585" i="1"/>
  <c r="B3585" i="1"/>
  <c r="C3585" i="1"/>
  <c r="D3585" i="1"/>
  <c r="E3585" i="1"/>
  <c r="A3586" i="1"/>
  <c r="B3586" i="1"/>
  <c r="C3586" i="1"/>
  <c r="D3586" i="1"/>
  <c r="E3586" i="1"/>
  <c r="A3587" i="1"/>
  <c r="B3587" i="1"/>
  <c r="C3587" i="1"/>
  <c r="D3587" i="1"/>
  <c r="E3587" i="1"/>
  <c r="A3588" i="1"/>
  <c r="B3588" i="1"/>
  <c r="C3588" i="1"/>
  <c r="D3588" i="1"/>
  <c r="E3588" i="1"/>
  <c r="A3589" i="1"/>
  <c r="B3589" i="1"/>
  <c r="C3589" i="1"/>
  <c r="D3589" i="1"/>
  <c r="E3589" i="1"/>
  <c r="A3590" i="1"/>
  <c r="B3590" i="1"/>
  <c r="C3590" i="1"/>
  <c r="D3590" i="1"/>
  <c r="E3590" i="1"/>
  <c r="A3591" i="1"/>
  <c r="B3591" i="1"/>
  <c r="C3591" i="1"/>
  <c r="D3591" i="1"/>
  <c r="E3591" i="1"/>
  <c r="A3592" i="1"/>
  <c r="B3592" i="1"/>
  <c r="C3592" i="1"/>
  <c r="D3592" i="1"/>
  <c r="E3592" i="1"/>
  <c r="A3593" i="1"/>
  <c r="B3593" i="1"/>
  <c r="C3593" i="1"/>
  <c r="D3593" i="1"/>
  <c r="E3593" i="1"/>
  <c r="A3594" i="1"/>
  <c r="B3594" i="1"/>
  <c r="C3594" i="1"/>
  <c r="D3594" i="1"/>
  <c r="E3594" i="1"/>
  <c r="A3595" i="1"/>
  <c r="B3595" i="1"/>
  <c r="C3595" i="1"/>
  <c r="D3595" i="1"/>
  <c r="E3595" i="1"/>
  <c r="A3596" i="1"/>
  <c r="B3596" i="1"/>
  <c r="C3596" i="1"/>
  <c r="D3596" i="1"/>
  <c r="E3596" i="1"/>
  <c r="A3597" i="1"/>
  <c r="B3597" i="1"/>
  <c r="C3597" i="1"/>
  <c r="D3597" i="1"/>
  <c r="E3597" i="1"/>
  <c r="A3598" i="1"/>
  <c r="B3598" i="1"/>
  <c r="C3598" i="1"/>
  <c r="D3598" i="1"/>
  <c r="E3598" i="1"/>
  <c r="A3599" i="1"/>
  <c r="B3599" i="1"/>
  <c r="C3599" i="1"/>
  <c r="D3599" i="1"/>
  <c r="E3599" i="1"/>
  <c r="A3600" i="1"/>
  <c r="B3600" i="1"/>
  <c r="C3600" i="1"/>
  <c r="D3600" i="1"/>
  <c r="E3600" i="1"/>
  <c r="A3601" i="1"/>
  <c r="B3601" i="1"/>
  <c r="C3601" i="1"/>
  <c r="D3601" i="1"/>
  <c r="E3601" i="1"/>
  <c r="A3602" i="1"/>
  <c r="B3602" i="1"/>
  <c r="C3602" i="1"/>
  <c r="D3602" i="1"/>
  <c r="E3602" i="1"/>
  <c r="A3603" i="1"/>
  <c r="B3603" i="1"/>
  <c r="C3603" i="1"/>
  <c r="D3603" i="1"/>
  <c r="E3603" i="1"/>
  <c r="A3604" i="1"/>
  <c r="B3604" i="1"/>
  <c r="C3604" i="1"/>
  <c r="D3604" i="1"/>
  <c r="E3604" i="1"/>
  <c r="A3605" i="1"/>
  <c r="B3605" i="1"/>
  <c r="C3605" i="1"/>
  <c r="D3605" i="1"/>
  <c r="E3605" i="1"/>
  <c r="A3606" i="1"/>
  <c r="B3606" i="1"/>
  <c r="C3606" i="1"/>
  <c r="D3606" i="1"/>
  <c r="E3606" i="1"/>
  <c r="A3607" i="1"/>
  <c r="B3607" i="1"/>
  <c r="C3607" i="1"/>
  <c r="D3607" i="1"/>
  <c r="E3607" i="1"/>
  <c r="A3608" i="1"/>
  <c r="B3608" i="1"/>
  <c r="C3608" i="1"/>
  <c r="D3608" i="1"/>
  <c r="E3608" i="1"/>
  <c r="A3609" i="1"/>
  <c r="B3609" i="1"/>
  <c r="C3609" i="1"/>
  <c r="D3609" i="1"/>
  <c r="E3609" i="1"/>
  <c r="A3610" i="1"/>
  <c r="B3610" i="1"/>
  <c r="C3610" i="1"/>
  <c r="D3610" i="1"/>
  <c r="E3610" i="1"/>
  <c r="A3611" i="1"/>
  <c r="B3611" i="1"/>
  <c r="C3611" i="1"/>
  <c r="D3611" i="1"/>
  <c r="E3611" i="1"/>
  <c r="A3612" i="1"/>
  <c r="B3612" i="1"/>
  <c r="C3612" i="1"/>
  <c r="D3612" i="1"/>
  <c r="E3612" i="1"/>
  <c r="A3613" i="1"/>
  <c r="B3613" i="1"/>
  <c r="C3613" i="1"/>
  <c r="D3613" i="1"/>
  <c r="E3613" i="1"/>
  <c r="A3614" i="1"/>
  <c r="B3614" i="1"/>
  <c r="C3614" i="1"/>
  <c r="D3614" i="1"/>
  <c r="E3614" i="1"/>
  <c r="A3615" i="1"/>
  <c r="B3615" i="1"/>
  <c r="C3615" i="1"/>
  <c r="D3615" i="1"/>
  <c r="E3615" i="1"/>
  <c r="A3616" i="1"/>
  <c r="B3616" i="1"/>
  <c r="C3616" i="1"/>
  <c r="D3616" i="1"/>
  <c r="E3616" i="1"/>
  <c r="A3617" i="1"/>
  <c r="B3617" i="1"/>
  <c r="C3617" i="1"/>
  <c r="D3617" i="1"/>
  <c r="E3617" i="1"/>
  <c r="A3618" i="1"/>
  <c r="B3618" i="1"/>
  <c r="C3618" i="1"/>
  <c r="D3618" i="1"/>
  <c r="E3618" i="1"/>
  <c r="A3619" i="1"/>
  <c r="B3619" i="1"/>
  <c r="C3619" i="1"/>
  <c r="D3619" i="1"/>
  <c r="E3619" i="1"/>
  <c r="A3620" i="1"/>
  <c r="B3620" i="1"/>
  <c r="C3620" i="1"/>
  <c r="D3620" i="1"/>
  <c r="E3620" i="1"/>
  <c r="A3621" i="1"/>
  <c r="B3621" i="1"/>
  <c r="C3621" i="1"/>
  <c r="D3621" i="1"/>
  <c r="E3621" i="1"/>
  <c r="A3622" i="1"/>
  <c r="B3622" i="1"/>
  <c r="C3622" i="1"/>
  <c r="D3622" i="1"/>
  <c r="E3622" i="1"/>
  <c r="A3623" i="1"/>
  <c r="B3623" i="1"/>
  <c r="C3623" i="1"/>
  <c r="D3623" i="1"/>
  <c r="E3623" i="1"/>
  <c r="A3624" i="1"/>
  <c r="B3624" i="1"/>
  <c r="C3624" i="1"/>
  <c r="D3624" i="1"/>
  <c r="E3624" i="1"/>
  <c r="A3625" i="1"/>
  <c r="B3625" i="1"/>
  <c r="C3625" i="1"/>
  <c r="D3625" i="1"/>
  <c r="E3625" i="1"/>
  <c r="A3626" i="1"/>
  <c r="B3626" i="1"/>
  <c r="C3626" i="1"/>
  <c r="D3626" i="1"/>
  <c r="E3626" i="1"/>
  <c r="A3627" i="1"/>
  <c r="B3627" i="1"/>
  <c r="C3627" i="1"/>
  <c r="D3627" i="1"/>
  <c r="E3627" i="1"/>
  <c r="A3628" i="1"/>
  <c r="B3628" i="1"/>
  <c r="C3628" i="1"/>
  <c r="D3628" i="1"/>
  <c r="E3628" i="1"/>
  <c r="A3629" i="1"/>
  <c r="B3629" i="1"/>
  <c r="C3629" i="1"/>
  <c r="D3629" i="1"/>
  <c r="E3629" i="1"/>
  <c r="A3630" i="1"/>
  <c r="B3630" i="1"/>
  <c r="C3630" i="1"/>
  <c r="D3630" i="1"/>
  <c r="E3630" i="1"/>
  <c r="A3631" i="1"/>
  <c r="B3631" i="1"/>
  <c r="C3631" i="1"/>
  <c r="D3631" i="1"/>
  <c r="E3631" i="1"/>
  <c r="A3632" i="1"/>
  <c r="B3632" i="1"/>
  <c r="C3632" i="1"/>
  <c r="D3632" i="1"/>
  <c r="E3632" i="1"/>
  <c r="A3633" i="1"/>
  <c r="B3633" i="1"/>
  <c r="C3633" i="1"/>
  <c r="D3633" i="1"/>
  <c r="E3633" i="1"/>
  <c r="A3634" i="1"/>
  <c r="B3634" i="1"/>
  <c r="C3634" i="1"/>
  <c r="D3634" i="1"/>
  <c r="E3634" i="1"/>
  <c r="A3635" i="1"/>
  <c r="B3635" i="1"/>
  <c r="C3635" i="1"/>
  <c r="D3635" i="1"/>
  <c r="E3635" i="1"/>
  <c r="A3636" i="1"/>
  <c r="B3636" i="1"/>
  <c r="C3636" i="1"/>
  <c r="D3636" i="1"/>
  <c r="E3636" i="1"/>
  <c r="A3637" i="1"/>
  <c r="B3637" i="1"/>
  <c r="C3637" i="1"/>
  <c r="D3637" i="1"/>
  <c r="E3637" i="1"/>
  <c r="A3638" i="1"/>
  <c r="B3638" i="1"/>
  <c r="C3638" i="1"/>
  <c r="D3638" i="1"/>
  <c r="E3638" i="1"/>
  <c r="A3639" i="1"/>
  <c r="B3639" i="1"/>
  <c r="C3639" i="1"/>
  <c r="D3639" i="1"/>
  <c r="E3639" i="1"/>
  <c r="A3640" i="1"/>
  <c r="B3640" i="1"/>
  <c r="C3640" i="1"/>
  <c r="D3640" i="1"/>
  <c r="E3640" i="1"/>
  <c r="A3641" i="1"/>
  <c r="B3641" i="1"/>
  <c r="C3641" i="1"/>
  <c r="D3641" i="1"/>
  <c r="E3641" i="1"/>
  <c r="A3642" i="1"/>
  <c r="B3642" i="1"/>
  <c r="C3642" i="1"/>
  <c r="D3642" i="1"/>
  <c r="E3642" i="1"/>
  <c r="A3643" i="1"/>
  <c r="B3643" i="1"/>
  <c r="C3643" i="1"/>
  <c r="D3643" i="1"/>
  <c r="E3643" i="1"/>
  <c r="A3644" i="1"/>
  <c r="B3644" i="1"/>
  <c r="C3644" i="1"/>
  <c r="D3644" i="1"/>
  <c r="E3644" i="1"/>
  <c r="A3645" i="1"/>
  <c r="B3645" i="1"/>
  <c r="C3645" i="1"/>
  <c r="D3645" i="1"/>
  <c r="E3645" i="1"/>
  <c r="A3646" i="1"/>
  <c r="B3646" i="1"/>
  <c r="C3646" i="1"/>
  <c r="D3646" i="1"/>
  <c r="E3646" i="1"/>
  <c r="A3647" i="1"/>
  <c r="B3647" i="1"/>
  <c r="C3647" i="1"/>
  <c r="D3647" i="1"/>
  <c r="E3647" i="1"/>
  <c r="A3648" i="1"/>
  <c r="B3648" i="1"/>
  <c r="C3648" i="1"/>
  <c r="D3648" i="1"/>
  <c r="E3648" i="1"/>
  <c r="A3649" i="1"/>
  <c r="B3649" i="1"/>
  <c r="C3649" i="1"/>
  <c r="D3649" i="1"/>
  <c r="E3649" i="1"/>
  <c r="A3650" i="1"/>
  <c r="B3650" i="1"/>
  <c r="C3650" i="1"/>
  <c r="D3650" i="1"/>
  <c r="E3650" i="1"/>
  <c r="A3651" i="1"/>
  <c r="B3651" i="1"/>
  <c r="C3651" i="1"/>
  <c r="D3651" i="1"/>
  <c r="E3651" i="1"/>
  <c r="A3652" i="1"/>
  <c r="B3652" i="1"/>
  <c r="C3652" i="1"/>
  <c r="D3652" i="1"/>
  <c r="E3652" i="1"/>
  <c r="A3653" i="1"/>
  <c r="B3653" i="1"/>
  <c r="C3653" i="1"/>
  <c r="D3653" i="1"/>
  <c r="E3653" i="1"/>
  <c r="A3654" i="1"/>
  <c r="B3654" i="1"/>
  <c r="C3654" i="1"/>
  <c r="D3654" i="1"/>
  <c r="E3654" i="1"/>
  <c r="A3655" i="1"/>
  <c r="B3655" i="1"/>
  <c r="C3655" i="1"/>
  <c r="D3655" i="1"/>
  <c r="E3655" i="1"/>
  <c r="A3656" i="1"/>
  <c r="B3656" i="1"/>
  <c r="C3656" i="1"/>
  <c r="D3656" i="1"/>
  <c r="E3656" i="1"/>
  <c r="A3657" i="1"/>
  <c r="B3657" i="1"/>
  <c r="C3657" i="1"/>
  <c r="D3657" i="1"/>
  <c r="E3657" i="1"/>
  <c r="A3658" i="1"/>
  <c r="B3658" i="1"/>
  <c r="C3658" i="1"/>
  <c r="D3658" i="1"/>
  <c r="E3658" i="1"/>
  <c r="A3659" i="1"/>
  <c r="B3659" i="1"/>
  <c r="C3659" i="1"/>
  <c r="D3659" i="1"/>
  <c r="E3659" i="1"/>
  <c r="A3660" i="1"/>
  <c r="B3660" i="1"/>
  <c r="C3660" i="1"/>
  <c r="D3660" i="1"/>
  <c r="E3660" i="1"/>
  <c r="A3661" i="1"/>
  <c r="B3661" i="1"/>
  <c r="C3661" i="1"/>
  <c r="D3661" i="1"/>
  <c r="E3661" i="1"/>
  <c r="A3662" i="1"/>
  <c r="B3662" i="1"/>
  <c r="C3662" i="1"/>
  <c r="D3662" i="1"/>
  <c r="E3662" i="1"/>
  <c r="A3663" i="1"/>
  <c r="B3663" i="1"/>
  <c r="C3663" i="1"/>
  <c r="D3663" i="1"/>
  <c r="E3663" i="1"/>
  <c r="A3664" i="1"/>
  <c r="B3664" i="1"/>
  <c r="C3664" i="1"/>
  <c r="D3664" i="1"/>
  <c r="E3664" i="1"/>
  <c r="A3665" i="1"/>
  <c r="B3665" i="1"/>
  <c r="C3665" i="1"/>
  <c r="D3665" i="1"/>
  <c r="E3665" i="1"/>
  <c r="A3666" i="1"/>
  <c r="B3666" i="1"/>
  <c r="C3666" i="1"/>
  <c r="D3666" i="1"/>
  <c r="E3666" i="1"/>
  <c r="A3667" i="1"/>
  <c r="B3667" i="1"/>
  <c r="C3667" i="1"/>
  <c r="D3667" i="1"/>
  <c r="E3667" i="1"/>
  <c r="A3668" i="1"/>
  <c r="B3668" i="1"/>
  <c r="C3668" i="1"/>
  <c r="D3668" i="1"/>
  <c r="E3668" i="1"/>
  <c r="A3669" i="1"/>
  <c r="B3669" i="1"/>
  <c r="C3669" i="1"/>
  <c r="D3669" i="1"/>
  <c r="E3669" i="1"/>
  <c r="A3670" i="1"/>
  <c r="B3670" i="1"/>
  <c r="C3670" i="1"/>
  <c r="D3670" i="1"/>
  <c r="E3670" i="1"/>
  <c r="A3671" i="1"/>
  <c r="B3671" i="1"/>
  <c r="C3671" i="1"/>
  <c r="D3671" i="1"/>
  <c r="E3671" i="1"/>
  <c r="A3672" i="1"/>
  <c r="B3672" i="1"/>
  <c r="C3672" i="1"/>
  <c r="D3672" i="1"/>
  <c r="E3672" i="1"/>
  <c r="A3673" i="1"/>
  <c r="B3673" i="1"/>
  <c r="C3673" i="1"/>
  <c r="D3673" i="1"/>
  <c r="E3673" i="1"/>
  <c r="A3674" i="1"/>
  <c r="B3674" i="1"/>
  <c r="C3674" i="1"/>
  <c r="D3674" i="1"/>
  <c r="E3674" i="1"/>
  <c r="A3675" i="1"/>
  <c r="B3675" i="1"/>
  <c r="C3675" i="1"/>
  <c r="D3675" i="1"/>
  <c r="E3675" i="1"/>
  <c r="A3676" i="1"/>
  <c r="B3676" i="1"/>
  <c r="C3676" i="1"/>
  <c r="D3676" i="1"/>
  <c r="E3676" i="1"/>
  <c r="A3677" i="1"/>
  <c r="B3677" i="1"/>
  <c r="C3677" i="1"/>
  <c r="D3677" i="1"/>
  <c r="E3677" i="1"/>
  <c r="A3678" i="1"/>
  <c r="B3678" i="1"/>
  <c r="C3678" i="1"/>
  <c r="D3678" i="1"/>
  <c r="E3678" i="1"/>
  <c r="A3679" i="1"/>
  <c r="B3679" i="1"/>
  <c r="C3679" i="1"/>
  <c r="D3679" i="1"/>
  <c r="E3679" i="1"/>
  <c r="A3680" i="1"/>
  <c r="B3680" i="1"/>
  <c r="C3680" i="1"/>
  <c r="D3680" i="1"/>
  <c r="E3680" i="1"/>
  <c r="A3681" i="1"/>
  <c r="B3681" i="1"/>
  <c r="C3681" i="1"/>
  <c r="D3681" i="1"/>
  <c r="E3681" i="1"/>
  <c r="A3682" i="1"/>
  <c r="B3682" i="1"/>
  <c r="C3682" i="1"/>
  <c r="D3682" i="1"/>
  <c r="E3682" i="1"/>
  <c r="A3683" i="1"/>
  <c r="B3683" i="1"/>
  <c r="C3683" i="1"/>
  <c r="D3683" i="1"/>
  <c r="E3683" i="1"/>
  <c r="A3684" i="1"/>
  <c r="B3684" i="1"/>
  <c r="C3684" i="1"/>
  <c r="D3684" i="1"/>
  <c r="E3684" i="1"/>
  <c r="A3685" i="1"/>
  <c r="B3685" i="1"/>
  <c r="C3685" i="1"/>
  <c r="D3685" i="1"/>
  <c r="E3685" i="1"/>
  <c r="A3686" i="1"/>
  <c r="B3686" i="1"/>
  <c r="C3686" i="1"/>
  <c r="D3686" i="1"/>
  <c r="E3686" i="1"/>
  <c r="A3687" i="1"/>
  <c r="B3687" i="1"/>
  <c r="C3687" i="1"/>
  <c r="D3687" i="1"/>
  <c r="E3687" i="1"/>
  <c r="A3688" i="1"/>
  <c r="B3688" i="1"/>
  <c r="C3688" i="1"/>
  <c r="D3688" i="1"/>
  <c r="E3688" i="1"/>
  <c r="A3689" i="1"/>
  <c r="B3689" i="1"/>
  <c r="C3689" i="1"/>
  <c r="D3689" i="1"/>
  <c r="E3689" i="1"/>
  <c r="A3690" i="1"/>
  <c r="B3690" i="1"/>
  <c r="C3690" i="1"/>
  <c r="D3690" i="1"/>
  <c r="E3690" i="1"/>
  <c r="A3691" i="1"/>
  <c r="B3691" i="1"/>
  <c r="C3691" i="1"/>
  <c r="D3691" i="1"/>
  <c r="E3691" i="1"/>
  <c r="A3692" i="1"/>
  <c r="B3692" i="1"/>
  <c r="C3692" i="1"/>
  <c r="D3692" i="1"/>
  <c r="E3692" i="1"/>
  <c r="A3693" i="1"/>
  <c r="B3693" i="1"/>
  <c r="C3693" i="1"/>
  <c r="D3693" i="1"/>
  <c r="E3693" i="1"/>
  <c r="A3694" i="1"/>
  <c r="B3694" i="1"/>
  <c r="C3694" i="1"/>
  <c r="D3694" i="1"/>
  <c r="E3694" i="1"/>
  <c r="A3695" i="1"/>
  <c r="B3695" i="1"/>
  <c r="C3695" i="1"/>
  <c r="D3695" i="1"/>
  <c r="E3695" i="1"/>
  <c r="A3696" i="1"/>
  <c r="B3696" i="1"/>
  <c r="C3696" i="1"/>
  <c r="D3696" i="1"/>
  <c r="E3696" i="1"/>
  <c r="A3697" i="1"/>
  <c r="B3697" i="1"/>
  <c r="C3697" i="1"/>
  <c r="D3697" i="1"/>
  <c r="E3697" i="1"/>
  <c r="A3698" i="1"/>
  <c r="B3698" i="1"/>
  <c r="C3698" i="1"/>
  <c r="D3698" i="1"/>
  <c r="E3698" i="1"/>
  <c r="A3699" i="1"/>
  <c r="B3699" i="1"/>
  <c r="C3699" i="1"/>
  <c r="D3699" i="1"/>
  <c r="E3699" i="1"/>
  <c r="A3700" i="1"/>
  <c r="B3700" i="1"/>
  <c r="C3700" i="1"/>
  <c r="D3700" i="1"/>
  <c r="E3700" i="1"/>
  <c r="A3701" i="1"/>
  <c r="B3701" i="1"/>
  <c r="C3701" i="1"/>
  <c r="D3701" i="1"/>
  <c r="E3701" i="1"/>
  <c r="A3702" i="1"/>
  <c r="B3702" i="1"/>
  <c r="C3702" i="1"/>
  <c r="D3702" i="1"/>
  <c r="E3702" i="1"/>
  <c r="A3703" i="1"/>
  <c r="B3703" i="1"/>
  <c r="C3703" i="1"/>
  <c r="D3703" i="1"/>
  <c r="E3703" i="1"/>
  <c r="A3704" i="1"/>
  <c r="B3704" i="1"/>
  <c r="C3704" i="1"/>
  <c r="D3704" i="1"/>
  <c r="E3704" i="1"/>
  <c r="A3705" i="1"/>
  <c r="B3705" i="1"/>
  <c r="C3705" i="1"/>
  <c r="D3705" i="1"/>
  <c r="E3705" i="1"/>
  <c r="A3706" i="1"/>
  <c r="B3706" i="1"/>
  <c r="C3706" i="1"/>
  <c r="D3706" i="1"/>
  <c r="E3706" i="1"/>
  <c r="A3707" i="1"/>
  <c r="B3707" i="1"/>
  <c r="C3707" i="1"/>
  <c r="D3707" i="1"/>
  <c r="E3707" i="1"/>
  <c r="A3708" i="1"/>
  <c r="B3708" i="1"/>
  <c r="C3708" i="1"/>
  <c r="D3708" i="1"/>
  <c r="E3708" i="1"/>
  <c r="A3709" i="1"/>
  <c r="B3709" i="1"/>
  <c r="C3709" i="1"/>
  <c r="D3709" i="1"/>
  <c r="E3709" i="1"/>
  <c r="A3710" i="1"/>
  <c r="B3710" i="1"/>
  <c r="C3710" i="1"/>
  <c r="D3710" i="1"/>
  <c r="E3710" i="1"/>
  <c r="A3711" i="1"/>
  <c r="B3711" i="1"/>
  <c r="C3711" i="1"/>
  <c r="D3711" i="1"/>
  <c r="E3711" i="1"/>
  <c r="A3712" i="1"/>
  <c r="B3712" i="1"/>
  <c r="C3712" i="1"/>
  <c r="D3712" i="1"/>
  <c r="E3712" i="1"/>
  <c r="A3713" i="1"/>
  <c r="B3713" i="1"/>
  <c r="C3713" i="1"/>
  <c r="D3713" i="1"/>
  <c r="E3713" i="1"/>
  <c r="A3714" i="1"/>
  <c r="B3714" i="1"/>
  <c r="C3714" i="1"/>
  <c r="D3714" i="1"/>
  <c r="E3714" i="1"/>
  <c r="A3715" i="1"/>
  <c r="B3715" i="1"/>
  <c r="C3715" i="1"/>
  <c r="D3715" i="1"/>
  <c r="E3715" i="1"/>
  <c r="A3716" i="1"/>
  <c r="B3716" i="1"/>
  <c r="C3716" i="1"/>
  <c r="D3716" i="1"/>
  <c r="E3716" i="1"/>
  <c r="A3717" i="1"/>
  <c r="B3717" i="1"/>
  <c r="C3717" i="1"/>
  <c r="D3717" i="1"/>
  <c r="E3717" i="1"/>
  <c r="A3718" i="1"/>
  <c r="B3718" i="1"/>
  <c r="C3718" i="1"/>
  <c r="D3718" i="1"/>
  <c r="E3718" i="1"/>
  <c r="A3719" i="1"/>
  <c r="B3719" i="1"/>
  <c r="C3719" i="1"/>
  <c r="D3719" i="1"/>
  <c r="E3719" i="1"/>
  <c r="A3720" i="1"/>
  <c r="B3720" i="1"/>
  <c r="C3720" i="1"/>
  <c r="D3720" i="1"/>
  <c r="E3720" i="1"/>
  <c r="A3721" i="1"/>
  <c r="B3721" i="1"/>
  <c r="C3721" i="1"/>
  <c r="D3721" i="1"/>
  <c r="E3721" i="1"/>
  <c r="A3722" i="1"/>
  <c r="B3722" i="1"/>
  <c r="C3722" i="1"/>
  <c r="D3722" i="1"/>
  <c r="E3722" i="1"/>
  <c r="A3723" i="1"/>
  <c r="B3723" i="1"/>
  <c r="C3723" i="1"/>
  <c r="D3723" i="1"/>
  <c r="E3723" i="1"/>
  <c r="A3724" i="1"/>
  <c r="B3724" i="1"/>
  <c r="C3724" i="1"/>
  <c r="D3724" i="1"/>
  <c r="E3724" i="1"/>
  <c r="A3725" i="1"/>
  <c r="B3725" i="1"/>
  <c r="C3725" i="1"/>
  <c r="D3725" i="1"/>
  <c r="E3725" i="1"/>
  <c r="A3726" i="1"/>
  <c r="B3726" i="1"/>
  <c r="C3726" i="1"/>
  <c r="D3726" i="1"/>
  <c r="E3726" i="1"/>
  <c r="A3727" i="1"/>
  <c r="B3727" i="1"/>
  <c r="C3727" i="1"/>
  <c r="D3727" i="1"/>
  <c r="E3727" i="1"/>
  <c r="A3728" i="1"/>
  <c r="B3728" i="1"/>
  <c r="C3728" i="1"/>
  <c r="D3728" i="1"/>
  <c r="E3728" i="1"/>
  <c r="A3729" i="1"/>
  <c r="B3729" i="1"/>
  <c r="C3729" i="1"/>
  <c r="D3729" i="1"/>
  <c r="E3729" i="1"/>
  <c r="A3730" i="1"/>
  <c r="B3730" i="1"/>
  <c r="C3730" i="1"/>
  <c r="D3730" i="1"/>
  <c r="E3730" i="1"/>
  <c r="A3731" i="1"/>
  <c r="B3731" i="1"/>
  <c r="C3731" i="1"/>
  <c r="D3731" i="1"/>
  <c r="E3731" i="1"/>
  <c r="A3732" i="1"/>
  <c r="B3732" i="1"/>
  <c r="C3732" i="1"/>
  <c r="D3732" i="1"/>
  <c r="E3732" i="1"/>
  <c r="A3733" i="1"/>
  <c r="B3733" i="1"/>
  <c r="C3733" i="1"/>
  <c r="D3733" i="1"/>
  <c r="E3733" i="1"/>
  <c r="A3734" i="1"/>
  <c r="B3734" i="1"/>
  <c r="C3734" i="1"/>
  <c r="D3734" i="1"/>
  <c r="E3734" i="1"/>
  <c r="A3735" i="1"/>
  <c r="B3735" i="1"/>
  <c r="C3735" i="1"/>
  <c r="D3735" i="1"/>
  <c r="E3735" i="1"/>
  <c r="A3736" i="1"/>
  <c r="B3736" i="1"/>
  <c r="C3736" i="1"/>
  <c r="D3736" i="1"/>
  <c r="E3736" i="1"/>
  <c r="A3737" i="1"/>
  <c r="B3737" i="1"/>
  <c r="C3737" i="1"/>
  <c r="D3737" i="1"/>
  <c r="E3737" i="1"/>
  <c r="A3738" i="1"/>
  <c r="B3738" i="1"/>
  <c r="C3738" i="1"/>
  <c r="D3738" i="1"/>
  <c r="E3738" i="1"/>
  <c r="A3739" i="1"/>
  <c r="B3739" i="1"/>
  <c r="C3739" i="1"/>
  <c r="D3739" i="1"/>
  <c r="E3739" i="1"/>
  <c r="A3740" i="1"/>
  <c r="B3740" i="1"/>
  <c r="C3740" i="1"/>
  <c r="D3740" i="1"/>
  <c r="E3740" i="1"/>
  <c r="A3741" i="1"/>
  <c r="B3741" i="1"/>
  <c r="C3741" i="1"/>
  <c r="D3741" i="1"/>
  <c r="E3741" i="1"/>
  <c r="A3742" i="1"/>
  <c r="B3742" i="1"/>
  <c r="C3742" i="1"/>
  <c r="D3742" i="1"/>
  <c r="E3742" i="1"/>
  <c r="A3743" i="1"/>
  <c r="B3743" i="1"/>
  <c r="C3743" i="1"/>
  <c r="D3743" i="1"/>
  <c r="E3743" i="1"/>
  <c r="A3744" i="1"/>
  <c r="B3744" i="1"/>
  <c r="C3744" i="1"/>
  <c r="D3744" i="1"/>
  <c r="E3744" i="1"/>
  <c r="A3745" i="1"/>
  <c r="B3745" i="1"/>
  <c r="C3745" i="1"/>
  <c r="D3745" i="1"/>
  <c r="E3745" i="1"/>
  <c r="A3746" i="1"/>
  <c r="B3746" i="1"/>
  <c r="C3746" i="1"/>
  <c r="D3746" i="1"/>
  <c r="E3746" i="1"/>
  <c r="A3747" i="1"/>
  <c r="B3747" i="1"/>
  <c r="C3747" i="1"/>
  <c r="D3747" i="1"/>
  <c r="E3747" i="1"/>
  <c r="A3748" i="1"/>
  <c r="B3748" i="1"/>
  <c r="C3748" i="1"/>
  <c r="D3748" i="1"/>
  <c r="E3748" i="1"/>
  <c r="A3749" i="1"/>
  <c r="B3749" i="1"/>
  <c r="C3749" i="1"/>
  <c r="D3749" i="1"/>
  <c r="E3749" i="1"/>
  <c r="A3750" i="1"/>
  <c r="B3750" i="1"/>
  <c r="C3750" i="1"/>
  <c r="D3750" i="1"/>
  <c r="E3750" i="1"/>
  <c r="A3751" i="1"/>
  <c r="B3751" i="1"/>
  <c r="C3751" i="1"/>
  <c r="D3751" i="1"/>
  <c r="E3751" i="1"/>
  <c r="A3752" i="1"/>
  <c r="B3752" i="1"/>
  <c r="C3752" i="1"/>
  <c r="D3752" i="1"/>
  <c r="E3752" i="1"/>
  <c r="A3753" i="1"/>
  <c r="B3753" i="1"/>
  <c r="C3753" i="1"/>
  <c r="D3753" i="1"/>
  <c r="E3753" i="1"/>
  <c r="A3754" i="1"/>
  <c r="B3754" i="1"/>
  <c r="C3754" i="1"/>
  <c r="D3754" i="1"/>
  <c r="E3754" i="1"/>
  <c r="A3755" i="1"/>
  <c r="B3755" i="1"/>
  <c r="C3755" i="1"/>
  <c r="D3755" i="1"/>
  <c r="E3755" i="1"/>
  <c r="A3756" i="1"/>
  <c r="B3756" i="1"/>
  <c r="C3756" i="1"/>
  <c r="D3756" i="1"/>
  <c r="E3756" i="1"/>
  <c r="A3757" i="1"/>
  <c r="B3757" i="1"/>
  <c r="C3757" i="1"/>
  <c r="D3757" i="1"/>
  <c r="E3757" i="1"/>
  <c r="A3758" i="1"/>
  <c r="B3758" i="1"/>
  <c r="C3758" i="1"/>
  <c r="D3758" i="1"/>
  <c r="E3758" i="1"/>
  <c r="A3759" i="1"/>
  <c r="B3759" i="1"/>
  <c r="C3759" i="1"/>
  <c r="D3759" i="1"/>
  <c r="E3759" i="1"/>
  <c r="A3760" i="1"/>
  <c r="B3760" i="1"/>
  <c r="C3760" i="1"/>
  <c r="D3760" i="1"/>
  <c r="E3760" i="1"/>
  <c r="A3761" i="1"/>
  <c r="B3761" i="1"/>
  <c r="C3761" i="1"/>
  <c r="D3761" i="1"/>
  <c r="E3761" i="1"/>
  <c r="A3762" i="1"/>
  <c r="B3762" i="1"/>
  <c r="C3762" i="1"/>
  <c r="D3762" i="1"/>
  <c r="E3762" i="1"/>
  <c r="A3763" i="1"/>
  <c r="B3763" i="1"/>
  <c r="C3763" i="1"/>
  <c r="D3763" i="1"/>
  <c r="E3763" i="1"/>
  <c r="A3764" i="1"/>
  <c r="B3764" i="1"/>
  <c r="C3764" i="1"/>
  <c r="D3764" i="1"/>
  <c r="E3764" i="1"/>
  <c r="A3765" i="1"/>
  <c r="B3765" i="1"/>
  <c r="C3765" i="1"/>
  <c r="D3765" i="1"/>
  <c r="E3765" i="1"/>
  <c r="A3766" i="1"/>
  <c r="B3766" i="1"/>
  <c r="C3766" i="1"/>
  <c r="D3766" i="1"/>
  <c r="E3766" i="1"/>
  <c r="A3767" i="1"/>
  <c r="B3767" i="1"/>
  <c r="C3767" i="1"/>
  <c r="D3767" i="1"/>
  <c r="E3767" i="1"/>
  <c r="A3768" i="1"/>
  <c r="B3768" i="1"/>
  <c r="C3768" i="1"/>
  <c r="D3768" i="1"/>
  <c r="E3768" i="1"/>
  <c r="A3769" i="1"/>
  <c r="B3769" i="1"/>
  <c r="C3769" i="1"/>
  <c r="D3769" i="1"/>
  <c r="E3769" i="1"/>
  <c r="A3770" i="1"/>
  <c r="B3770" i="1"/>
  <c r="C3770" i="1"/>
  <c r="D3770" i="1"/>
  <c r="E3770" i="1"/>
  <c r="A3771" i="1"/>
  <c r="B3771" i="1"/>
  <c r="C3771" i="1"/>
  <c r="D3771" i="1"/>
  <c r="E3771" i="1"/>
  <c r="A3772" i="1"/>
  <c r="B3772" i="1"/>
  <c r="C3772" i="1"/>
  <c r="D3772" i="1"/>
  <c r="E3772" i="1"/>
  <c r="A3773" i="1"/>
  <c r="B3773" i="1"/>
  <c r="C3773" i="1"/>
  <c r="D3773" i="1"/>
  <c r="E3773" i="1"/>
  <c r="A3774" i="1"/>
  <c r="B3774" i="1"/>
  <c r="C3774" i="1"/>
  <c r="D3774" i="1"/>
  <c r="E3774" i="1"/>
  <c r="A3775" i="1"/>
  <c r="B3775" i="1"/>
  <c r="C3775" i="1"/>
  <c r="D3775" i="1"/>
  <c r="E3775" i="1"/>
  <c r="A3776" i="1"/>
  <c r="B3776" i="1"/>
  <c r="C3776" i="1"/>
  <c r="D3776" i="1"/>
  <c r="E3776" i="1"/>
  <c r="A3777" i="1"/>
  <c r="B3777" i="1"/>
  <c r="C3777" i="1"/>
  <c r="D3777" i="1"/>
  <c r="E3777" i="1"/>
  <c r="A3778" i="1"/>
  <c r="B3778" i="1"/>
  <c r="C3778" i="1"/>
  <c r="D3778" i="1"/>
  <c r="E3778" i="1"/>
  <c r="A3779" i="1"/>
  <c r="B3779" i="1"/>
  <c r="C3779" i="1"/>
  <c r="D3779" i="1"/>
  <c r="E3779" i="1"/>
  <c r="A3780" i="1"/>
  <c r="B3780" i="1"/>
  <c r="C3780" i="1"/>
  <c r="D3780" i="1"/>
  <c r="E3780" i="1"/>
  <c r="A3781" i="1"/>
  <c r="B3781" i="1"/>
  <c r="C3781" i="1"/>
  <c r="D3781" i="1"/>
  <c r="E3781" i="1"/>
  <c r="A3782" i="1"/>
  <c r="B3782" i="1"/>
  <c r="C3782" i="1"/>
  <c r="D3782" i="1"/>
  <c r="E3782" i="1"/>
  <c r="A3783" i="1"/>
  <c r="B3783" i="1"/>
  <c r="C3783" i="1"/>
  <c r="D3783" i="1"/>
  <c r="E3783" i="1"/>
  <c r="A3784" i="1"/>
  <c r="B3784" i="1"/>
  <c r="C3784" i="1"/>
  <c r="D3784" i="1"/>
  <c r="E3784" i="1"/>
  <c r="A3785" i="1"/>
  <c r="B3785" i="1"/>
  <c r="C3785" i="1"/>
  <c r="D3785" i="1"/>
  <c r="E3785" i="1"/>
  <c r="A3786" i="1"/>
  <c r="B3786" i="1"/>
  <c r="C3786" i="1"/>
  <c r="D3786" i="1"/>
  <c r="E3786" i="1"/>
  <c r="A3787" i="1"/>
  <c r="B3787" i="1"/>
  <c r="C3787" i="1"/>
  <c r="D3787" i="1"/>
  <c r="E3787" i="1"/>
  <c r="A3788" i="1"/>
  <c r="B3788" i="1"/>
  <c r="C3788" i="1"/>
  <c r="D3788" i="1"/>
  <c r="E3788" i="1"/>
  <c r="A3789" i="1"/>
  <c r="B3789" i="1"/>
  <c r="C3789" i="1"/>
  <c r="D3789" i="1"/>
  <c r="E3789" i="1"/>
  <c r="A3790" i="1"/>
  <c r="B3790" i="1"/>
  <c r="C3790" i="1"/>
  <c r="D3790" i="1"/>
  <c r="E3790" i="1"/>
  <c r="A3791" i="1"/>
  <c r="B3791" i="1"/>
  <c r="C3791" i="1"/>
  <c r="D3791" i="1"/>
  <c r="E3791" i="1"/>
  <c r="A3792" i="1"/>
  <c r="B3792" i="1"/>
  <c r="C3792" i="1"/>
  <c r="D3792" i="1"/>
  <c r="E3792" i="1"/>
  <c r="A3793" i="1"/>
  <c r="B3793" i="1"/>
  <c r="C3793" i="1"/>
  <c r="D3793" i="1"/>
  <c r="E3793" i="1"/>
  <c r="A3794" i="1"/>
  <c r="B3794" i="1"/>
  <c r="C3794" i="1"/>
  <c r="D3794" i="1"/>
  <c r="E3794" i="1"/>
  <c r="A3795" i="1"/>
  <c r="B3795" i="1"/>
  <c r="C3795" i="1"/>
  <c r="D3795" i="1"/>
  <c r="E3795" i="1"/>
  <c r="A3796" i="1"/>
  <c r="B3796" i="1"/>
  <c r="C3796" i="1"/>
  <c r="D3796" i="1"/>
  <c r="E3796" i="1"/>
  <c r="A3797" i="1"/>
  <c r="B3797" i="1"/>
  <c r="C3797" i="1"/>
  <c r="D3797" i="1"/>
  <c r="E3797" i="1"/>
  <c r="A3798" i="1"/>
  <c r="B3798" i="1"/>
  <c r="C3798" i="1"/>
  <c r="D3798" i="1"/>
  <c r="E3798" i="1"/>
  <c r="A3799" i="1"/>
  <c r="B3799" i="1"/>
  <c r="C3799" i="1"/>
  <c r="D3799" i="1"/>
  <c r="E3799" i="1"/>
  <c r="A3800" i="1"/>
  <c r="B3800" i="1"/>
  <c r="C3800" i="1"/>
  <c r="D3800" i="1"/>
  <c r="E3800" i="1"/>
  <c r="A3801" i="1"/>
  <c r="B3801" i="1"/>
  <c r="C3801" i="1"/>
  <c r="D3801" i="1"/>
  <c r="E3801" i="1"/>
  <c r="A3802" i="1"/>
  <c r="B3802" i="1"/>
  <c r="C3802" i="1"/>
  <c r="D3802" i="1"/>
  <c r="E3802" i="1"/>
  <c r="A3803" i="1"/>
  <c r="B3803" i="1"/>
  <c r="C3803" i="1"/>
  <c r="D3803" i="1"/>
  <c r="E3803" i="1"/>
  <c r="A3804" i="1"/>
  <c r="B3804" i="1"/>
  <c r="C3804" i="1"/>
  <c r="D3804" i="1"/>
  <c r="E3804" i="1"/>
  <c r="A3805" i="1"/>
  <c r="B3805" i="1"/>
  <c r="C3805" i="1"/>
  <c r="D3805" i="1"/>
  <c r="E3805" i="1"/>
  <c r="A3806" i="1"/>
  <c r="B3806" i="1"/>
  <c r="C3806" i="1"/>
  <c r="D3806" i="1"/>
  <c r="E3806" i="1"/>
  <c r="A3807" i="1"/>
  <c r="B3807" i="1"/>
  <c r="C3807" i="1"/>
  <c r="D3807" i="1"/>
  <c r="E3807" i="1"/>
  <c r="A3808" i="1"/>
  <c r="B3808" i="1"/>
  <c r="C3808" i="1"/>
  <c r="D3808" i="1"/>
  <c r="E3808" i="1"/>
  <c r="A3809" i="1"/>
  <c r="B3809" i="1"/>
  <c r="C3809" i="1"/>
  <c r="D3809" i="1"/>
  <c r="E3809" i="1"/>
  <c r="A3810" i="1"/>
  <c r="B3810" i="1"/>
  <c r="C3810" i="1"/>
  <c r="D3810" i="1"/>
  <c r="E3810" i="1"/>
  <c r="A3811" i="1"/>
  <c r="B3811" i="1"/>
  <c r="C3811" i="1"/>
  <c r="D3811" i="1"/>
  <c r="E3811" i="1"/>
  <c r="A3812" i="1"/>
  <c r="B3812" i="1"/>
  <c r="C3812" i="1"/>
  <c r="D3812" i="1"/>
  <c r="E3812" i="1"/>
  <c r="A3813" i="1"/>
  <c r="B3813" i="1"/>
  <c r="C3813" i="1"/>
  <c r="D3813" i="1"/>
  <c r="E3813" i="1"/>
  <c r="A3814" i="1"/>
  <c r="B3814" i="1"/>
  <c r="C3814" i="1"/>
  <c r="D3814" i="1"/>
  <c r="E3814" i="1"/>
  <c r="A3815" i="1"/>
  <c r="B3815" i="1"/>
  <c r="C3815" i="1"/>
  <c r="D3815" i="1"/>
  <c r="E3815" i="1"/>
  <c r="A3816" i="1"/>
  <c r="B3816" i="1"/>
  <c r="C3816" i="1"/>
  <c r="D3816" i="1"/>
  <c r="E3816" i="1"/>
  <c r="A3817" i="1"/>
  <c r="B3817" i="1"/>
  <c r="C3817" i="1"/>
  <c r="D3817" i="1"/>
  <c r="E3817" i="1"/>
  <c r="A3818" i="1"/>
  <c r="B3818" i="1"/>
  <c r="C3818" i="1"/>
  <c r="D3818" i="1"/>
  <c r="E3818" i="1"/>
  <c r="A3819" i="1"/>
  <c r="B3819" i="1"/>
  <c r="C3819" i="1"/>
  <c r="D3819" i="1"/>
  <c r="E3819" i="1"/>
  <c r="A3820" i="1"/>
  <c r="B3820" i="1"/>
  <c r="C3820" i="1"/>
  <c r="D3820" i="1"/>
  <c r="E3820" i="1"/>
  <c r="A3821" i="1"/>
  <c r="B3821" i="1"/>
  <c r="C3821" i="1"/>
  <c r="D3821" i="1"/>
  <c r="E3821" i="1"/>
  <c r="A3822" i="1"/>
  <c r="B3822" i="1"/>
  <c r="C3822" i="1"/>
  <c r="D3822" i="1"/>
  <c r="E3822" i="1"/>
  <c r="A3823" i="1"/>
  <c r="B3823" i="1"/>
  <c r="C3823" i="1"/>
  <c r="D3823" i="1"/>
  <c r="E3823" i="1"/>
  <c r="A3824" i="1"/>
  <c r="B3824" i="1"/>
  <c r="C3824" i="1"/>
  <c r="D3824" i="1"/>
  <c r="E3824" i="1"/>
  <c r="A3825" i="1"/>
  <c r="B3825" i="1"/>
  <c r="C3825" i="1"/>
  <c r="D3825" i="1"/>
  <c r="E3825" i="1"/>
  <c r="A3826" i="1"/>
  <c r="B3826" i="1"/>
  <c r="C3826" i="1"/>
  <c r="D3826" i="1"/>
  <c r="E3826" i="1"/>
  <c r="A3827" i="1"/>
  <c r="B3827" i="1"/>
  <c r="C3827" i="1"/>
  <c r="D3827" i="1"/>
  <c r="E3827" i="1"/>
  <c r="A3828" i="1"/>
  <c r="B3828" i="1"/>
  <c r="C3828" i="1"/>
  <c r="D3828" i="1"/>
  <c r="E3828" i="1"/>
  <c r="A3829" i="1"/>
  <c r="B3829" i="1"/>
  <c r="C3829" i="1"/>
  <c r="D3829" i="1"/>
  <c r="E3829" i="1"/>
  <c r="A3830" i="1"/>
  <c r="B3830" i="1"/>
  <c r="C3830" i="1"/>
  <c r="D3830" i="1"/>
  <c r="E3830" i="1"/>
  <c r="A3831" i="1"/>
  <c r="B3831" i="1"/>
  <c r="C3831" i="1"/>
  <c r="D3831" i="1"/>
  <c r="E3831" i="1"/>
  <c r="A3832" i="1"/>
  <c r="B3832" i="1"/>
  <c r="C3832" i="1"/>
  <c r="D3832" i="1"/>
  <c r="E3832" i="1"/>
  <c r="A3833" i="1"/>
  <c r="B3833" i="1"/>
  <c r="C3833" i="1"/>
  <c r="D3833" i="1"/>
  <c r="E3833" i="1"/>
  <c r="A3834" i="1"/>
  <c r="B3834" i="1"/>
  <c r="C3834" i="1"/>
  <c r="D3834" i="1"/>
  <c r="E3834" i="1"/>
  <c r="A3835" i="1"/>
  <c r="B3835" i="1"/>
  <c r="C3835" i="1"/>
  <c r="D3835" i="1"/>
  <c r="E3835" i="1"/>
  <c r="A3836" i="1"/>
  <c r="B3836" i="1"/>
  <c r="C3836" i="1"/>
  <c r="D3836" i="1"/>
  <c r="E3836" i="1"/>
  <c r="A3837" i="1"/>
  <c r="B3837" i="1"/>
  <c r="C3837" i="1"/>
  <c r="D3837" i="1"/>
  <c r="E3837" i="1"/>
  <c r="A3838" i="1"/>
  <c r="B3838" i="1"/>
  <c r="C3838" i="1"/>
  <c r="D3838" i="1"/>
  <c r="E3838" i="1"/>
  <c r="A3839" i="1"/>
  <c r="B3839" i="1"/>
  <c r="C3839" i="1"/>
  <c r="D3839" i="1"/>
  <c r="E3839" i="1"/>
  <c r="A3840" i="1"/>
  <c r="B3840" i="1"/>
  <c r="C3840" i="1"/>
  <c r="D3840" i="1"/>
  <c r="E3840" i="1"/>
  <c r="A3841" i="1"/>
  <c r="B3841" i="1"/>
  <c r="C3841" i="1"/>
  <c r="D3841" i="1"/>
  <c r="E3841" i="1"/>
  <c r="A3842" i="1"/>
  <c r="B3842" i="1"/>
  <c r="C3842" i="1"/>
  <c r="D3842" i="1"/>
  <c r="E3842" i="1"/>
  <c r="A3843" i="1"/>
  <c r="B3843" i="1"/>
  <c r="C3843" i="1"/>
  <c r="D3843" i="1"/>
  <c r="E3843" i="1"/>
  <c r="A3844" i="1"/>
  <c r="B3844" i="1"/>
  <c r="C3844" i="1"/>
  <c r="D3844" i="1"/>
  <c r="E3844" i="1"/>
  <c r="A3845" i="1"/>
  <c r="B3845" i="1"/>
  <c r="C3845" i="1"/>
  <c r="D3845" i="1"/>
  <c r="E3845" i="1"/>
  <c r="A3846" i="1"/>
  <c r="B3846" i="1"/>
  <c r="C3846" i="1"/>
  <c r="D3846" i="1"/>
  <c r="E3846" i="1"/>
  <c r="A3847" i="1"/>
  <c r="B3847" i="1"/>
  <c r="C3847" i="1"/>
  <c r="D3847" i="1"/>
  <c r="E3847" i="1"/>
  <c r="A3848" i="1"/>
  <c r="B3848" i="1"/>
  <c r="C3848" i="1"/>
  <c r="D3848" i="1"/>
  <c r="E3848" i="1"/>
  <c r="A3849" i="1"/>
  <c r="B3849" i="1"/>
  <c r="C3849" i="1"/>
  <c r="D3849" i="1"/>
  <c r="E3849" i="1"/>
  <c r="A3850" i="1"/>
  <c r="B3850" i="1"/>
  <c r="C3850" i="1"/>
  <c r="D3850" i="1"/>
  <c r="E3850" i="1"/>
  <c r="A3851" i="1"/>
  <c r="B3851" i="1"/>
  <c r="C3851" i="1"/>
  <c r="D3851" i="1"/>
  <c r="E3851" i="1"/>
  <c r="A3852" i="1"/>
  <c r="B3852" i="1"/>
  <c r="C3852" i="1"/>
  <c r="D3852" i="1"/>
  <c r="E3852" i="1"/>
  <c r="A3853" i="1"/>
  <c r="B3853" i="1"/>
  <c r="C3853" i="1"/>
  <c r="D3853" i="1"/>
  <c r="E3853" i="1"/>
  <c r="A3854" i="1"/>
  <c r="B3854" i="1"/>
  <c r="C3854" i="1"/>
  <c r="D3854" i="1"/>
  <c r="E3854" i="1"/>
  <c r="A3855" i="1"/>
  <c r="B3855" i="1"/>
  <c r="C3855" i="1"/>
  <c r="D3855" i="1"/>
  <c r="E3855" i="1"/>
  <c r="A3856" i="1"/>
  <c r="B3856" i="1"/>
  <c r="C3856" i="1"/>
  <c r="D3856" i="1"/>
  <c r="E3856" i="1"/>
  <c r="A3857" i="1"/>
  <c r="B3857" i="1"/>
  <c r="C3857" i="1"/>
  <c r="D3857" i="1"/>
  <c r="E3857" i="1"/>
  <c r="A3858" i="1"/>
  <c r="B3858" i="1"/>
  <c r="C3858" i="1"/>
  <c r="D3858" i="1"/>
  <c r="E3858" i="1"/>
  <c r="A3859" i="1"/>
  <c r="B3859" i="1"/>
  <c r="C3859" i="1"/>
  <c r="D3859" i="1"/>
  <c r="E3859" i="1"/>
  <c r="A3860" i="1"/>
  <c r="B3860" i="1"/>
  <c r="C3860" i="1"/>
  <c r="D3860" i="1"/>
  <c r="E3860" i="1"/>
  <c r="A3861" i="1"/>
  <c r="B3861" i="1"/>
  <c r="C3861" i="1"/>
  <c r="D3861" i="1"/>
  <c r="E3861" i="1"/>
  <c r="A3862" i="1"/>
  <c r="B3862" i="1"/>
  <c r="C3862" i="1"/>
  <c r="D3862" i="1"/>
  <c r="E3862" i="1"/>
  <c r="A3863" i="1"/>
  <c r="B3863" i="1"/>
  <c r="C3863" i="1"/>
  <c r="D3863" i="1"/>
  <c r="E3863" i="1"/>
  <c r="A3864" i="1"/>
  <c r="B3864" i="1"/>
  <c r="C3864" i="1"/>
  <c r="D3864" i="1"/>
  <c r="E3864" i="1"/>
  <c r="A3865" i="1"/>
  <c r="B3865" i="1"/>
  <c r="C3865" i="1"/>
  <c r="D3865" i="1"/>
  <c r="E3865" i="1"/>
  <c r="A3866" i="1"/>
  <c r="B3866" i="1"/>
  <c r="C3866" i="1"/>
  <c r="D3866" i="1"/>
  <c r="E3866" i="1"/>
  <c r="A3867" i="1"/>
  <c r="B3867" i="1"/>
  <c r="C3867" i="1"/>
  <c r="D3867" i="1"/>
  <c r="E3867" i="1"/>
  <c r="A3868" i="1"/>
  <c r="B3868" i="1"/>
  <c r="C3868" i="1"/>
  <c r="D3868" i="1"/>
  <c r="E3868" i="1"/>
  <c r="A3869" i="1"/>
  <c r="B3869" i="1"/>
  <c r="C3869" i="1"/>
  <c r="D3869" i="1"/>
  <c r="E3869" i="1"/>
  <c r="A3870" i="1"/>
  <c r="B3870" i="1"/>
  <c r="C3870" i="1"/>
  <c r="D3870" i="1"/>
  <c r="E3870" i="1"/>
  <c r="A3871" i="1"/>
  <c r="B3871" i="1"/>
  <c r="C3871" i="1"/>
  <c r="D3871" i="1"/>
  <c r="E3871" i="1"/>
  <c r="A3872" i="1"/>
  <c r="B3872" i="1"/>
  <c r="C3872" i="1"/>
  <c r="D3872" i="1"/>
  <c r="E3872" i="1"/>
  <c r="A3873" i="1"/>
  <c r="B3873" i="1"/>
  <c r="C3873" i="1"/>
  <c r="D3873" i="1"/>
  <c r="E3873" i="1"/>
  <c r="A3874" i="1"/>
  <c r="B3874" i="1"/>
  <c r="C3874" i="1"/>
  <c r="D3874" i="1"/>
  <c r="E3874" i="1"/>
  <c r="A3875" i="1"/>
  <c r="B3875" i="1"/>
  <c r="C3875" i="1"/>
  <c r="D3875" i="1"/>
  <c r="E3875" i="1"/>
  <c r="A3876" i="1"/>
  <c r="B3876" i="1"/>
  <c r="C3876" i="1"/>
  <c r="D3876" i="1"/>
  <c r="E3876" i="1"/>
  <c r="A3877" i="1"/>
  <c r="B3877" i="1"/>
  <c r="C3877" i="1"/>
  <c r="D3877" i="1"/>
  <c r="E3877" i="1"/>
  <c r="A3878" i="1"/>
  <c r="B3878" i="1"/>
  <c r="C3878" i="1"/>
  <c r="D3878" i="1"/>
  <c r="E3878" i="1"/>
  <c r="A3879" i="1"/>
  <c r="B3879" i="1"/>
  <c r="C3879" i="1"/>
  <c r="D3879" i="1"/>
  <c r="E3879" i="1"/>
  <c r="A3880" i="1"/>
  <c r="B3880" i="1"/>
  <c r="C3880" i="1"/>
  <c r="D3880" i="1"/>
  <c r="E3880" i="1"/>
  <c r="A3881" i="1"/>
  <c r="B3881" i="1"/>
  <c r="C3881" i="1"/>
  <c r="D3881" i="1"/>
  <c r="E3881" i="1"/>
  <c r="A3882" i="1"/>
  <c r="B3882" i="1"/>
  <c r="C3882" i="1"/>
  <c r="D3882" i="1"/>
  <c r="E3882" i="1"/>
  <c r="A3883" i="1"/>
  <c r="B3883" i="1"/>
  <c r="C3883" i="1"/>
  <c r="D3883" i="1"/>
  <c r="E3883" i="1"/>
  <c r="A3884" i="1"/>
  <c r="B3884" i="1"/>
  <c r="C3884" i="1"/>
  <c r="D3884" i="1"/>
  <c r="E3884" i="1"/>
  <c r="A3885" i="1"/>
  <c r="B3885" i="1"/>
  <c r="C3885" i="1"/>
  <c r="D3885" i="1"/>
  <c r="E3885" i="1"/>
  <c r="A3886" i="1"/>
  <c r="B3886" i="1"/>
  <c r="C3886" i="1"/>
  <c r="D3886" i="1"/>
  <c r="E3886" i="1"/>
  <c r="A3887" i="1"/>
  <c r="B3887" i="1"/>
  <c r="C3887" i="1"/>
  <c r="D3887" i="1"/>
  <c r="E3887" i="1"/>
  <c r="A3888" i="1"/>
  <c r="B3888" i="1"/>
  <c r="C3888" i="1"/>
  <c r="D3888" i="1"/>
  <c r="E3888" i="1"/>
  <c r="A3889" i="1"/>
  <c r="B3889" i="1"/>
  <c r="C3889" i="1"/>
  <c r="D3889" i="1"/>
  <c r="E3889" i="1"/>
  <c r="A3890" i="1"/>
  <c r="B3890" i="1"/>
  <c r="C3890" i="1"/>
  <c r="D3890" i="1"/>
  <c r="E3890" i="1"/>
  <c r="A3891" i="1"/>
  <c r="B3891" i="1"/>
  <c r="C3891" i="1"/>
  <c r="D3891" i="1"/>
  <c r="E3891" i="1"/>
  <c r="A3892" i="1"/>
  <c r="B3892" i="1"/>
  <c r="C3892" i="1"/>
  <c r="D3892" i="1"/>
  <c r="E3892" i="1"/>
  <c r="A3893" i="1"/>
  <c r="B3893" i="1"/>
  <c r="C3893" i="1"/>
  <c r="D3893" i="1"/>
  <c r="E3893" i="1"/>
  <c r="A3894" i="1"/>
  <c r="B3894" i="1"/>
  <c r="C3894" i="1"/>
  <c r="D3894" i="1"/>
  <c r="E3894" i="1"/>
  <c r="A3895" i="1"/>
  <c r="B3895" i="1"/>
  <c r="C3895" i="1"/>
  <c r="D3895" i="1"/>
  <c r="E3895" i="1"/>
  <c r="A3896" i="1"/>
  <c r="B3896" i="1"/>
  <c r="C3896" i="1"/>
  <c r="D3896" i="1"/>
  <c r="E3896" i="1"/>
  <c r="A3897" i="1"/>
  <c r="B3897" i="1"/>
  <c r="C3897" i="1"/>
  <c r="D3897" i="1"/>
  <c r="E3897" i="1"/>
  <c r="A3898" i="1"/>
  <c r="B3898" i="1"/>
  <c r="C3898" i="1"/>
  <c r="D3898" i="1"/>
  <c r="E3898" i="1"/>
  <c r="A3899" i="1"/>
  <c r="B3899" i="1"/>
  <c r="C3899" i="1"/>
  <c r="D3899" i="1"/>
  <c r="E3899" i="1"/>
  <c r="A3900" i="1"/>
  <c r="B3900" i="1"/>
  <c r="C3900" i="1"/>
  <c r="D3900" i="1"/>
  <c r="E3900" i="1"/>
  <c r="A3901" i="1"/>
  <c r="B3901" i="1"/>
  <c r="C3901" i="1"/>
  <c r="D3901" i="1"/>
  <c r="E3901" i="1"/>
  <c r="A3902" i="1"/>
  <c r="B3902" i="1"/>
  <c r="C3902" i="1"/>
  <c r="D3902" i="1"/>
  <c r="E3902" i="1"/>
  <c r="A3903" i="1"/>
  <c r="B3903" i="1"/>
  <c r="C3903" i="1"/>
  <c r="D3903" i="1"/>
  <c r="E3903" i="1"/>
  <c r="A3904" i="1"/>
  <c r="B3904" i="1"/>
  <c r="C3904" i="1"/>
  <c r="D3904" i="1"/>
  <c r="E3904" i="1"/>
  <c r="A3905" i="1"/>
  <c r="B3905" i="1"/>
  <c r="C3905" i="1"/>
  <c r="D3905" i="1"/>
  <c r="E3905" i="1"/>
  <c r="A3906" i="1"/>
  <c r="B3906" i="1"/>
  <c r="C3906" i="1"/>
  <c r="D3906" i="1"/>
  <c r="E3906" i="1"/>
  <c r="A3907" i="1"/>
  <c r="B3907" i="1"/>
  <c r="C3907" i="1"/>
  <c r="D3907" i="1"/>
  <c r="E3907" i="1"/>
  <c r="A3908" i="1"/>
  <c r="B3908" i="1"/>
  <c r="C3908" i="1"/>
  <c r="D3908" i="1"/>
  <c r="E3908" i="1"/>
  <c r="A3909" i="1"/>
  <c r="B3909" i="1"/>
  <c r="C3909" i="1"/>
  <c r="D3909" i="1"/>
  <c r="E3909" i="1"/>
  <c r="A3910" i="1"/>
  <c r="B3910" i="1"/>
  <c r="C3910" i="1"/>
  <c r="D3910" i="1"/>
  <c r="E3910" i="1"/>
  <c r="A3911" i="1"/>
  <c r="B3911" i="1"/>
  <c r="C3911" i="1"/>
  <c r="D3911" i="1"/>
  <c r="E3911" i="1"/>
  <c r="A3912" i="1"/>
  <c r="B3912" i="1"/>
  <c r="C3912" i="1"/>
  <c r="D3912" i="1"/>
  <c r="E3912" i="1"/>
  <c r="A3913" i="1"/>
  <c r="B3913" i="1"/>
  <c r="C3913" i="1"/>
  <c r="D3913" i="1"/>
  <c r="E3913" i="1"/>
  <c r="A3914" i="1"/>
  <c r="B3914" i="1"/>
  <c r="C3914" i="1"/>
  <c r="D3914" i="1"/>
  <c r="E3914" i="1"/>
  <c r="A3915" i="1"/>
  <c r="B3915" i="1"/>
  <c r="C3915" i="1"/>
  <c r="D3915" i="1"/>
  <c r="E3915" i="1"/>
  <c r="A3916" i="1"/>
  <c r="B3916" i="1"/>
  <c r="C3916" i="1"/>
  <c r="D3916" i="1"/>
  <c r="E3916" i="1"/>
  <c r="A3917" i="1"/>
  <c r="B3917" i="1"/>
  <c r="C3917" i="1"/>
  <c r="D3917" i="1"/>
  <c r="E3917" i="1"/>
  <c r="A3918" i="1"/>
  <c r="B3918" i="1"/>
  <c r="C3918" i="1"/>
  <c r="D3918" i="1"/>
  <c r="E3918" i="1"/>
  <c r="A3919" i="1"/>
  <c r="B3919" i="1"/>
  <c r="C3919" i="1"/>
  <c r="D3919" i="1"/>
  <c r="E3919" i="1"/>
  <c r="A3920" i="1"/>
  <c r="B3920" i="1"/>
  <c r="C3920" i="1"/>
  <c r="D3920" i="1"/>
  <c r="E3920" i="1"/>
  <c r="A3921" i="1"/>
  <c r="B3921" i="1"/>
  <c r="C3921" i="1"/>
  <c r="D3921" i="1"/>
  <c r="E3921" i="1"/>
  <c r="A3922" i="1"/>
  <c r="B3922" i="1"/>
  <c r="C3922" i="1"/>
  <c r="D3922" i="1"/>
  <c r="E3922" i="1"/>
  <c r="A3923" i="1"/>
  <c r="B3923" i="1"/>
  <c r="C3923" i="1"/>
  <c r="D3923" i="1"/>
  <c r="E3923" i="1"/>
  <c r="A3924" i="1"/>
  <c r="B3924" i="1"/>
  <c r="C3924" i="1"/>
  <c r="D3924" i="1"/>
  <c r="E3924" i="1"/>
  <c r="A3925" i="1"/>
  <c r="B3925" i="1"/>
  <c r="C3925" i="1"/>
  <c r="D3925" i="1"/>
  <c r="E3925" i="1"/>
  <c r="A3926" i="1"/>
  <c r="B3926" i="1"/>
  <c r="C3926" i="1"/>
  <c r="D3926" i="1"/>
  <c r="E3926" i="1"/>
  <c r="A3927" i="1"/>
  <c r="B3927" i="1"/>
  <c r="C3927" i="1"/>
  <c r="D3927" i="1"/>
  <c r="E3927" i="1"/>
  <c r="A3928" i="1"/>
  <c r="B3928" i="1"/>
  <c r="C3928" i="1"/>
  <c r="D3928" i="1"/>
  <c r="E3928" i="1"/>
  <c r="A3929" i="1"/>
  <c r="B3929" i="1"/>
  <c r="C3929" i="1"/>
  <c r="D3929" i="1"/>
  <c r="E3929" i="1"/>
  <c r="A3930" i="1"/>
  <c r="B3930" i="1"/>
  <c r="C3930" i="1"/>
  <c r="D3930" i="1"/>
  <c r="E3930" i="1"/>
  <c r="A3931" i="1"/>
  <c r="B3931" i="1"/>
  <c r="C3931" i="1"/>
  <c r="D3931" i="1"/>
  <c r="E3931" i="1"/>
  <c r="A3932" i="1"/>
  <c r="B3932" i="1"/>
  <c r="C3932" i="1"/>
  <c r="D3932" i="1"/>
  <c r="E3932" i="1"/>
  <c r="A3933" i="1"/>
  <c r="B3933" i="1"/>
  <c r="C3933" i="1"/>
  <c r="D3933" i="1"/>
  <c r="E3933" i="1"/>
  <c r="A3934" i="1"/>
  <c r="B3934" i="1"/>
  <c r="C3934" i="1"/>
  <c r="D3934" i="1"/>
  <c r="E3934" i="1"/>
  <c r="A3935" i="1"/>
  <c r="B3935" i="1"/>
  <c r="C3935" i="1"/>
  <c r="D3935" i="1"/>
  <c r="E3935" i="1"/>
  <c r="A3936" i="1"/>
  <c r="B3936" i="1"/>
  <c r="C3936" i="1"/>
  <c r="D3936" i="1"/>
  <c r="E3936" i="1"/>
  <c r="A3937" i="1"/>
  <c r="B3937" i="1"/>
  <c r="C3937" i="1"/>
  <c r="D3937" i="1"/>
  <c r="E3937" i="1"/>
  <c r="A3938" i="1"/>
  <c r="B3938" i="1"/>
  <c r="C3938" i="1"/>
  <c r="D3938" i="1"/>
  <c r="E3938" i="1"/>
  <c r="A3939" i="1"/>
  <c r="B3939" i="1"/>
  <c r="C3939" i="1"/>
  <c r="D3939" i="1"/>
  <c r="E3939" i="1"/>
  <c r="A3940" i="1"/>
  <c r="B3940" i="1"/>
  <c r="C3940" i="1"/>
  <c r="D3940" i="1"/>
  <c r="E3940" i="1"/>
  <c r="A3941" i="1"/>
  <c r="B3941" i="1"/>
  <c r="C3941" i="1"/>
  <c r="D3941" i="1"/>
  <c r="E3941" i="1"/>
  <c r="A3942" i="1"/>
  <c r="B3942" i="1"/>
  <c r="C3942" i="1"/>
  <c r="D3942" i="1"/>
  <c r="E3942" i="1"/>
  <c r="A3943" i="1"/>
  <c r="B3943" i="1"/>
  <c r="C3943" i="1"/>
  <c r="D3943" i="1"/>
  <c r="E3943" i="1"/>
  <c r="A3944" i="1"/>
  <c r="B3944" i="1"/>
  <c r="C3944" i="1"/>
  <c r="D3944" i="1"/>
  <c r="E3944" i="1"/>
  <c r="A3945" i="1"/>
  <c r="B3945" i="1"/>
  <c r="C3945" i="1"/>
  <c r="D3945" i="1"/>
  <c r="E3945" i="1"/>
  <c r="A3946" i="1"/>
  <c r="B3946" i="1"/>
  <c r="C3946" i="1"/>
  <c r="D3946" i="1"/>
  <c r="E3946" i="1"/>
  <c r="A3947" i="1"/>
  <c r="B3947" i="1"/>
  <c r="C3947" i="1"/>
  <c r="D3947" i="1"/>
  <c r="E3947" i="1"/>
  <c r="A3948" i="1"/>
  <c r="B3948" i="1"/>
  <c r="C3948" i="1"/>
  <c r="D3948" i="1"/>
  <c r="E3948" i="1"/>
  <c r="A3949" i="1"/>
  <c r="B3949" i="1"/>
  <c r="C3949" i="1"/>
  <c r="D3949" i="1"/>
  <c r="E3949" i="1"/>
  <c r="A3950" i="1"/>
  <c r="B3950" i="1"/>
  <c r="C3950" i="1"/>
  <c r="D3950" i="1"/>
  <c r="E3950" i="1"/>
  <c r="A3951" i="1"/>
  <c r="B3951" i="1"/>
  <c r="C3951" i="1"/>
  <c r="D3951" i="1"/>
  <c r="E3951" i="1"/>
  <c r="A3952" i="1"/>
  <c r="B3952" i="1"/>
  <c r="C3952" i="1"/>
  <c r="D3952" i="1"/>
  <c r="E3952" i="1"/>
  <c r="A3953" i="1"/>
  <c r="B3953" i="1"/>
  <c r="C3953" i="1"/>
  <c r="D3953" i="1"/>
  <c r="E3953" i="1"/>
  <c r="A3954" i="1"/>
  <c r="B3954" i="1"/>
  <c r="C3954" i="1"/>
  <c r="D3954" i="1"/>
  <c r="E3954" i="1"/>
  <c r="A3955" i="1"/>
  <c r="B3955" i="1"/>
  <c r="C3955" i="1"/>
  <c r="D3955" i="1"/>
  <c r="E3955" i="1"/>
  <c r="A3956" i="1"/>
  <c r="B3956" i="1"/>
  <c r="C3956" i="1"/>
  <c r="D3956" i="1"/>
  <c r="E3956" i="1"/>
  <c r="A3957" i="1"/>
  <c r="B3957" i="1"/>
  <c r="C3957" i="1"/>
  <c r="D3957" i="1"/>
  <c r="E3957" i="1"/>
  <c r="A3958" i="1"/>
  <c r="B3958" i="1"/>
  <c r="C3958" i="1"/>
  <c r="D3958" i="1"/>
  <c r="E3958" i="1"/>
  <c r="A3959" i="1"/>
  <c r="B3959" i="1"/>
  <c r="C3959" i="1"/>
  <c r="D3959" i="1"/>
  <c r="E3959" i="1"/>
  <c r="A3960" i="1"/>
  <c r="B3960" i="1"/>
  <c r="C3960" i="1"/>
  <c r="D3960" i="1"/>
  <c r="E3960" i="1"/>
  <c r="A3961" i="1"/>
  <c r="B3961" i="1"/>
  <c r="C3961" i="1"/>
  <c r="D3961" i="1"/>
  <c r="E3961" i="1"/>
  <c r="A3962" i="1"/>
  <c r="B3962" i="1"/>
  <c r="C3962" i="1"/>
  <c r="D3962" i="1"/>
  <c r="E3962" i="1"/>
  <c r="A3963" i="1"/>
  <c r="B3963" i="1"/>
  <c r="C3963" i="1"/>
  <c r="D3963" i="1"/>
  <c r="E3963" i="1"/>
  <c r="A3964" i="1"/>
  <c r="B3964" i="1"/>
  <c r="C3964" i="1"/>
  <c r="D3964" i="1"/>
  <c r="E3964" i="1"/>
  <c r="A3965" i="1"/>
  <c r="B3965" i="1"/>
  <c r="C3965" i="1"/>
  <c r="D3965" i="1"/>
  <c r="E3965" i="1"/>
  <c r="A3966" i="1"/>
  <c r="B3966" i="1"/>
  <c r="C3966" i="1"/>
  <c r="D3966" i="1"/>
  <c r="E3966" i="1"/>
  <c r="A3967" i="1"/>
  <c r="B3967" i="1"/>
  <c r="C3967" i="1"/>
  <c r="D3967" i="1"/>
  <c r="E3967" i="1"/>
  <c r="A3968" i="1"/>
  <c r="B3968" i="1"/>
  <c r="C3968" i="1"/>
  <c r="D3968" i="1"/>
  <c r="E3968" i="1"/>
  <c r="A3969" i="1"/>
  <c r="B3969" i="1"/>
  <c r="C3969" i="1"/>
  <c r="D3969" i="1"/>
  <c r="E3969" i="1"/>
  <c r="A3970" i="1"/>
  <c r="B3970" i="1"/>
  <c r="C3970" i="1"/>
  <c r="D3970" i="1"/>
  <c r="E3970" i="1"/>
  <c r="A3971" i="1"/>
  <c r="B3971" i="1"/>
  <c r="C3971" i="1"/>
  <c r="D3971" i="1"/>
  <c r="E3971" i="1"/>
  <c r="A3972" i="1"/>
  <c r="B3972" i="1"/>
  <c r="C3972" i="1"/>
  <c r="D3972" i="1"/>
  <c r="E3972" i="1"/>
  <c r="A3973" i="1"/>
  <c r="B3973" i="1"/>
  <c r="C3973" i="1"/>
  <c r="D3973" i="1"/>
  <c r="E3973" i="1"/>
  <c r="A3974" i="1"/>
  <c r="B3974" i="1"/>
  <c r="C3974" i="1"/>
  <c r="D3974" i="1"/>
  <c r="E3974" i="1"/>
  <c r="A3975" i="1"/>
  <c r="B3975" i="1"/>
  <c r="C3975" i="1"/>
  <c r="D3975" i="1"/>
  <c r="E3975" i="1"/>
  <c r="A3976" i="1"/>
  <c r="B3976" i="1"/>
  <c r="C3976" i="1"/>
  <c r="D3976" i="1"/>
  <c r="E3976" i="1"/>
  <c r="A3977" i="1"/>
  <c r="B3977" i="1"/>
  <c r="C3977" i="1"/>
  <c r="D3977" i="1"/>
  <c r="E3977" i="1"/>
  <c r="A3978" i="1"/>
  <c r="B3978" i="1"/>
  <c r="C3978" i="1"/>
  <c r="D3978" i="1"/>
  <c r="E3978" i="1"/>
  <c r="A3979" i="1"/>
  <c r="B3979" i="1"/>
  <c r="C3979" i="1"/>
  <c r="D3979" i="1"/>
  <c r="E3979" i="1"/>
  <c r="A3980" i="1"/>
  <c r="B3980" i="1"/>
  <c r="C3980" i="1"/>
  <c r="D3980" i="1"/>
  <c r="E3980" i="1"/>
  <c r="A3981" i="1"/>
  <c r="B3981" i="1"/>
  <c r="C3981" i="1"/>
  <c r="D3981" i="1"/>
  <c r="E3981" i="1"/>
  <c r="A3982" i="1"/>
  <c r="B3982" i="1"/>
  <c r="C3982" i="1"/>
  <c r="D3982" i="1"/>
  <c r="E3982" i="1"/>
  <c r="A3983" i="1"/>
  <c r="B3983" i="1"/>
  <c r="C3983" i="1"/>
  <c r="D3983" i="1"/>
  <c r="E3983" i="1"/>
  <c r="A3984" i="1"/>
  <c r="B3984" i="1"/>
  <c r="C3984" i="1"/>
  <c r="D3984" i="1"/>
  <c r="E3984" i="1"/>
  <c r="A3985" i="1"/>
  <c r="B3985" i="1"/>
  <c r="C3985" i="1"/>
  <c r="D3985" i="1"/>
  <c r="E3985" i="1"/>
  <c r="A3986" i="1"/>
  <c r="B3986" i="1"/>
  <c r="C3986" i="1"/>
  <c r="D3986" i="1"/>
  <c r="E3986" i="1"/>
  <c r="A3987" i="1"/>
  <c r="B3987" i="1"/>
  <c r="C3987" i="1"/>
  <c r="D3987" i="1"/>
  <c r="E3987" i="1"/>
  <c r="A3988" i="1"/>
  <c r="B3988" i="1"/>
  <c r="C3988" i="1"/>
  <c r="D3988" i="1"/>
  <c r="E3988" i="1"/>
  <c r="A3989" i="1"/>
  <c r="B3989" i="1"/>
  <c r="C3989" i="1"/>
  <c r="D3989" i="1"/>
  <c r="E3989" i="1"/>
  <c r="A3990" i="1"/>
  <c r="B3990" i="1"/>
  <c r="C3990" i="1"/>
  <c r="D3990" i="1"/>
  <c r="E3990" i="1"/>
  <c r="A3991" i="1"/>
  <c r="B3991" i="1"/>
  <c r="C3991" i="1"/>
  <c r="D3991" i="1"/>
  <c r="E3991" i="1"/>
  <c r="A3992" i="1"/>
  <c r="B3992" i="1"/>
  <c r="C3992" i="1"/>
  <c r="D3992" i="1"/>
  <c r="E3992" i="1"/>
  <c r="A3993" i="1"/>
  <c r="B3993" i="1"/>
  <c r="C3993" i="1"/>
  <c r="D3993" i="1"/>
  <c r="E3993" i="1"/>
  <c r="A3994" i="1"/>
  <c r="B3994" i="1"/>
  <c r="C3994" i="1"/>
  <c r="D3994" i="1"/>
  <c r="E3994" i="1"/>
  <c r="A3995" i="1"/>
  <c r="B3995" i="1"/>
  <c r="C3995" i="1"/>
  <c r="D3995" i="1"/>
  <c r="E3995" i="1"/>
  <c r="A3996" i="1"/>
  <c r="B3996" i="1"/>
  <c r="C3996" i="1"/>
  <c r="D3996" i="1"/>
  <c r="E3996" i="1"/>
  <c r="A3997" i="1"/>
  <c r="B3997" i="1"/>
  <c r="C3997" i="1"/>
  <c r="D3997" i="1"/>
  <c r="E3997" i="1"/>
  <c r="A3998" i="1"/>
  <c r="B3998" i="1"/>
  <c r="C3998" i="1"/>
  <c r="D3998" i="1"/>
  <c r="E3998" i="1"/>
  <c r="A3999" i="1"/>
  <c r="B3999" i="1"/>
  <c r="C3999" i="1"/>
  <c r="D3999" i="1"/>
  <c r="E3999" i="1"/>
  <c r="A4000" i="1"/>
  <c r="B4000" i="1"/>
  <c r="C4000" i="1"/>
  <c r="D4000" i="1"/>
  <c r="E4000" i="1"/>
  <c r="A4001" i="1"/>
  <c r="B4001" i="1"/>
  <c r="C4001" i="1"/>
  <c r="D4001" i="1"/>
  <c r="E4001" i="1"/>
  <c r="A4002" i="1"/>
  <c r="B4002" i="1"/>
  <c r="C4002" i="1"/>
  <c r="D4002" i="1"/>
  <c r="E4002" i="1"/>
  <c r="A4003" i="1"/>
  <c r="B4003" i="1"/>
  <c r="C4003" i="1"/>
  <c r="D4003" i="1"/>
  <c r="E4003" i="1"/>
  <c r="A4004" i="1"/>
  <c r="B4004" i="1"/>
  <c r="C4004" i="1"/>
  <c r="D4004" i="1"/>
  <c r="E4004" i="1"/>
  <c r="A4005" i="1"/>
  <c r="B4005" i="1"/>
  <c r="C4005" i="1"/>
  <c r="D4005" i="1"/>
  <c r="E4005" i="1"/>
  <c r="A4006" i="1"/>
  <c r="B4006" i="1"/>
  <c r="C4006" i="1"/>
  <c r="D4006" i="1"/>
  <c r="E4006" i="1"/>
  <c r="A4007" i="1"/>
  <c r="B4007" i="1"/>
  <c r="C4007" i="1"/>
  <c r="D4007" i="1"/>
  <c r="E4007" i="1"/>
  <c r="A4008" i="1"/>
  <c r="B4008" i="1"/>
  <c r="C4008" i="1"/>
  <c r="D4008" i="1"/>
  <c r="E4008" i="1"/>
  <c r="A4009" i="1"/>
  <c r="B4009" i="1"/>
  <c r="C4009" i="1"/>
  <c r="D4009" i="1"/>
  <c r="E4009" i="1"/>
  <c r="A4010" i="1"/>
  <c r="B4010" i="1"/>
  <c r="C4010" i="1"/>
  <c r="D4010" i="1"/>
  <c r="E4010" i="1"/>
  <c r="A4011" i="1"/>
  <c r="B4011" i="1"/>
  <c r="C4011" i="1"/>
  <c r="D4011" i="1"/>
  <c r="E4011" i="1"/>
  <c r="A4012" i="1"/>
  <c r="B4012" i="1"/>
  <c r="C4012" i="1"/>
  <c r="D4012" i="1"/>
  <c r="E4012" i="1"/>
  <c r="A4013" i="1"/>
  <c r="B4013" i="1"/>
  <c r="C4013" i="1"/>
  <c r="D4013" i="1"/>
  <c r="E4013" i="1"/>
  <c r="A4014" i="1"/>
  <c r="B4014" i="1"/>
  <c r="C4014" i="1"/>
  <c r="D4014" i="1"/>
  <c r="E4014" i="1"/>
  <c r="A4015" i="1"/>
  <c r="B4015" i="1"/>
  <c r="C4015" i="1"/>
  <c r="D4015" i="1"/>
  <c r="E4015" i="1"/>
  <c r="A4016" i="1"/>
  <c r="B4016" i="1"/>
  <c r="C4016" i="1"/>
  <c r="D4016" i="1"/>
  <c r="E4016" i="1"/>
  <c r="A4017" i="1"/>
  <c r="B4017" i="1"/>
  <c r="C4017" i="1"/>
  <c r="D4017" i="1"/>
  <c r="E4017" i="1"/>
  <c r="A4018" i="1"/>
  <c r="B4018" i="1"/>
  <c r="C4018" i="1"/>
  <c r="D4018" i="1"/>
  <c r="E4018" i="1"/>
  <c r="A4019" i="1"/>
  <c r="B4019" i="1"/>
  <c r="C4019" i="1"/>
  <c r="D4019" i="1"/>
  <c r="E4019" i="1"/>
  <c r="A4020" i="1"/>
  <c r="B4020" i="1"/>
  <c r="C4020" i="1"/>
  <c r="D4020" i="1"/>
  <c r="E4020" i="1"/>
  <c r="A4021" i="1"/>
  <c r="B4021" i="1"/>
  <c r="C4021" i="1"/>
  <c r="D4021" i="1"/>
  <c r="E4021" i="1"/>
  <c r="A4022" i="1"/>
  <c r="B4022" i="1"/>
  <c r="C4022" i="1"/>
  <c r="D4022" i="1"/>
  <c r="E4022" i="1"/>
  <c r="A4023" i="1"/>
  <c r="B4023" i="1"/>
  <c r="C4023" i="1"/>
  <c r="D4023" i="1"/>
  <c r="E4023" i="1"/>
  <c r="A4024" i="1"/>
  <c r="B4024" i="1"/>
  <c r="C4024" i="1"/>
  <c r="D4024" i="1"/>
  <c r="E4024" i="1"/>
  <c r="A4025" i="1"/>
  <c r="B4025" i="1"/>
  <c r="C4025" i="1"/>
  <c r="D4025" i="1"/>
  <c r="E4025" i="1"/>
  <c r="A4026" i="1"/>
  <c r="B4026" i="1"/>
  <c r="C4026" i="1"/>
  <c r="D4026" i="1"/>
  <c r="E4026" i="1"/>
  <c r="A4027" i="1"/>
  <c r="B4027" i="1"/>
  <c r="C4027" i="1"/>
  <c r="D4027" i="1"/>
  <c r="E4027" i="1"/>
  <c r="A4028" i="1"/>
  <c r="B4028" i="1"/>
  <c r="C4028" i="1"/>
  <c r="D4028" i="1"/>
  <c r="E4028" i="1"/>
  <c r="A4029" i="1"/>
  <c r="B4029" i="1"/>
  <c r="C4029" i="1"/>
  <c r="D4029" i="1"/>
  <c r="E4029" i="1"/>
  <c r="A4030" i="1"/>
  <c r="B4030" i="1"/>
  <c r="C4030" i="1"/>
  <c r="D4030" i="1"/>
  <c r="E4030" i="1"/>
  <c r="A4031" i="1"/>
  <c r="B4031" i="1"/>
  <c r="C4031" i="1"/>
  <c r="D4031" i="1"/>
  <c r="E4031" i="1"/>
  <c r="A4032" i="1"/>
  <c r="B4032" i="1"/>
  <c r="C4032" i="1"/>
  <c r="D4032" i="1"/>
  <c r="E4032" i="1"/>
  <c r="A4033" i="1"/>
  <c r="B4033" i="1"/>
  <c r="C4033" i="1"/>
  <c r="D4033" i="1"/>
  <c r="E4033" i="1"/>
  <c r="A4034" i="1"/>
  <c r="B4034" i="1"/>
  <c r="C4034" i="1"/>
  <c r="D4034" i="1"/>
  <c r="E4034" i="1"/>
  <c r="A4035" i="1"/>
  <c r="B4035" i="1"/>
  <c r="C4035" i="1"/>
  <c r="D4035" i="1"/>
  <c r="E4035" i="1"/>
  <c r="A4036" i="1"/>
  <c r="B4036" i="1"/>
  <c r="C4036" i="1"/>
  <c r="D4036" i="1"/>
  <c r="E4036" i="1"/>
  <c r="A4037" i="1"/>
  <c r="B4037" i="1"/>
  <c r="C4037" i="1"/>
  <c r="D4037" i="1"/>
  <c r="E4037" i="1"/>
  <c r="A4038" i="1"/>
  <c r="B4038" i="1"/>
  <c r="C4038" i="1"/>
  <c r="D4038" i="1"/>
  <c r="E4038" i="1"/>
  <c r="A4039" i="1"/>
  <c r="B4039" i="1"/>
  <c r="C4039" i="1"/>
  <c r="D4039" i="1"/>
  <c r="E4039" i="1"/>
  <c r="A4040" i="1"/>
  <c r="B4040" i="1"/>
  <c r="C4040" i="1"/>
  <c r="D4040" i="1"/>
  <c r="E4040" i="1"/>
  <c r="A4041" i="1"/>
  <c r="B4041" i="1"/>
  <c r="C4041" i="1"/>
  <c r="D4041" i="1"/>
  <c r="E4041" i="1"/>
  <c r="A4042" i="1"/>
  <c r="B4042" i="1"/>
  <c r="C4042" i="1"/>
  <c r="D4042" i="1"/>
  <c r="E4042" i="1"/>
  <c r="A4043" i="1"/>
  <c r="B4043" i="1"/>
  <c r="C4043" i="1"/>
  <c r="D4043" i="1"/>
  <c r="E4043" i="1"/>
  <c r="A4044" i="1"/>
  <c r="B4044" i="1"/>
  <c r="C4044" i="1"/>
  <c r="D4044" i="1"/>
  <c r="E4044" i="1"/>
  <c r="A4045" i="1"/>
  <c r="B4045" i="1"/>
  <c r="C4045" i="1"/>
  <c r="D4045" i="1"/>
  <c r="E4045" i="1"/>
  <c r="A4046" i="1"/>
  <c r="B4046" i="1"/>
  <c r="C4046" i="1"/>
  <c r="D4046" i="1"/>
  <c r="E4046" i="1"/>
  <c r="A4047" i="1"/>
  <c r="B4047" i="1"/>
  <c r="C4047" i="1"/>
  <c r="D4047" i="1"/>
  <c r="E4047" i="1"/>
  <c r="A4048" i="1"/>
  <c r="B4048" i="1"/>
  <c r="C4048" i="1"/>
  <c r="D4048" i="1"/>
  <c r="E4048" i="1"/>
  <c r="A4049" i="1"/>
  <c r="B4049" i="1"/>
  <c r="C4049" i="1"/>
  <c r="D4049" i="1"/>
  <c r="E4049" i="1"/>
  <c r="A4050" i="1"/>
  <c r="B4050" i="1"/>
  <c r="C4050" i="1"/>
  <c r="D4050" i="1"/>
  <c r="E4050" i="1"/>
  <c r="A4051" i="1"/>
  <c r="B4051" i="1"/>
  <c r="C4051" i="1"/>
  <c r="D4051" i="1"/>
  <c r="E4051" i="1"/>
  <c r="A4052" i="1"/>
  <c r="B4052" i="1"/>
  <c r="C4052" i="1"/>
  <c r="D4052" i="1"/>
  <c r="E4052" i="1"/>
  <c r="A4053" i="1"/>
  <c r="B4053" i="1"/>
  <c r="C4053" i="1"/>
  <c r="D4053" i="1"/>
  <c r="E4053" i="1"/>
  <c r="A4054" i="1"/>
  <c r="B4054" i="1"/>
  <c r="C4054" i="1"/>
  <c r="D4054" i="1"/>
  <c r="E4054" i="1"/>
  <c r="A4055" i="1"/>
  <c r="B4055" i="1"/>
  <c r="C4055" i="1"/>
  <c r="D4055" i="1"/>
  <c r="E4055" i="1"/>
  <c r="A4056" i="1"/>
  <c r="B4056" i="1"/>
  <c r="C4056" i="1"/>
  <c r="D4056" i="1"/>
  <c r="E4056" i="1"/>
  <c r="A4057" i="1"/>
  <c r="B4057" i="1"/>
  <c r="C4057" i="1"/>
  <c r="D4057" i="1"/>
  <c r="E4057" i="1"/>
  <c r="A4058" i="1"/>
  <c r="B4058" i="1"/>
  <c r="C4058" i="1"/>
  <c r="D4058" i="1"/>
  <c r="E4058" i="1"/>
  <c r="A4059" i="1"/>
  <c r="B4059" i="1"/>
  <c r="C4059" i="1"/>
  <c r="D4059" i="1"/>
  <c r="E4059" i="1"/>
  <c r="A4060" i="1"/>
  <c r="B4060" i="1"/>
  <c r="C4060" i="1"/>
  <c r="D4060" i="1"/>
  <c r="E4060" i="1"/>
  <c r="A4061" i="1"/>
  <c r="B4061" i="1"/>
  <c r="C4061" i="1"/>
  <c r="D4061" i="1"/>
  <c r="E4061" i="1"/>
  <c r="A4062" i="1"/>
  <c r="B4062" i="1"/>
  <c r="C4062" i="1"/>
  <c r="D4062" i="1"/>
  <c r="E4062" i="1"/>
  <c r="A4063" i="1"/>
  <c r="B4063" i="1"/>
  <c r="C4063" i="1"/>
  <c r="D4063" i="1"/>
  <c r="E4063" i="1"/>
  <c r="A4064" i="1"/>
  <c r="B4064" i="1"/>
  <c r="C4064" i="1"/>
  <c r="D4064" i="1"/>
  <c r="E4064" i="1"/>
  <c r="A4065" i="1"/>
  <c r="B4065" i="1"/>
  <c r="C4065" i="1"/>
  <c r="D4065" i="1"/>
  <c r="E4065" i="1"/>
  <c r="A4066" i="1"/>
  <c r="B4066" i="1"/>
  <c r="C4066" i="1"/>
  <c r="D4066" i="1"/>
  <c r="E4066" i="1"/>
  <c r="A4067" i="1"/>
  <c r="B4067" i="1"/>
  <c r="C4067" i="1"/>
  <c r="D4067" i="1"/>
  <c r="E4067" i="1"/>
  <c r="A4068" i="1"/>
  <c r="B4068" i="1"/>
  <c r="C4068" i="1"/>
  <c r="D4068" i="1"/>
  <c r="E4068" i="1"/>
  <c r="A4069" i="1"/>
  <c r="B4069" i="1"/>
  <c r="C4069" i="1"/>
  <c r="D4069" i="1"/>
  <c r="E4069" i="1"/>
  <c r="A4070" i="1"/>
  <c r="B4070" i="1"/>
  <c r="C4070" i="1"/>
  <c r="D4070" i="1"/>
  <c r="E4070" i="1"/>
  <c r="A4071" i="1"/>
  <c r="B4071" i="1"/>
  <c r="C4071" i="1"/>
  <c r="D4071" i="1"/>
  <c r="E4071" i="1"/>
  <c r="A4072" i="1"/>
  <c r="B4072" i="1"/>
  <c r="C4072" i="1"/>
  <c r="D4072" i="1"/>
  <c r="E4072" i="1"/>
  <c r="A4073" i="1"/>
  <c r="B4073" i="1"/>
  <c r="C4073" i="1"/>
  <c r="D4073" i="1"/>
  <c r="E4073" i="1"/>
  <c r="A4074" i="1"/>
  <c r="B4074" i="1"/>
  <c r="C4074" i="1"/>
  <c r="D4074" i="1"/>
  <c r="E4074" i="1"/>
  <c r="A4075" i="1"/>
  <c r="B4075" i="1"/>
  <c r="C4075" i="1"/>
  <c r="D4075" i="1"/>
  <c r="E4075" i="1"/>
  <c r="A4076" i="1"/>
  <c r="B4076" i="1"/>
  <c r="C4076" i="1"/>
  <c r="D4076" i="1"/>
  <c r="E4076" i="1"/>
  <c r="A4077" i="1"/>
  <c r="B4077" i="1"/>
  <c r="C4077" i="1"/>
  <c r="D4077" i="1"/>
  <c r="E4077" i="1"/>
  <c r="A4078" i="1"/>
  <c r="B4078" i="1"/>
  <c r="C4078" i="1"/>
  <c r="D4078" i="1"/>
  <c r="E4078" i="1"/>
  <c r="A4079" i="1"/>
  <c r="B4079" i="1"/>
  <c r="C4079" i="1"/>
  <c r="D4079" i="1"/>
  <c r="E4079" i="1"/>
  <c r="A4080" i="1"/>
  <c r="B4080" i="1"/>
  <c r="C4080" i="1"/>
  <c r="D4080" i="1"/>
  <c r="E4080" i="1"/>
  <c r="A4081" i="1"/>
  <c r="B4081" i="1"/>
  <c r="C4081" i="1"/>
  <c r="D4081" i="1"/>
  <c r="E4081" i="1"/>
  <c r="A4082" i="1"/>
  <c r="B4082" i="1"/>
  <c r="C4082" i="1"/>
  <c r="D4082" i="1"/>
  <c r="E4082" i="1"/>
  <c r="A4083" i="1"/>
  <c r="B4083" i="1"/>
  <c r="C4083" i="1"/>
  <c r="D4083" i="1"/>
  <c r="E4083" i="1"/>
  <c r="A4084" i="1"/>
  <c r="B4084" i="1"/>
  <c r="C4084" i="1"/>
  <c r="D4084" i="1"/>
  <c r="E4084" i="1"/>
  <c r="A4085" i="1"/>
  <c r="B4085" i="1"/>
  <c r="C4085" i="1"/>
  <c r="D4085" i="1"/>
  <c r="E4085" i="1"/>
  <c r="A4086" i="1"/>
  <c r="B4086" i="1"/>
  <c r="C4086" i="1"/>
  <c r="D4086" i="1"/>
  <c r="E4086" i="1"/>
  <c r="A4087" i="1"/>
  <c r="B4087" i="1"/>
  <c r="C4087" i="1"/>
  <c r="D4087" i="1"/>
  <c r="E4087" i="1"/>
  <c r="A4088" i="1"/>
  <c r="B4088" i="1"/>
  <c r="C4088" i="1"/>
  <c r="D4088" i="1"/>
  <c r="E4088" i="1"/>
  <c r="A4089" i="1"/>
  <c r="B4089" i="1"/>
  <c r="C4089" i="1"/>
  <c r="D4089" i="1"/>
  <c r="E4089" i="1"/>
  <c r="A4090" i="1"/>
  <c r="B4090" i="1"/>
  <c r="C4090" i="1"/>
  <c r="D4090" i="1"/>
  <c r="E4090" i="1"/>
  <c r="A4091" i="1"/>
  <c r="B4091" i="1"/>
  <c r="C4091" i="1"/>
  <c r="D4091" i="1"/>
  <c r="E4091" i="1"/>
  <c r="A4092" i="1"/>
  <c r="B4092" i="1"/>
  <c r="C4092" i="1"/>
  <c r="D4092" i="1"/>
  <c r="E4092" i="1"/>
  <c r="A4093" i="1"/>
  <c r="B4093" i="1"/>
  <c r="C4093" i="1"/>
  <c r="D4093" i="1"/>
  <c r="E4093" i="1"/>
  <c r="A4094" i="1"/>
  <c r="B4094" i="1"/>
  <c r="C4094" i="1"/>
  <c r="D4094" i="1"/>
  <c r="E4094" i="1"/>
  <c r="A4095" i="1"/>
  <c r="B4095" i="1"/>
  <c r="C4095" i="1"/>
  <c r="D4095" i="1"/>
  <c r="E4095" i="1"/>
  <c r="A4096" i="1"/>
  <c r="B4096" i="1"/>
  <c r="C4096" i="1"/>
  <c r="D4096" i="1"/>
  <c r="E4096" i="1"/>
  <c r="A4097" i="1"/>
  <c r="B4097" i="1"/>
  <c r="C4097" i="1"/>
  <c r="D4097" i="1"/>
  <c r="E4097" i="1"/>
  <c r="A4098" i="1"/>
  <c r="B4098" i="1"/>
  <c r="C4098" i="1"/>
  <c r="D4098" i="1"/>
  <c r="E4098" i="1"/>
  <c r="A4099" i="1"/>
  <c r="B4099" i="1"/>
  <c r="C4099" i="1"/>
  <c r="D4099" i="1"/>
  <c r="E4099" i="1"/>
  <c r="A4100" i="1"/>
  <c r="B4100" i="1"/>
  <c r="C4100" i="1"/>
  <c r="D4100" i="1"/>
  <c r="E4100" i="1"/>
  <c r="A4101" i="1"/>
  <c r="B4101" i="1"/>
  <c r="C4101" i="1"/>
  <c r="D4101" i="1"/>
  <c r="E4101" i="1"/>
  <c r="A4102" i="1"/>
  <c r="B4102" i="1"/>
  <c r="C4102" i="1"/>
  <c r="D4102" i="1"/>
  <c r="E4102" i="1"/>
  <c r="A4103" i="1"/>
  <c r="B4103" i="1"/>
  <c r="C4103" i="1"/>
  <c r="D4103" i="1"/>
  <c r="E4103" i="1"/>
  <c r="A4104" i="1"/>
  <c r="B4104" i="1"/>
  <c r="C4104" i="1"/>
  <c r="D4104" i="1"/>
  <c r="E4104" i="1"/>
  <c r="A4105" i="1"/>
  <c r="B4105" i="1"/>
  <c r="C4105" i="1"/>
  <c r="D4105" i="1"/>
  <c r="E4105" i="1"/>
  <c r="A4106" i="1"/>
  <c r="B4106" i="1"/>
  <c r="C4106" i="1"/>
  <c r="D4106" i="1"/>
  <c r="E4106" i="1"/>
  <c r="A4107" i="1"/>
  <c r="B4107" i="1"/>
  <c r="C4107" i="1"/>
  <c r="D4107" i="1"/>
  <c r="E4107" i="1"/>
  <c r="A4108" i="1"/>
  <c r="B4108" i="1"/>
  <c r="C4108" i="1"/>
  <c r="D4108" i="1"/>
  <c r="E4108" i="1"/>
  <c r="A4109" i="1"/>
  <c r="B4109" i="1"/>
  <c r="C4109" i="1"/>
  <c r="D4109" i="1"/>
  <c r="E4109" i="1"/>
  <c r="A4110" i="1"/>
  <c r="B4110" i="1"/>
  <c r="C4110" i="1"/>
  <c r="D4110" i="1"/>
  <c r="E4110" i="1"/>
  <c r="A4111" i="1"/>
  <c r="B4111" i="1"/>
  <c r="C4111" i="1"/>
  <c r="D4111" i="1"/>
  <c r="E4111" i="1"/>
  <c r="A4112" i="1"/>
  <c r="B4112" i="1"/>
  <c r="C4112" i="1"/>
  <c r="D4112" i="1"/>
  <c r="E4112" i="1"/>
  <c r="A4113" i="1"/>
  <c r="B4113" i="1"/>
  <c r="C4113" i="1"/>
  <c r="D4113" i="1"/>
  <c r="E4113" i="1"/>
  <c r="A4114" i="1"/>
  <c r="B4114" i="1"/>
  <c r="C4114" i="1"/>
  <c r="D4114" i="1"/>
  <c r="E4114" i="1"/>
  <c r="A4115" i="1"/>
  <c r="B4115" i="1"/>
  <c r="C4115" i="1"/>
  <c r="D4115" i="1"/>
  <c r="E4115" i="1"/>
  <c r="A4116" i="1"/>
  <c r="B4116" i="1"/>
  <c r="C4116" i="1"/>
  <c r="D4116" i="1"/>
  <c r="E4116" i="1"/>
  <c r="A4117" i="1"/>
  <c r="B4117" i="1"/>
  <c r="C4117" i="1"/>
  <c r="D4117" i="1"/>
  <c r="E4117" i="1"/>
  <c r="A4118" i="1"/>
  <c r="B4118" i="1"/>
  <c r="C4118" i="1"/>
  <c r="D4118" i="1"/>
  <c r="E4118" i="1"/>
  <c r="A4119" i="1"/>
  <c r="B4119" i="1"/>
  <c r="C4119" i="1"/>
  <c r="D4119" i="1"/>
  <c r="E4119" i="1"/>
  <c r="A4120" i="1"/>
  <c r="B4120" i="1"/>
  <c r="C4120" i="1"/>
  <c r="D4120" i="1"/>
  <c r="E4120" i="1"/>
  <c r="A4121" i="1"/>
  <c r="B4121" i="1"/>
  <c r="C4121" i="1"/>
  <c r="D4121" i="1"/>
  <c r="E4121" i="1"/>
  <c r="A4122" i="1"/>
  <c r="B4122" i="1"/>
  <c r="C4122" i="1"/>
  <c r="D4122" i="1"/>
  <c r="E4122" i="1"/>
  <c r="A4123" i="1"/>
  <c r="B4123" i="1"/>
  <c r="C4123" i="1"/>
  <c r="D4123" i="1"/>
  <c r="E4123" i="1"/>
  <c r="A4124" i="1"/>
  <c r="B4124" i="1"/>
  <c r="C4124" i="1"/>
  <c r="D4124" i="1"/>
  <c r="E4124" i="1"/>
  <c r="A4125" i="1"/>
  <c r="B4125" i="1"/>
  <c r="C4125" i="1"/>
  <c r="D4125" i="1"/>
  <c r="E4125" i="1"/>
  <c r="A4126" i="1"/>
  <c r="B4126" i="1"/>
  <c r="C4126" i="1"/>
  <c r="D4126" i="1"/>
  <c r="E4126" i="1"/>
  <c r="A4127" i="1"/>
  <c r="B4127" i="1"/>
  <c r="C4127" i="1"/>
  <c r="D4127" i="1"/>
  <c r="E4127" i="1"/>
  <c r="A4128" i="1"/>
  <c r="B4128" i="1"/>
  <c r="C4128" i="1"/>
  <c r="D4128" i="1"/>
  <c r="E4128" i="1"/>
  <c r="A4129" i="1"/>
  <c r="B4129" i="1"/>
  <c r="C4129" i="1"/>
  <c r="D4129" i="1"/>
  <c r="E4129" i="1"/>
  <c r="A4130" i="1"/>
  <c r="B4130" i="1"/>
  <c r="C4130" i="1"/>
  <c r="D4130" i="1"/>
  <c r="E4130" i="1"/>
  <c r="A4131" i="1"/>
  <c r="B4131" i="1"/>
  <c r="C4131" i="1"/>
  <c r="D4131" i="1"/>
  <c r="E4131" i="1"/>
  <c r="A4132" i="1"/>
  <c r="B4132" i="1"/>
  <c r="C4132" i="1"/>
  <c r="D4132" i="1"/>
  <c r="E4132" i="1"/>
  <c r="A4133" i="1"/>
  <c r="B4133" i="1"/>
  <c r="C4133" i="1"/>
  <c r="D4133" i="1"/>
  <c r="E4133" i="1"/>
  <c r="A4134" i="1"/>
  <c r="B4134" i="1"/>
  <c r="C4134" i="1"/>
  <c r="D4134" i="1"/>
  <c r="E4134" i="1"/>
  <c r="A4135" i="1"/>
  <c r="B4135" i="1"/>
  <c r="C4135" i="1"/>
  <c r="D4135" i="1"/>
  <c r="E4135" i="1"/>
  <c r="A4136" i="1"/>
  <c r="B4136" i="1"/>
  <c r="C4136" i="1"/>
  <c r="D4136" i="1"/>
  <c r="E4136" i="1"/>
  <c r="A4137" i="1"/>
  <c r="B4137" i="1"/>
  <c r="C4137" i="1"/>
  <c r="D4137" i="1"/>
  <c r="E4137" i="1"/>
  <c r="A4138" i="1"/>
  <c r="B4138" i="1"/>
  <c r="C4138" i="1"/>
  <c r="D4138" i="1"/>
  <c r="E4138" i="1"/>
  <c r="A4139" i="1"/>
  <c r="B4139" i="1"/>
  <c r="C4139" i="1"/>
  <c r="D4139" i="1"/>
  <c r="E4139" i="1"/>
  <c r="A4140" i="1"/>
  <c r="B4140" i="1"/>
  <c r="C4140" i="1"/>
  <c r="D4140" i="1"/>
  <c r="E4140" i="1"/>
  <c r="A4141" i="1"/>
  <c r="B4141" i="1"/>
  <c r="C4141" i="1"/>
  <c r="D4141" i="1"/>
  <c r="E4141" i="1"/>
  <c r="A4142" i="1"/>
  <c r="B4142" i="1"/>
  <c r="C4142" i="1"/>
  <c r="D4142" i="1"/>
  <c r="E4142" i="1"/>
  <c r="A4143" i="1"/>
  <c r="B4143" i="1"/>
  <c r="C4143" i="1"/>
  <c r="D4143" i="1"/>
  <c r="E4143" i="1"/>
  <c r="A4144" i="1"/>
  <c r="B4144" i="1"/>
  <c r="C4144" i="1"/>
  <c r="D4144" i="1"/>
  <c r="E4144" i="1"/>
  <c r="A4145" i="1"/>
  <c r="B4145" i="1"/>
  <c r="C4145" i="1"/>
  <c r="D4145" i="1"/>
  <c r="E4145" i="1"/>
  <c r="A4146" i="1"/>
  <c r="B4146" i="1"/>
  <c r="C4146" i="1"/>
  <c r="D4146" i="1"/>
  <c r="E4146" i="1"/>
  <c r="A4147" i="1"/>
  <c r="B4147" i="1"/>
  <c r="C4147" i="1"/>
  <c r="D4147" i="1"/>
  <c r="E4147" i="1"/>
  <c r="A4148" i="1"/>
  <c r="B4148" i="1"/>
  <c r="C4148" i="1"/>
  <c r="D4148" i="1"/>
  <c r="E4148" i="1"/>
  <c r="A4149" i="1"/>
  <c r="B4149" i="1"/>
  <c r="C4149" i="1"/>
  <c r="D4149" i="1"/>
  <c r="E4149" i="1"/>
  <c r="A4150" i="1"/>
  <c r="B4150" i="1"/>
  <c r="C4150" i="1"/>
  <c r="D4150" i="1"/>
  <c r="E4150" i="1"/>
  <c r="A4151" i="1"/>
  <c r="B4151" i="1"/>
  <c r="C4151" i="1"/>
  <c r="D4151" i="1"/>
  <c r="E4151" i="1"/>
  <c r="A4152" i="1"/>
  <c r="B4152" i="1"/>
  <c r="C4152" i="1"/>
  <c r="D4152" i="1"/>
  <c r="E4152" i="1"/>
  <c r="A4153" i="1"/>
  <c r="B4153" i="1"/>
  <c r="C4153" i="1"/>
  <c r="D4153" i="1"/>
  <c r="E4153" i="1"/>
  <c r="A4154" i="1"/>
  <c r="B4154" i="1"/>
  <c r="C4154" i="1"/>
  <c r="D4154" i="1"/>
  <c r="E4154" i="1"/>
  <c r="A4155" i="1"/>
  <c r="B4155" i="1"/>
  <c r="C4155" i="1"/>
  <c r="D4155" i="1"/>
  <c r="E4155" i="1"/>
  <c r="A4156" i="1"/>
  <c r="B4156" i="1"/>
  <c r="C4156" i="1"/>
  <c r="D4156" i="1"/>
  <c r="E4156" i="1"/>
  <c r="A4157" i="1"/>
  <c r="B4157" i="1"/>
  <c r="C4157" i="1"/>
  <c r="D4157" i="1"/>
  <c r="E4157" i="1"/>
  <c r="A4158" i="1"/>
  <c r="B4158" i="1"/>
  <c r="C4158" i="1"/>
  <c r="D4158" i="1"/>
  <c r="E4158" i="1"/>
  <c r="A4159" i="1"/>
  <c r="B4159" i="1"/>
  <c r="C4159" i="1"/>
  <c r="D4159" i="1"/>
  <c r="E4159" i="1"/>
  <c r="A4160" i="1"/>
  <c r="B4160" i="1"/>
  <c r="C4160" i="1"/>
  <c r="D4160" i="1"/>
  <c r="E4160" i="1"/>
  <c r="A4161" i="1"/>
  <c r="B4161" i="1"/>
  <c r="C4161" i="1"/>
  <c r="D4161" i="1"/>
  <c r="E4161" i="1"/>
  <c r="A4162" i="1"/>
  <c r="B4162" i="1"/>
  <c r="C4162" i="1"/>
  <c r="D4162" i="1"/>
  <c r="E4162" i="1"/>
  <c r="A4163" i="1"/>
  <c r="B4163" i="1"/>
  <c r="C4163" i="1"/>
  <c r="D4163" i="1"/>
  <c r="E4163" i="1"/>
  <c r="A4164" i="1"/>
  <c r="B4164" i="1"/>
  <c r="C4164" i="1"/>
  <c r="D4164" i="1"/>
  <c r="E4164" i="1"/>
  <c r="A4165" i="1"/>
  <c r="B4165" i="1"/>
  <c r="C4165" i="1"/>
  <c r="D4165" i="1"/>
  <c r="E4165" i="1"/>
  <c r="A4166" i="1"/>
  <c r="B4166" i="1"/>
  <c r="C4166" i="1"/>
  <c r="D4166" i="1"/>
  <c r="E4166" i="1"/>
  <c r="A4167" i="1"/>
  <c r="B4167" i="1"/>
  <c r="C4167" i="1"/>
  <c r="D4167" i="1"/>
  <c r="E4167" i="1"/>
  <c r="A4168" i="1"/>
  <c r="B4168" i="1"/>
  <c r="C4168" i="1"/>
  <c r="D4168" i="1"/>
  <c r="E4168" i="1"/>
  <c r="A4169" i="1"/>
  <c r="B4169" i="1"/>
  <c r="C4169" i="1"/>
  <c r="D4169" i="1"/>
  <c r="E4169" i="1"/>
  <c r="A4170" i="1"/>
  <c r="B4170" i="1"/>
  <c r="C4170" i="1"/>
  <c r="D4170" i="1"/>
  <c r="E4170" i="1"/>
  <c r="A4171" i="1"/>
  <c r="B4171" i="1"/>
  <c r="C4171" i="1"/>
  <c r="D4171" i="1"/>
  <c r="E4171" i="1"/>
  <c r="A4172" i="1"/>
  <c r="B4172" i="1"/>
  <c r="C4172" i="1"/>
  <c r="D4172" i="1"/>
  <c r="E4172" i="1"/>
  <c r="A4173" i="1"/>
  <c r="B4173" i="1"/>
  <c r="C4173" i="1"/>
  <c r="D4173" i="1"/>
  <c r="E4173" i="1"/>
  <c r="A4174" i="1"/>
  <c r="B4174" i="1"/>
  <c r="C4174" i="1"/>
  <c r="D4174" i="1"/>
  <c r="E4174" i="1"/>
  <c r="A4175" i="1"/>
  <c r="B4175" i="1"/>
  <c r="C4175" i="1"/>
  <c r="D4175" i="1"/>
  <c r="E4175" i="1"/>
  <c r="A4176" i="1"/>
  <c r="B4176" i="1"/>
  <c r="C4176" i="1"/>
  <c r="D4176" i="1"/>
  <c r="E4176" i="1"/>
  <c r="A4177" i="1"/>
  <c r="B4177" i="1"/>
  <c r="C4177" i="1"/>
  <c r="D4177" i="1"/>
  <c r="E4177" i="1"/>
  <c r="A4178" i="1"/>
  <c r="B4178" i="1"/>
  <c r="C4178" i="1"/>
  <c r="D4178" i="1"/>
  <c r="E4178" i="1"/>
  <c r="A4179" i="1"/>
  <c r="B4179" i="1"/>
  <c r="C4179" i="1"/>
  <c r="D4179" i="1"/>
  <c r="E4179" i="1"/>
  <c r="A4180" i="1"/>
  <c r="B4180" i="1"/>
  <c r="C4180" i="1"/>
  <c r="D4180" i="1"/>
  <c r="E4180" i="1"/>
  <c r="A4181" i="1"/>
  <c r="B4181" i="1"/>
  <c r="C4181" i="1"/>
  <c r="D4181" i="1"/>
  <c r="E4181" i="1"/>
  <c r="A4182" i="1"/>
  <c r="B4182" i="1"/>
  <c r="C4182" i="1"/>
  <c r="D4182" i="1"/>
  <c r="E4182" i="1"/>
  <c r="A4183" i="1"/>
  <c r="B4183" i="1"/>
  <c r="C4183" i="1"/>
  <c r="D4183" i="1"/>
  <c r="E4183" i="1"/>
  <c r="A4184" i="1"/>
  <c r="B4184" i="1"/>
  <c r="C4184" i="1"/>
  <c r="D4184" i="1"/>
  <c r="E4184" i="1"/>
  <c r="A4185" i="1"/>
  <c r="B4185" i="1"/>
  <c r="C4185" i="1"/>
  <c r="D4185" i="1"/>
  <c r="E4185" i="1"/>
  <c r="A4186" i="1"/>
  <c r="B4186" i="1"/>
  <c r="C4186" i="1"/>
  <c r="D4186" i="1"/>
  <c r="E4186" i="1"/>
  <c r="A4187" i="1"/>
  <c r="B4187" i="1"/>
  <c r="C4187" i="1"/>
  <c r="D4187" i="1"/>
  <c r="E4187" i="1"/>
  <c r="A4188" i="1"/>
  <c r="B4188" i="1"/>
  <c r="C4188" i="1"/>
  <c r="D4188" i="1"/>
  <c r="E4188" i="1"/>
  <c r="A4189" i="1"/>
  <c r="B4189" i="1"/>
  <c r="C4189" i="1"/>
  <c r="D4189" i="1"/>
  <c r="E4189" i="1"/>
  <c r="A4190" i="1"/>
  <c r="B4190" i="1"/>
  <c r="C4190" i="1"/>
  <c r="D4190" i="1"/>
  <c r="E4190" i="1"/>
  <c r="A4191" i="1"/>
  <c r="B4191" i="1"/>
  <c r="C4191" i="1"/>
  <c r="D4191" i="1"/>
  <c r="E4191" i="1"/>
  <c r="A4192" i="1"/>
  <c r="B4192" i="1"/>
  <c r="C4192" i="1"/>
  <c r="D4192" i="1"/>
  <c r="E4192" i="1"/>
  <c r="A4193" i="1"/>
  <c r="B4193" i="1"/>
  <c r="C4193" i="1"/>
  <c r="D4193" i="1"/>
  <c r="E4193" i="1"/>
  <c r="A4194" i="1"/>
  <c r="B4194" i="1"/>
  <c r="C4194" i="1"/>
  <c r="D4194" i="1"/>
  <c r="E4194" i="1"/>
  <c r="A4195" i="1"/>
  <c r="B4195" i="1"/>
  <c r="C4195" i="1"/>
  <c r="D4195" i="1"/>
  <c r="E4195" i="1"/>
  <c r="A4196" i="1"/>
  <c r="B4196" i="1"/>
  <c r="C4196" i="1"/>
  <c r="D4196" i="1"/>
  <c r="E4196" i="1"/>
  <c r="A4197" i="1"/>
  <c r="B4197" i="1"/>
  <c r="C4197" i="1"/>
  <c r="D4197" i="1"/>
  <c r="E4197" i="1"/>
  <c r="A4198" i="1"/>
  <c r="B4198" i="1"/>
  <c r="C4198" i="1"/>
  <c r="D4198" i="1"/>
  <c r="E4198" i="1"/>
  <c r="A4199" i="1"/>
  <c r="B4199" i="1"/>
  <c r="C4199" i="1"/>
  <c r="D4199" i="1"/>
  <c r="E4199" i="1"/>
  <c r="A4200" i="1"/>
  <c r="B4200" i="1"/>
  <c r="C4200" i="1"/>
  <c r="D4200" i="1"/>
  <c r="E4200" i="1"/>
  <c r="A4201" i="1"/>
  <c r="B4201" i="1"/>
  <c r="C4201" i="1"/>
  <c r="D4201" i="1"/>
  <c r="E4201" i="1"/>
  <c r="A4202" i="1"/>
  <c r="B4202" i="1"/>
  <c r="C4202" i="1"/>
  <c r="D4202" i="1"/>
  <c r="E4202" i="1"/>
  <c r="A4203" i="1"/>
  <c r="B4203" i="1"/>
  <c r="C4203" i="1"/>
  <c r="D4203" i="1"/>
  <c r="E4203" i="1"/>
  <c r="A4204" i="1"/>
  <c r="B4204" i="1"/>
  <c r="C4204" i="1"/>
  <c r="D4204" i="1"/>
  <c r="E4204" i="1"/>
  <c r="A4205" i="1"/>
  <c r="B4205" i="1"/>
  <c r="C4205" i="1"/>
  <c r="D4205" i="1"/>
  <c r="E4205" i="1"/>
  <c r="A4206" i="1"/>
  <c r="B4206" i="1"/>
  <c r="C4206" i="1"/>
  <c r="D4206" i="1"/>
  <c r="E4206" i="1"/>
  <c r="A4207" i="1"/>
  <c r="B4207" i="1"/>
  <c r="C4207" i="1"/>
  <c r="D4207" i="1"/>
  <c r="E4207" i="1"/>
  <c r="A4208" i="1"/>
  <c r="B4208" i="1"/>
  <c r="C4208" i="1"/>
  <c r="D4208" i="1"/>
  <c r="E4208" i="1"/>
  <c r="A4209" i="1"/>
  <c r="B4209" i="1"/>
  <c r="C4209" i="1"/>
  <c r="D4209" i="1"/>
  <c r="E4209" i="1"/>
  <c r="A4210" i="1"/>
  <c r="B4210" i="1"/>
  <c r="C4210" i="1"/>
  <c r="D4210" i="1"/>
  <c r="E4210" i="1"/>
  <c r="A4211" i="1"/>
  <c r="B4211" i="1"/>
  <c r="C4211" i="1"/>
  <c r="D4211" i="1"/>
  <c r="E4211" i="1"/>
  <c r="A4212" i="1"/>
  <c r="B4212" i="1"/>
  <c r="C4212" i="1"/>
  <c r="D4212" i="1"/>
  <c r="E4212" i="1"/>
  <c r="A4213" i="1"/>
  <c r="B4213" i="1"/>
  <c r="C4213" i="1"/>
  <c r="D4213" i="1"/>
  <c r="E4213" i="1"/>
  <c r="A4214" i="1"/>
  <c r="B4214" i="1"/>
  <c r="C4214" i="1"/>
  <c r="D4214" i="1"/>
  <c r="E4214" i="1"/>
  <c r="A4215" i="1"/>
  <c r="B4215" i="1"/>
  <c r="C4215" i="1"/>
  <c r="D4215" i="1"/>
  <c r="E4215" i="1"/>
  <c r="A4216" i="1"/>
  <c r="B4216" i="1"/>
  <c r="C4216" i="1"/>
  <c r="D4216" i="1"/>
  <c r="E4216" i="1"/>
  <c r="A4217" i="1"/>
  <c r="B4217" i="1"/>
  <c r="C4217" i="1"/>
  <c r="D4217" i="1"/>
  <c r="E4217" i="1"/>
  <c r="A4218" i="1"/>
  <c r="B4218" i="1"/>
  <c r="C4218" i="1"/>
  <c r="D4218" i="1"/>
  <c r="E4218" i="1"/>
  <c r="A4219" i="1"/>
  <c r="B4219" i="1"/>
  <c r="C4219" i="1"/>
  <c r="D4219" i="1"/>
  <c r="E4219" i="1"/>
  <c r="A4220" i="1"/>
  <c r="B4220" i="1"/>
  <c r="C4220" i="1"/>
  <c r="D4220" i="1"/>
  <c r="E4220" i="1"/>
  <c r="A4221" i="1"/>
  <c r="B4221" i="1"/>
  <c r="C4221" i="1"/>
  <c r="D4221" i="1"/>
  <c r="E4221" i="1"/>
  <c r="A4222" i="1"/>
  <c r="B4222" i="1"/>
  <c r="C4222" i="1"/>
  <c r="D4222" i="1"/>
  <c r="E4222" i="1"/>
  <c r="A4223" i="1"/>
  <c r="B4223" i="1"/>
  <c r="C4223" i="1"/>
  <c r="D4223" i="1"/>
  <c r="E4223" i="1"/>
  <c r="A4224" i="1"/>
  <c r="B4224" i="1"/>
  <c r="C4224" i="1"/>
  <c r="D4224" i="1"/>
  <c r="E4224" i="1"/>
  <c r="A4225" i="1"/>
  <c r="B4225" i="1"/>
  <c r="C4225" i="1"/>
  <c r="D4225" i="1"/>
  <c r="E4225" i="1"/>
  <c r="A4226" i="1"/>
  <c r="B4226" i="1"/>
  <c r="C4226" i="1"/>
  <c r="D4226" i="1"/>
  <c r="E4226" i="1"/>
  <c r="A4227" i="1"/>
  <c r="B4227" i="1"/>
  <c r="C4227" i="1"/>
  <c r="D4227" i="1"/>
  <c r="E4227" i="1"/>
  <c r="A4228" i="1"/>
  <c r="B4228" i="1"/>
  <c r="C4228" i="1"/>
  <c r="D4228" i="1"/>
  <c r="E4228" i="1"/>
  <c r="A4229" i="1"/>
  <c r="B4229" i="1"/>
  <c r="C4229" i="1"/>
  <c r="D4229" i="1"/>
  <c r="E4229" i="1"/>
  <c r="A4230" i="1"/>
  <c r="B4230" i="1"/>
  <c r="C4230" i="1"/>
  <c r="D4230" i="1"/>
  <c r="E4230" i="1"/>
  <c r="A4231" i="1"/>
  <c r="B4231" i="1"/>
  <c r="C4231" i="1"/>
  <c r="D4231" i="1"/>
  <c r="E4231" i="1"/>
  <c r="A4232" i="1"/>
  <c r="B4232" i="1"/>
  <c r="C4232" i="1"/>
  <c r="D4232" i="1"/>
  <c r="E4232" i="1"/>
  <c r="A4233" i="1"/>
  <c r="B4233" i="1"/>
  <c r="C4233" i="1"/>
  <c r="D4233" i="1"/>
  <c r="E4233" i="1"/>
  <c r="A4234" i="1"/>
  <c r="B4234" i="1"/>
  <c r="C4234" i="1"/>
  <c r="D4234" i="1"/>
  <c r="E4234" i="1"/>
  <c r="A4235" i="1"/>
  <c r="B4235" i="1"/>
  <c r="C4235" i="1"/>
  <c r="D4235" i="1"/>
  <c r="E4235" i="1"/>
  <c r="A4236" i="1"/>
  <c r="B4236" i="1"/>
  <c r="C4236" i="1"/>
  <c r="D4236" i="1"/>
  <c r="E4236" i="1"/>
  <c r="A4237" i="1"/>
  <c r="B4237" i="1"/>
  <c r="C4237" i="1"/>
  <c r="D4237" i="1"/>
  <c r="E4237" i="1"/>
  <c r="A4238" i="1"/>
  <c r="B4238" i="1"/>
  <c r="C4238" i="1"/>
  <c r="D4238" i="1"/>
  <c r="E4238" i="1"/>
  <c r="A4239" i="1"/>
  <c r="B4239" i="1"/>
  <c r="C4239" i="1"/>
  <c r="D4239" i="1"/>
  <c r="E4239" i="1"/>
  <c r="A4240" i="1"/>
  <c r="B4240" i="1"/>
  <c r="C4240" i="1"/>
  <c r="D4240" i="1"/>
  <c r="E4240" i="1"/>
  <c r="A4241" i="1"/>
  <c r="B4241" i="1"/>
  <c r="C4241" i="1"/>
  <c r="D4241" i="1"/>
  <c r="E4241" i="1"/>
  <c r="A4242" i="1"/>
  <c r="B4242" i="1"/>
  <c r="C4242" i="1"/>
  <c r="D4242" i="1"/>
  <c r="E4242" i="1"/>
  <c r="A4243" i="1"/>
  <c r="B4243" i="1"/>
  <c r="C4243" i="1"/>
  <c r="D4243" i="1"/>
  <c r="E4243" i="1"/>
  <c r="A4244" i="1"/>
  <c r="B4244" i="1"/>
  <c r="C4244" i="1"/>
  <c r="D4244" i="1"/>
  <c r="E4244" i="1"/>
  <c r="A4245" i="1"/>
  <c r="B4245" i="1"/>
  <c r="C4245" i="1"/>
  <c r="D4245" i="1"/>
  <c r="E4245" i="1"/>
  <c r="A4246" i="1"/>
  <c r="B4246" i="1"/>
  <c r="C4246" i="1"/>
  <c r="D4246" i="1"/>
  <c r="E4246" i="1"/>
  <c r="A4247" i="1"/>
  <c r="B4247" i="1"/>
  <c r="C4247" i="1"/>
  <c r="D4247" i="1"/>
  <c r="E4247" i="1"/>
  <c r="A4248" i="1"/>
  <c r="B4248" i="1"/>
  <c r="C4248" i="1"/>
  <c r="D4248" i="1"/>
  <c r="E4248" i="1"/>
  <c r="A4249" i="1"/>
  <c r="B4249" i="1"/>
  <c r="C4249" i="1"/>
  <c r="D4249" i="1"/>
  <c r="E4249" i="1"/>
  <c r="A4250" i="1"/>
  <c r="B4250" i="1"/>
  <c r="C4250" i="1"/>
  <c r="D4250" i="1"/>
  <c r="E4250" i="1"/>
  <c r="A4251" i="1"/>
  <c r="B4251" i="1"/>
  <c r="C4251" i="1"/>
  <c r="D4251" i="1"/>
  <c r="E4251" i="1"/>
  <c r="A4252" i="1"/>
  <c r="B4252" i="1"/>
  <c r="C4252" i="1"/>
  <c r="D4252" i="1"/>
  <c r="E4252" i="1"/>
  <c r="A4253" i="1"/>
  <c r="B4253" i="1"/>
  <c r="C4253" i="1"/>
  <c r="D4253" i="1"/>
  <c r="E4253" i="1"/>
  <c r="A4254" i="1"/>
  <c r="B4254" i="1"/>
  <c r="C4254" i="1"/>
  <c r="D4254" i="1"/>
  <c r="E4254" i="1"/>
  <c r="A4255" i="1"/>
  <c r="B4255" i="1"/>
  <c r="C4255" i="1"/>
  <c r="D4255" i="1"/>
  <c r="E4255" i="1"/>
  <c r="A4256" i="1"/>
  <c r="B4256" i="1"/>
  <c r="C4256" i="1"/>
  <c r="D4256" i="1"/>
  <c r="E4256" i="1"/>
  <c r="A4257" i="1"/>
  <c r="B4257" i="1"/>
  <c r="C4257" i="1"/>
  <c r="D4257" i="1"/>
  <c r="E4257" i="1"/>
  <c r="A4258" i="1"/>
  <c r="B4258" i="1"/>
  <c r="C4258" i="1"/>
  <c r="D4258" i="1"/>
  <c r="E4258" i="1"/>
  <c r="A4259" i="1"/>
  <c r="B4259" i="1"/>
  <c r="C4259" i="1"/>
  <c r="D4259" i="1"/>
  <c r="E4259" i="1"/>
  <c r="A4260" i="1"/>
  <c r="B4260" i="1"/>
  <c r="C4260" i="1"/>
  <c r="D4260" i="1"/>
  <c r="E4260" i="1"/>
  <c r="A4261" i="1"/>
  <c r="B4261" i="1"/>
  <c r="C4261" i="1"/>
  <c r="D4261" i="1"/>
  <c r="E4261" i="1"/>
  <c r="A4262" i="1"/>
  <c r="B4262" i="1"/>
  <c r="C4262" i="1"/>
  <c r="D4262" i="1"/>
  <c r="E4262" i="1"/>
  <c r="A4263" i="1"/>
  <c r="B4263" i="1"/>
  <c r="C4263" i="1"/>
  <c r="D4263" i="1"/>
  <c r="E4263" i="1"/>
  <c r="A4264" i="1"/>
  <c r="B4264" i="1"/>
  <c r="C4264" i="1"/>
  <c r="D4264" i="1"/>
  <c r="E4264" i="1"/>
  <c r="A4265" i="1"/>
  <c r="B4265" i="1"/>
  <c r="C4265" i="1"/>
  <c r="D4265" i="1"/>
  <c r="E4265" i="1"/>
  <c r="A4266" i="1"/>
  <c r="B4266" i="1"/>
  <c r="C4266" i="1"/>
  <c r="D4266" i="1"/>
  <c r="E4266" i="1"/>
  <c r="A4267" i="1"/>
  <c r="B4267" i="1"/>
  <c r="C4267" i="1"/>
  <c r="D4267" i="1"/>
  <c r="E4267" i="1"/>
  <c r="A4268" i="1"/>
  <c r="B4268" i="1"/>
  <c r="C4268" i="1"/>
  <c r="D4268" i="1"/>
  <c r="E4268" i="1"/>
  <c r="A4269" i="1"/>
  <c r="B4269" i="1"/>
  <c r="C4269" i="1"/>
  <c r="D4269" i="1"/>
  <c r="E4269" i="1"/>
  <c r="A4270" i="1"/>
  <c r="B4270" i="1"/>
  <c r="C4270" i="1"/>
  <c r="D4270" i="1"/>
  <c r="E4270" i="1"/>
  <c r="A4271" i="1"/>
  <c r="B4271" i="1"/>
  <c r="C4271" i="1"/>
  <c r="D4271" i="1"/>
  <c r="E4271" i="1"/>
  <c r="A4272" i="1"/>
  <c r="B4272" i="1"/>
  <c r="C4272" i="1"/>
  <c r="D4272" i="1"/>
  <c r="E4272" i="1"/>
  <c r="A4273" i="1"/>
  <c r="B4273" i="1"/>
  <c r="C4273" i="1"/>
  <c r="D4273" i="1"/>
  <c r="E4273" i="1"/>
  <c r="A4274" i="1"/>
  <c r="B4274" i="1"/>
  <c r="C4274" i="1"/>
  <c r="D4274" i="1"/>
  <c r="E4274" i="1"/>
  <c r="A4275" i="1"/>
  <c r="B4275" i="1"/>
  <c r="C4275" i="1"/>
  <c r="D4275" i="1"/>
  <c r="E4275" i="1"/>
  <c r="A4276" i="1"/>
  <c r="B4276" i="1"/>
  <c r="C4276" i="1"/>
  <c r="D4276" i="1"/>
  <c r="E4276" i="1"/>
  <c r="A4277" i="1"/>
  <c r="B4277" i="1"/>
  <c r="C4277" i="1"/>
  <c r="D4277" i="1"/>
  <c r="E4277" i="1"/>
  <c r="A4278" i="1"/>
  <c r="B4278" i="1"/>
  <c r="C4278" i="1"/>
  <c r="D4278" i="1"/>
  <c r="E4278" i="1"/>
  <c r="A4279" i="1"/>
  <c r="B4279" i="1"/>
  <c r="C4279" i="1"/>
  <c r="D4279" i="1"/>
  <c r="E4279" i="1"/>
  <c r="A4280" i="1"/>
  <c r="B4280" i="1"/>
  <c r="C4280" i="1"/>
  <c r="D4280" i="1"/>
  <c r="E4280" i="1"/>
  <c r="A4281" i="1"/>
  <c r="B4281" i="1"/>
  <c r="C4281" i="1"/>
  <c r="D4281" i="1"/>
  <c r="E4281" i="1"/>
  <c r="A4282" i="1"/>
  <c r="B4282" i="1"/>
  <c r="C4282" i="1"/>
  <c r="D4282" i="1"/>
  <c r="E4282" i="1"/>
  <c r="A4283" i="1"/>
  <c r="B4283" i="1"/>
  <c r="C4283" i="1"/>
  <c r="D4283" i="1"/>
  <c r="E4283" i="1"/>
  <c r="A4284" i="1"/>
  <c r="B4284" i="1"/>
  <c r="C4284" i="1"/>
  <c r="D4284" i="1"/>
  <c r="E4284" i="1"/>
  <c r="A4285" i="1"/>
  <c r="B4285" i="1"/>
  <c r="C4285" i="1"/>
  <c r="D4285" i="1"/>
  <c r="E4285" i="1"/>
  <c r="A4286" i="1"/>
  <c r="B4286" i="1"/>
  <c r="C4286" i="1"/>
  <c r="D4286" i="1"/>
  <c r="E4286" i="1"/>
  <c r="A4287" i="1"/>
  <c r="B4287" i="1"/>
  <c r="C4287" i="1"/>
  <c r="D4287" i="1"/>
  <c r="E4287" i="1"/>
  <c r="A4288" i="1"/>
  <c r="B4288" i="1"/>
  <c r="C4288" i="1"/>
  <c r="D4288" i="1"/>
  <c r="E4288" i="1"/>
  <c r="A4289" i="1"/>
  <c r="B4289" i="1"/>
  <c r="C4289" i="1"/>
  <c r="D4289" i="1"/>
  <c r="E4289" i="1"/>
  <c r="A4290" i="1"/>
  <c r="B4290" i="1"/>
  <c r="C4290" i="1"/>
  <c r="D4290" i="1"/>
  <c r="E4290" i="1"/>
  <c r="A4291" i="1"/>
  <c r="B4291" i="1"/>
  <c r="C4291" i="1"/>
  <c r="D4291" i="1"/>
  <c r="E4291" i="1"/>
  <c r="A4292" i="1"/>
  <c r="B4292" i="1"/>
  <c r="C4292" i="1"/>
  <c r="D4292" i="1"/>
  <c r="E4292" i="1"/>
  <c r="A4293" i="1"/>
  <c r="B4293" i="1"/>
  <c r="C4293" i="1"/>
  <c r="D4293" i="1"/>
  <c r="E4293" i="1"/>
  <c r="A4294" i="1"/>
  <c r="B4294" i="1"/>
  <c r="C4294" i="1"/>
  <c r="D4294" i="1"/>
  <c r="E4294" i="1"/>
  <c r="A4295" i="1"/>
  <c r="B4295" i="1"/>
  <c r="C4295" i="1"/>
  <c r="D4295" i="1"/>
  <c r="E4295" i="1"/>
  <c r="A4296" i="1"/>
  <c r="B4296" i="1"/>
  <c r="C4296" i="1"/>
  <c r="D4296" i="1"/>
  <c r="E4296" i="1"/>
  <c r="A4297" i="1"/>
  <c r="B4297" i="1"/>
  <c r="C4297" i="1"/>
  <c r="D4297" i="1"/>
  <c r="E4297" i="1"/>
  <c r="A4298" i="1"/>
  <c r="B4298" i="1"/>
  <c r="C4298" i="1"/>
  <c r="D4298" i="1"/>
  <c r="E4298" i="1"/>
  <c r="A4299" i="1"/>
  <c r="B4299" i="1"/>
  <c r="C4299" i="1"/>
  <c r="D4299" i="1"/>
  <c r="E4299" i="1"/>
  <c r="A4300" i="1"/>
  <c r="B4300" i="1"/>
  <c r="C4300" i="1"/>
  <c r="D4300" i="1"/>
  <c r="E4300" i="1"/>
  <c r="A4301" i="1"/>
  <c r="B4301" i="1"/>
  <c r="C4301" i="1"/>
  <c r="D4301" i="1"/>
  <c r="E4301" i="1"/>
  <c r="A4302" i="1"/>
  <c r="B4302" i="1"/>
  <c r="C4302" i="1"/>
  <c r="D4302" i="1"/>
  <c r="E4302" i="1"/>
  <c r="A4303" i="1"/>
  <c r="B4303" i="1"/>
  <c r="C4303" i="1"/>
  <c r="D4303" i="1"/>
  <c r="E4303" i="1"/>
  <c r="A4304" i="1"/>
  <c r="B4304" i="1"/>
  <c r="C4304" i="1"/>
  <c r="D4304" i="1"/>
  <c r="E4304" i="1"/>
  <c r="A4305" i="1"/>
  <c r="B4305" i="1"/>
  <c r="C4305" i="1"/>
  <c r="D4305" i="1"/>
  <c r="E4305" i="1"/>
  <c r="A4306" i="1"/>
  <c r="B4306" i="1"/>
  <c r="C4306" i="1"/>
  <c r="D4306" i="1"/>
  <c r="E4306" i="1"/>
  <c r="A4307" i="1"/>
  <c r="B4307" i="1"/>
  <c r="C4307" i="1"/>
  <c r="D4307" i="1"/>
  <c r="E4307" i="1"/>
  <c r="A4308" i="1"/>
  <c r="B4308" i="1"/>
  <c r="C4308" i="1"/>
  <c r="D4308" i="1"/>
  <c r="E4308" i="1"/>
  <c r="A4309" i="1"/>
  <c r="B4309" i="1"/>
  <c r="C4309" i="1"/>
  <c r="D4309" i="1"/>
  <c r="E4309" i="1"/>
  <c r="A4310" i="1"/>
  <c r="B4310" i="1"/>
  <c r="C4310" i="1"/>
  <c r="D4310" i="1"/>
  <c r="E4310" i="1"/>
  <c r="A4311" i="1"/>
  <c r="B4311" i="1"/>
  <c r="C4311" i="1"/>
  <c r="D4311" i="1"/>
  <c r="E4311" i="1"/>
  <c r="A4312" i="1"/>
  <c r="B4312" i="1"/>
  <c r="C4312" i="1"/>
  <c r="D4312" i="1"/>
  <c r="E4312" i="1"/>
  <c r="A4313" i="1"/>
  <c r="B4313" i="1"/>
  <c r="C4313" i="1"/>
  <c r="D4313" i="1"/>
  <c r="E4313" i="1"/>
  <c r="A4314" i="1"/>
  <c r="B4314" i="1"/>
  <c r="C4314" i="1"/>
  <c r="D4314" i="1"/>
  <c r="E4314" i="1"/>
  <c r="A4315" i="1"/>
  <c r="B4315" i="1"/>
  <c r="C4315" i="1"/>
  <c r="D4315" i="1"/>
  <c r="E4315" i="1"/>
  <c r="A4316" i="1"/>
  <c r="B4316" i="1"/>
  <c r="C4316" i="1"/>
  <c r="D4316" i="1"/>
  <c r="E4316" i="1"/>
  <c r="A4317" i="1"/>
  <c r="B4317" i="1"/>
  <c r="C4317" i="1"/>
  <c r="D4317" i="1"/>
  <c r="E4317" i="1"/>
  <c r="A4318" i="1"/>
  <c r="B4318" i="1"/>
  <c r="C4318" i="1"/>
  <c r="D4318" i="1"/>
  <c r="E4318" i="1"/>
  <c r="A4319" i="1"/>
  <c r="B4319" i="1"/>
  <c r="C4319" i="1"/>
  <c r="D4319" i="1"/>
  <c r="E4319" i="1"/>
  <c r="A4320" i="1"/>
  <c r="B4320" i="1"/>
  <c r="C4320" i="1"/>
  <c r="D4320" i="1"/>
  <c r="E4320" i="1"/>
  <c r="A4321" i="1"/>
  <c r="B4321" i="1"/>
  <c r="C4321" i="1"/>
  <c r="D4321" i="1"/>
  <c r="E4321" i="1"/>
  <c r="A4322" i="1"/>
  <c r="B4322" i="1"/>
  <c r="C4322" i="1"/>
  <c r="D4322" i="1"/>
  <c r="E4322" i="1"/>
  <c r="A4323" i="1"/>
  <c r="B4323" i="1"/>
  <c r="C4323" i="1"/>
  <c r="D4323" i="1"/>
  <c r="E4323" i="1"/>
  <c r="A4324" i="1"/>
  <c r="B4324" i="1"/>
  <c r="C4324" i="1"/>
  <c r="D4324" i="1"/>
  <c r="E4324" i="1"/>
  <c r="A4325" i="1"/>
  <c r="B4325" i="1"/>
  <c r="C4325" i="1"/>
  <c r="D4325" i="1"/>
  <c r="E4325" i="1"/>
  <c r="A4326" i="1"/>
  <c r="B4326" i="1"/>
  <c r="C4326" i="1"/>
  <c r="D4326" i="1"/>
  <c r="E4326" i="1"/>
  <c r="A4327" i="1"/>
  <c r="B4327" i="1"/>
  <c r="C4327" i="1"/>
  <c r="D4327" i="1"/>
  <c r="E4327" i="1"/>
  <c r="A4328" i="1"/>
  <c r="B4328" i="1"/>
  <c r="C4328" i="1"/>
  <c r="D4328" i="1"/>
  <c r="E4328" i="1"/>
  <c r="A4329" i="1"/>
  <c r="B4329" i="1"/>
  <c r="C4329" i="1"/>
  <c r="D4329" i="1"/>
  <c r="E4329" i="1"/>
  <c r="A4330" i="1"/>
  <c r="B4330" i="1"/>
  <c r="C4330" i="1"/>
  <c r="D4330" i="1"/>
  <c r="E4330" i="1"/>
  <c r="A4331" i="1"/>
  <c r="B4331" i="1"/>
  <c r="C4331" i="1"/>
  <c r="D4331" i="1"/>
  <c r="E4331" i="1"/>
  <c r="A4332" i="1"/>
  <c r="B4332" i="1"/>
  <c r="C4332" i="1"/>
  <c r="D4332" i="1"/>
  <c r="E4332" i="1"/>
  <c r="A4333" i="1"/>
  <c r="B4333" i="1"/>
  <c r="C4333" i="1"/>
  <c r="D4333" i="1"/>
  <c r="E4333" i="1"/>
  <c r="A4334" i="1"/>
  <c r="B4334" i="1"/>
  <c r="C4334" i="1"/>
  <c r="D4334" i="1"/>
  <c r="E4334" i="1"/>
  <c r="A4335" i="1"/>
  <c r="B4335" i="1"/>
  <c r="C4335" i="1"/>
  <c r="D4335" i="1"/>
  <c r="E4335" i="1"/>
  <c r="A4336" i="1"/>
  <c r="B4336" i="1"/>
  <c r="C4336" i="1"/>
  <c r="D4336" i="1"/>
  <c r="E4336" i="1"/>
  <c r="A4337" i="1"/>
  <c r="B4337" i="1"/>
  <c r="C4337" i="1"/>
  <c r="D4337" i="1"/>
  <c r="E4337" i="1"/>
  <c r="A4338" i="1"/>
  <c r="B4338" i="1"/>
  <c r="C4338" i="1"/>
  <c r="D4338" i="1"/>
  <c r="E4338" i="1"/>
  <c r="A4339" i="1"/>
  <c r="B4339" i="1"/>
  <c r="C4339" i="1"/>
  <c r="D4339" i="1"/>
  <c r="E4339" i="1"/>
  <c r="A4340" i="1"/>
  <c r="B4340" i="1"/>
  <c r="C4340" i="1"/>
  <c r="D4340" i="1"/>
  <c r="E4340" i="1"/>
  <c r="A4341" i="1"/>
  <c r="B4341" i="1"/>
  <c r="C4341" i="1"/>
  <c r="D4341" i="1"/>
  <c r="E4341" i="1"/>
  <c r="A4342" i="1"/>
  <c r="B4342" i="1"/>
  <c r="C4342" i="1"/>
  <c r="D4342" i="1"/>
  <c r="E4342" i="1"/>
  <c r="A4343" i="1"/>
  <c r="B4343" i="1"/>
  <c r="C4343" i="1"/>
  <c r="D4343" i="1"/>
  <c r="E4343" i="1"/>
  <c r="A4344" i="1"/>
  <c r="B4344" i="1"/>
  <c r="C4344" i="1"/>
  <c r="D4344" i="1"/>
  <c r="E4344" i="1"/>
  <c r="A4345" i="1"/>
  <c r="B4345" i="1"/>
  <c r="C4345" i="1"/>
  <c r="D4345" i="1"/>
  <c r="E4345" i="1"/>
  <c r="A4346" i="1"/>
  <c r="B4346" i="1"/>
  <c r="C4346" i="1"/>
  <c r="D4346" i="1"/>
  <c r="E4346" i="1"/>
  <c r="A4347" i="1"/>
  <c r="B4347" i="1"/>
  <c r="C4347" i="1"/>
  <c r="D4347" i="1"/>
  <c r="E4347" i="1"/>
  <c r="A4348" i="1"/>
  <c r="B4348" i="1"/>
  <c r="C4348" i="1"/>
  <c r="D4348" i="1"/>
  <c r="E4348" i="1"/>
  <c r="A4349" i="1"/>
  <c r="B4349" i="1"/>
  <c r="C4349" i="1"/>
  <c r="D4349" i="1"/>
  <c r="E4349" i="1"/>
  <c r="A4350" i="1"/>
  <c r="B4350" i="1"/>
  <c r="C4350" i="1"/>
  <c r="D4350" i="1"/>
  <c r="E4350" i="1"/>
  <c r="A4351" i="1"/>
  <c r="B4351" i="1"/>
  <c r="C4351" i="1"/>
  <c r="D4351" i="1"/>
  <c r="E4351" i="1"/>
  <c r="A4352" i="1"/>
  <c r="B4352" i="1"/>
  <c r="C4352" i="1"/>
  <c r="D4352" i="1"/>
  <c r="E4352" i="1"/>
  <c r="A4353" i="1"/>
  <c r="B4353" i="1"/>
  <c r="C4353" i="1"/>
  <c r="D4353" i="1"/>
  <c r="E4353" i="1"/>
  <c r="A4354" i="1"/>
  <c r="B4354" i="1"/>
  <c r="C4354" i="1"/>
  <c r="D4354" i="1"/>
  <c r="E4354" i="1"/>
  <c r="A4355" i="1"/>
  <c r="B4355" i="1"/>
  <c r="C4355" i="1"/>
  <c r="D4355" i="1"/>
  <c r="E4355" i="1"/>
  <c r="A4356" i="1"/>
  <c r="B4356" i="1"/>
  <c r="C4356" i="1"/>
  <c r="D4356" i="1"/>
  <c r="E4356" i="1"/>
  <c r="A4357" i="1"/>
  <c r="B4357" i="1"/>
  <c r="C4357" i="1"/>
  <c r="D4357" i="1"/>
  <c r="E4357" i="1"/>
  <c r="A4358" i="1"/>
  <c r="B4358" i="1"/>
  <c r="C4358" i="1"/>
  <c r="D4358" i="1"/>
  <c r="E4358" i="1"/>
  <c r="A4359" i="1"/>
  <c r="B4359" i="1"/>
  <c r="C4359" i="1"/>
  <c r="D4359" i="1"/>
  <c r="E4359" i="1"/>
  <c r="A4360" i="1"/>
  <c r="B4360" i="1"/>
  <c r="C4360" i="1"/>
  <c r="D4360" i="1"/>
  <c r="E4360" i="1"/>
  <c r="A4361" i="1"/>
  <c r="B4361" i="1"/>
  <c r="C4361" i="1"/>
  <c r="D4361" i="1"/>
  <c r="E4361" i="1"/>
  <c r="A4362" i="1"/>
  <c r="B4362" i="1"/>
  <c r="C4362" i="1"/>
  <c r="D4362" i="1"/>
  <c r="E4362" i="1"/>
  <c r="A4363" i="1"/>
  <c r="B4363" i="1"/>
  <c r="C4363" i="1"/>
  <c r="D4363" i="1"/>
  <c r="E4363" i="1"/>
  <c r="A4364" i="1"/>
  <c r="B4364" i="1"/>
  <c r="C4364" i="1"/>
  <c r="D4364" i="1"/>
  <c r="E4364" i="1"/>
  <c r="A4365" i="1"/>
  <c r="B4365" i="1"/>
  <c r="C4365" i="1"/>
  <c r="D4365" i="1"/>
  <c r="E4365" i="1"/>
  <c r="A4366" i="1"/>
  <c r="B4366" i="1"/>
  <c r="C4366" i="1"/>
  <c r="D4366" i="1"/>
  <c r="E4366" i="1"/>
  <c r="A4367" i="1"/>
  <c r="B4367" i="1"/>
  <c r="C4367" i="1"/>
  <c r="D4367" i="1"/>
  <c r="E4367" i="1"/>
  <c r="A4368" i="1"/>
  <c r="B4368" i="1"/>
  <c r="C4368" i="1"/>
  <c r="D4368" i="1"/>
  <c r="E4368" i="1"/>
  <c r="A4369" i="1"/>
  <c r="B4369" i="1"/>
  <c r="C4369" i="1"/>
  <c r="D4369" i="1"/>
  <c r="E4369" i="1"/>
  <c r="A4370" i="1"/>
  <c r="B4370" i="1"/>
  <c r="C4370" i="1"/>
  <c r="D4370" i="1"/>
  <c r="E4370" i="1"/>
  <c r="A4371" i="1"/>
  <c r="B4371" i="1"/>
  <c r="C4371" i="1"/>
  <c r="D4371" i="1"/>
  <c r="E4371" i="1"/>
  <c r="A4372" i="1"/>
  <c r="B4372" i="1"/>
  <c r="C4372" i="1"/>
  <c r="D4372" i="1"/>
  <c r="E4372" i="1"/>
  <c r="A4373" i="1"/>
  <c r="B4373" i="1"/>
  <c r="C4373" i="1"/>
  <c r="D4373" i="1"/>
  <c r="E4373" i="1"/>
  <c r="A4374" i="1"/>
  <c r="B4374" i="1"/>
  <c r="C4374" i="1"/>
  <c r="D4374" i="1"/>
  <c r="E4374" i="1"/>
  <c r="A4375" i="1"/>
  <c r="B4375" i="1"/>
  <c r="C4375" i="1"/>
  <c r="D4375" i="1"/>
  <c r="E4375" i="1"/>
  <c r="A4376" i="1"/>
  <c r="B4376" i="1"/>
  <c r="C4376" i="1"/>
  <c r="D4376" i="1"/>
  <c r="E4376" i="1"/>
  <c r="A4377" i="1"/>
  <c r="B4377" i="1"/>
  <c r="C4377" i="1"/>
  <c r="D4377" i="1"/>
  <c r="E4377" i="1"/>
  <c r="A4378" i="1"/>
  <c r="B4378" i="1"/>
  <c r="C4378" i="1"/>
  <c r="D4378" i="1"/>
  <c r="E4378" i="1"/>
  <c r="A4379" i="1"/>
  <c r="B4379" i="1"/>
  <c r="C4379" i="1"/>
  <c r="D4379" i="1"/>
  <c r="E4379" i="1"/>
  <c r="A4380" i="1"/>
  <c r="B4380" i="1"/>
  <c r="C4380" i="1"/>
  <c r="D4380" i="1"/>
  <c r="E4380" i="1"/>
  <c r="A4381" i="1"/>
  <c r="B4381" i="1"/>
  <c r="C4381" i="1"/>
  <c r="D4381" i="1"/>
  <c r="E4381" i="1"/>
  <c r="A4382" i="1"/>
  <c r="B4382" i="1"/>
  <c r="C4382" i="1"/>
  <c r="D4382" i="1"/>
  <c r="E4382" i="1"/>
  <c r="A4383" i="1"/>
  <c r="B4383" i="1"/>
  <c r="C4383" i="1"/>
  <c r="D4383" i="1"/>
  <c r="E4383" i="1"/>
  <c r="A4384" i="1"/>
  <c r="B4384" i="1"/>
  <c r="C4384" i="1"/>
  <c r="D4384" i="1"/>
  <c r="E4384" i="1"/>
  <c r="A4385" i="1"/>
  <c r="B4385" i="1"/>
  <c r="C4385" i="1"/>
  <c r="D4385" i="1"/>
  <c r="E4385" i="1"/>
  <c r="A4386" i="1"/>
  <c r="B4386" i="1"/>
  <c r="C4386" i="1"/>
  <c r="D4386" i="1"/>
  <c r="E4386" i="1"/>
  <c r="A4387" i="1"/>
  <c r="B4387" i="1"/>
  <c r="C4387" i="1"/>
  <c r="D4387" i="1"/>
  <c r="E4387" i="1"/>
  <c r="A4388" i="1"/>
  <c r="B4388" i="1"/>
  <c r="C4388" i="1"/>
  <c r="D4388" i="1"/>
  <c r="E4388" i="1"/>
  <c r="A4389" i="1"/>
  <c r="B4389" i="1"/>
  <c r="C4389" i="1"/>
  <c r="D4389" i="1"/>
  <c r="E4389" i="1"/>
  <c r="A4390" i="1"/>
  <c r="B4390" i="1"/>
  <c r="C4390" i="1"/>
  <c r="D4390" i="1"/>
  <c r="E4390" i="1"/>
  <c r="A4391" i="1"/>
  <c r="B4391" i="1"/>
  <c r="C4391" i="1"/>
  <c r="D4391" i="1"/>
  <c r="E4391" i="1"/>
  <c r="A4392" i="1"/>
  <c r="B4392" i="1"/>
  <c r="C4392" i="1"/>
  <c r="D4392" i="1"/>
  <c r="E4392" i="1"/>
  <c r="A4393" i="1"/>
  <c r="B4393" i="1"/>
  <c r="C4393" i="1"/>
  <c r="D4393" i="1"/>
  <c r="E4393" i="1"/>
  <c r="A4394" i="1"/>
  <c r="B4394" i="1"/>
  <c r="C4394" i="1"/>
  <c r="D4394" i="1"/>
  <c r="E4394" i="1"/>
  <c r="A4395" i="1"/>
  <c r="B4395" i="1"/>
  <c r="C4395" i="1"/>
  <c r="D4395" i="1"/>
  <c r="E4395" i="1"/>
  <c r="A4396" i="1"/>
  <c r="B4396" i="1"/>
  <c r="C4396" i="1"/>
  <c r="D4396" i="1"/>
  <c r="E4396" i="1"/>
  <c r="A4397" i="1"/>
  <c r="B4397" i="1"/>
  <c r="C4397" i="1"/>
  <c r="D4397" i="1"/>
  <c r="E4397" i="1"/>
  <c r="A4398" i="1"/>
  <c r="B4398" i="1"/>
  <c r="C4398" i="1"/>
  <c r="D4398" i="1"/>
  <c r="E4398" i="1"/>
  <c r="A4399" i="1"/>
  <c r="B4399" i="1"/>
  <c r="C4399" i="1"/>
  <c r="D4399" i="1"/>
  <c r="E4399" i="1"/>
  <c r="A4400" i="1"/>
  <c r="B4400" i="1"/>
  <c r="C4400" i="1"/>
  <c r="D4400" i="1"/>
  <c r="E4400" i="1"/>
  <c r="A4401" i="1"/>
  <c r="B4401" i="1"/>
  <c r="C4401" i="1"/>
  <c r="D4401" i="1"/>
  <c r="E4401" i="1"/>
  <c r="A4402" i="1"/>
  <c r="B4402" i="1"/>
  <c r="C4402" i="1"/>
  <c r="D4402" i="1"/>
  <c r="E4402" i="1"/>
  <c r="A4403" i="1"/>
  <c r="B4403" i="1"/>
  <c r="C4403" i="1"/>
  <c r="D4403" i="1"/>
  <c r="E4403" i="1"/>
  <c r="A4404" i="1"/>
  <c r="B4404" i="1"/>
  <c r="C4404" i="1"/>
  <c r="D4404" i="1"/>
  <c r="E4404" i="1"/>
  <c r="A4405" i="1"/>
  <c r="B4405" i="1"/>
  <c r="C4405" i="1"/>
  <c r="D4405" i="1"/>
  <c r="E4405" i="1"/>
  <c r="A4406" i="1"/>
  <c r="B4406" i="1"/>
  <c r="C4406" i="1"/>
  <c r="D4406" i="1"/>
  <c r="E4406" i="1"/>
  <c r="A4407" i="1"/>
  <c r="B4407" i="1"/>
  <c r="C4407" i="1"/>
  <c r="D4407" i="1"/>
  <c r="E4407" i="1"/>
  <c r="A4408" i="1"/>
  <c r="B4408" i="1"/>
  <c r="C4408" i="1"/>
  <c r="D4408" i="1"/>
  <c r="E4408" i="1"/>
  <c r="A4409" i="1"/>
  <c r="B4409" i="1"/>
  <c r="C4409" i="1"/>
  <c r="D4409" i="1"/>
  <c r="E4409" i="1"/>
  <c r="A4410" i="1"/>
  <c r="B4410" i="1"/>
  <c r="C4410" i="1"/>
  <c r="D4410" i="1"/>
  <c r="E4410" i="1"/>
  <c r="A4411" i="1"/>
  <c r="B4411" i="1"/>
  <c r="C4411" i="1"/>
  <c r="D4411" i="1"/>
  <c r="E4411" i="1"/>
  <c r="A4412" i="1"/>
  <c r="B4412" i="1"/>
  <c r="C4412" i="1"/>
  <c r="D4412" i="1"/>
  <c r="E4412" i="1"/>
  <c r="A4413" i="1"/>
  <c r="B4413" i="1"/>
  <c r="C4413" i="1"/>
  <c r="D4413" i="1"/>
  <c r="E4413" i="1"/>
  <c r="A4414" i="1"/>
  <c r="B4414" i="1"/>
  <c r="C4414" i="1"/>
  <c r="D4414" i="1"/>
  <c r="E4414" i="1"/>
  <c r="A4415" i="1"/>
  <c r="B4415" i="1"/>
  <c r="C4415" i="1"/>
  <c r="D4415" i="1"/>
  <c r="E4415" i="1"/>
  <c r="A4416" i="1"/>
  <c r="B4416" i="1"/>
  <c r="C4416" i="1"/>
  <c r="D4416" i="1"/>
  <c r="E4416" i="1"/>
  <c r="A4417" i="1"/>
  <c r="B4417" i="1"/>
  <c r="C4417" i="1"/>
  <c r="D4417" i="1"/>
  <c r="E4417" i="1"/>
  <c r="A4418" i="1"/>
  <c r="B4418" i="1"/>
  <c r="C4418" i="1"/>
  <c r="D4418" i="1"/>
  <c r="E4418" i="1"/>
  <c r="A4419" i="1"/>
  <c r="B4419" i="1"/>
  <c r="C4419" i="1"/>
  <c r="D4419" i="1"/>
  <c r="E4419" i="1"/>
  <c r="A4420" i="1"/>
  <c r="B4420" i="1"/>
  <c r="C4420" i="1"/>
  <c r="D4420" i="1"/>
  <c r="E4420" i="1"/>
  <c r="A4421" i="1"/>
  <c r="B4421" i="1"/>
  <c r="C4421" i="1"/>
  <c r="D4421" i="1"/>
  <c r="E4421" i="1"/>
  <c r="A4422" i="1"/>
  <c r="B4422" i="1"/>
  <c r="C4422" i="1"/>
  <c r="D4422" i="1"/>
  <c r="E4422" i="1"/>
  <c r="A4423" i="1"/>
  <c r="B4423" i="1"/>
  <c r="C4423" i="1"/>
  <c r="D4423" i="1"/>
  <c r="E4423" i="1"/>
  <c r="A4424" i="1"/>
  <c r="B4424" i="1"/>
  <c r="C4424" i="1"/>
  <c r="D4424" i="1"/>
  <c r="E4424" i="1"/>
  <c r="A4425" i="1"/>
  <c r="B4425" i="1"/>
  <c r="C4425" i="1"/>
  <c r="D4425" i="1"/>
  <c r="E4425" i="1"/>
  <c r="A4426" i="1"/>
  <c r="B4426" i="1"/>
  <c r="C4426" i="1"/>
  <c r="D4426" i="1"/>
  <c r="E4426" i="1"/>
  <c r="A4427" i="1"/>
  <c r="B4427" i="1"/>
  <c r="C4427" i="1"/>
  <c r="D4427" i="1"/>
  <c r="E4427" i="1"/>
  <c r="A4428" i="1"/>
  <c r="B4428" i="1"/>
  <c r="C4428" i="1"/>
  <c r="D4428" i="1"/>
  <c r="E4428" i="1"/>
  <c r="A4429" i="1"/>
  <c r="B4429" i="1"/>
  <c r="C4429" i="1"/>
  <c r="D4429" i="1"/>
  <c r="E4429" i="1"/>
  <c r="A4430" i="1"/>
  <c r="B4430" i="1"/>
  <c r="C4430" i="1"/>
  <c r="D4430" i="1"/>
  <c r="E4430" i="1"/>
  <c r="A4431" i="1"/>
  <c r="B4431" i="1"/>
  <c r="C4431" i="1"/>
  <c r="D4431" i="1"/>
  <c r="E4431" i="1"/>
  <c r="A4432" i="1"/>
  <c r="B4432" i="1"/>
  <c r="C4432" i="1"/>
  <c r="D4432" i="1"/>
  <c r="E4432" i="1"/>
  <c r="A4433" i="1"/>
  <c r="B4433" i="1"/>
  <c r="C4433" i="1"/>
  <c r="D4433" i="1"/>
  <c r="E4433" i="1"/>
  <c r="A4434" i="1"/>
  <c r="B4434" i="1"/>
  <c r="C4434" i="1"/>
  <c r="D4434" i="1"/>
  <c r="E4434" i="1"/>
  <c r="A4435" i="1"/>
  <c r="B4435" i="1"/>
  <c r="C4435" i="1"/>
  <c r="D4435" i="1"/>
  <c r="E4435" i="1"/>
  <c r="A4436" i="1"/>
  <c r="B4436" i="1"/>
  <c r="C4436" i="1"/>
  <c r="D4436" i="1"/>
  <c r="E4436" i="1"/>
  <c r="A4437" i="1"/>
  <c r="B4437" i="1"/>
  <c r="C4437" i="1"/>
  <c r="D4437" i="1"/>
  <c r="E4437" i="1"/>
  <c r="A4438" i="1"/>
  <c r="B4438" i="1"/>
  <c r="C4438" i="1"/>
  <c r="D4438" i="1"/>
  <c r="E4438" i="1"/>
  <c r="A4439" i="1"/>
  <c r="B4439" i="1"/>
  <c r="C4439" i="1"/>
  <c r="D4439" i="1"/>
  <c r="E4439" i="1"/>
  <c r="A4440" i="1"/>
  <c r="B4440" i="1"/>
  <c r="C4440" i="1"/>
  <c r="D4440" i="1"/>
  <c r="E4440" i="1"/>
  <c r="A4441" i="1"/>
  <c r="B4441" i="1"/>
  <c r="C4441" i="1"/>
  <c r="D4441" i="1"/>
  <c r="E4441" i="1"/>
  <c r="A4442" i="1"/>
  <c r="B4442" i="1"/>
  <c r="C4442" i="1"/>
  <c r="D4442" i="1"/>
  <c r="E4442" i="1"/>
  <c r="A4443" i="1"/>
  <c r="B4443" i="1"/>
  <c r="C4443" i="1"/>
  <c r="D4443" i="1"/>
  <c r="E4443" i="1"/>
  <c r="A4444" i="1"/>
  <c r="B4444" i="1"/>
  <c r="C4444" i="1"/>
  <c r="D4444" i="1"/>
  <c r="E4444" i="1"/>
  <c r="A4445" i="1"/>
  <c r="B4445" i="1"/>
  <c r="C4445" i="1"/>
  <c r="D4445" i="1"/>
  <c r="E4445" i="1"/>
  <c r="A4446" i="1"/>
  <c r="B4446" i="1"/>
  <c r="C4446" i="1"/>
  <c r="D4446" i="1"/>
  <c r="E4446" i="1"/>
  <c r="A4447" i="1"/>
  <c r="B4447" i="1"/>
  <c r="C4447" i="1"/>
  <c r="D4447" i="1"/>
  <c r="E4447" i="1"/>
  <c r="A4448" i="1"/>
  <c r="B4448" i="1"/>
  <c r="C4448" i="1"/>
  <c r="D4448" i="1"/>
  <c r="E4448" i="1"/>
  <c r="A4449" i="1"/>
  <c r="B4449" i="1"/>
  <c r="C4449" i="1"/>
  <c r="D4449" i="1"/>
  <c r="E4449" i="1"/>
  <c r="A4450" i="1"/>
  <c r="B4450" i="1"/>
  <c r="C4450" i="1"/>
  <c r="D4450" i="1"/>
  <c r="E4450" i="1"/>
  <c r="A4451" i="1"/>
  <c r="B4451" i="1"/>
  <c r="C4451" i="1"/>
  <c r="D4451" i="1"/>
  <c r="E4451" i="1"/>
  <c r="A4452" i="1"/>
  <c r="B4452" i="1"/>
  <c r="C4452" i="1"/>
  <c r="D4452" i="1"/>
  <c r="E4452" i="1"/>
  <c r="A4453" i="1"/>
  <c r="B4453" i="1"/>
  <c r="C4453" i="1"/>
  <c r="D4453" i="1"/>
  <c r="E4453" i="1"/>
  <c r="A4454" i="1"/>
  <c r="B4454" i="1"/>
  <c r="C4454" i="1"/>
  <c r="D4454" i="1"/>
  <c r="E4454" i="1"/>
  <c r="A4455" i="1"/>
  <c r="B4455" i="1"/>
  <c r="C4455" i="1"/>
  <c r="D4455" i="1"/>
  <c r="E4455" i="1"/>
  <c r="A4456" i="1"/>
  <c r="B4456" i="1"/>
  <c r="C4456" i="1"/>
  <c r="D4456" i="1"/>
  <c r="E4456" i="1"/>
  <c r="A4457" i="1"/>
  <c r="B4457" i="1"/>
  <c r="C4457" i="1"/>
  <c r="D4457" i="1"/>
  <c r="E4457" i="1"/>
  <c r="A4458" i="1"/>
  <c r="B4458" i="1"/>
  <c r="C4458" i="1"/>
  <c r="D4458" i="1"/>
  <c r="E4458" i="1"/>
  <c r="A4459" i="1"/>
  <c r="B4459" i="1"/>
  <c r="C4459" i="1"/>
  <c r="D4459" i="1"/>
  <c r="E4459" i="1"/>
  <c r="A4460" i="1"/>
  <c r="B4460" i="1"/>
  <c r="C4460" i="1"/>
  <c r="D4460" i="1"/>
  <c r="E4460" i="1"/>
  <c r="A4461" i="1"/>
  <c r="B4461" i="1"/>
  <c r="C4461" i="1"/>
  <c r="D4461" i="1"/>
  <c r="E4461" i="1"/>
  <c r="A4462" i="1"/>
  <c r="B4462" i="1"/>
  <c r="C4462" i="1"/>
  <c r="D4462" i="1"/>
  <c r="E4462" i="1"/>
  <c r="A4463" i="1"/>
  <c r="B4463" i="1"/>
  <c r="C4463" i="1"/>
  <c r="D4463" i="1"/>
  <c r="E4463" i="1"/>
  <c r="A4464" i="1"/>
  <c r="B4464" i="1"/>
  <c r="C4464" i="1"/>
  <c r="D4464" i="1"/>
  <c r="E4464" i="1"/>
  <c r="A4465" i="1"/>
  <c r="B4465" i="1"/>
  <c r="C4465" i="1"/>
  <c r="D4465" i="1"/>
  <c r="E4465" i="1"/>
  <c r="A4466" i="1"/>
  <c r="B4466" i="1"/>
  <c r="C4466" i="1"/>
  <c r="D4466" i="1"/>
  <c r="E4466" i="1"/>
  <c r="A4467" i="1"/>
  <c r="B4467" i="1"/>
  <c r="C4467" i="1"/>
  <c r="D4467" i="1"/>
  <c r="E4467" i="1"/>
  <c r="A4468" i="1"/>
  <c r="B4468" i="1"/>
  <c r="C4468" i="1"/>
  <c r="D4468" i="1"/>
  <c r="E4468" i="1"/>
  <c r="A4469" i="1"/>
  <c r="B4469" i="1"/>
  <c r="C4469" i="1"/>
  <c r="D4469" i="1"/>
  <c r="E4469" i="1"/>
  <c r="A4470" i="1"/>
  <c r="B4470" i="1"/>
  <c r="C4470" i="1"/>
  <c r="D4470" i="1"/>
  <c r="E4470" i="1"/>
  <c r="A4471" i="1"/>
  <c r="B4471" i="1"/>
  <c r="C4471" i="1"/>
  <c r="D4471" i="1"/>
  <c r="E4471" i="1"/>
  <c r="A4472" i="1"/>
  <c r="B4472" i="1"/>
  <c r="C4472" i="1"/>
  <c r="D4472" i="1"/>
  <c r="E4472" i="1"/>
  <c r="A4473" i="1"/>
  <c r="B4473" i="1"/>
  <c r="C4473" i="1"/>
  <c r="D4473" i="1"/>
  <c r="E4473" i="1"/>
  <c r="A4474" i="1"/>
  <c r="B4474" i="1"/>
  <c r="C4474" i="1"/>
  <c r="D4474" i="1"/>
  <c r="E4474" i="1"/>
  <c r="A4475" i="1"/>
  <c r="B4475" i="1"/>
  <c r="C4475" i="1"/>
  <c r="D4475" i="1"/>
  <c r="E4475" i="1"/>
  <c r="A4476" i="1"/>
  <c r="B4476" i="1"/>
  <c r="C4476" i="1"/>
  <c r="D4476" i="1"/>
  <c r="E4476" i="1"/>
  <c r="A4477" i="1"/>
  <c r="B4477" i="1"/>
  <c r="C4477" i="1"/>
  <c r="D4477" i="1"/>
  <c r="E4477" i="1"/>
  <c r="A4478" i="1"/>
  <c r="B4478" i="1"/>
  <c r="C4478" i="1"/>
  <c r="D4478" i="1"/>
  <c r="E4478" i="1"/>
  <c r="A4479" i="1"/>
  <c r="B4479" i="1"/>
  <c r="C4479" i="1"/>
  <c r="D4479" i="1"/>
  <c r="E4479" i="1"/>
  <c r="A4480" i="1"/>
  <c r="B4480" i="1"/>
  <c r="C4480" i="1"/>
  <c r="D4480" i="1"/>
  <c r="E4480" i="1"/>
  <c r="A4481" i="1"/>
  <c r="B4481" i="1"/>
  <c r="C4481" i="1"/>
  <c r="D4481" i="1"/>
  <c r="E4481" i="1"/>
  <c r="A4482" i="1"/>
  <c r="B4482" i="1"/>
  <c r="C4482" i="1"/>
  <c r="D4482" i="1"/>
  <c r="E4482" i="1"/>
  <c r="A4483" i="1"/>
  <c r="B4483" i="1"/>
  <c r="C4483" i="1"/>
  <c r="D4483" i="1"/>
  <c r="E4483" i="1"/>
  <c r="A4484" i="1"/>
  <c r="B4484" i="1"/>
  <c r="C4484" i="1"/>
  <c r="D4484" i="1"/>
  <c r="E4484" i="1"/>
  <c r="A4485" i="1"/>
  <c r="B4485" i="1"/>
  <c r="C4485" i="1"/>
  <c r="D4485" i="1"/>
  <c r="E4485" i="1"/>
  <c r="A4486" i="1"/>
  <c r="B4486" i="1"/>
  <c r="C4486" i="1"/>
  <c r="D4486" i="1"/>
  <c r="E4486" i="1"/>
  <c r="A4487" i="1"/>
  <c r="B4487" i="1"/>
  <c r="C4487" i="1"/>
  <c r="D4487" i="1"/>
  <c r="E4487" i="1"/>
  <c r="A4488" i="1"/>
  <c r="B4488" i="1"/>
  <c r="C4488" i="1"/>
  <c r="D4488" i="1"/>
  <c r="E4488" i="1"/>
  <c r="A4489" i="1"/>
  <c r="B4489" i="1"/>
  <c r="C4489" i="1"/>
  <c r="D4489" i="1"/>
  <c r="E4489" i="1"/>
  <c r="A4490" i="1"/>
  <c r="B4490" i="1"/>
  <c r="C4490" i="1"/>
  <c r="D4490" i="1"/>
  <c r="E4490" i="1"/>
  <c r="A4491" i="1"/>
  <c r="B4491" i="1"/>
  <c r="C4491" i="1"/>
  <c r="D4491" i="1"/>
  <c r="E4491" i="1"/>
  <c r="A4492" i="1"/>
  <c r="B4492" i="1"/>
  <c r="C4492" i="1"/>
  <c r="D4492" i="1"/>
  <c r="E4492" i="1"/>
  <c r="A4493" i="1"/>
  <c r="B4493" i="1"/>
  <c r="C4493" i="1"/>
  <c r="D4493" i="1"/>
  <c r="E4493" i="1"/>
  <c r="A4494" i="1"/>
  <c r="B4494" i="1"/>
  <c r="C4494" i="1"/>
  <c r="D4494" i="1"/>
  <c r="E4494" i="1"/>
  <c r="A4495" i="1"/>
  <c r="B4495" i="1"/>
  <c r="C4495" i="1"/>
  <c r="D4495" i="1"/>
  <c r="E4495" i="1"/>
  <c r="A4496" i="1"/>
  <c r="B4496" i="1"/>
  <c r="C4496" i="1"/>
  <c r="D4496" i="1"/>
  <c r="E4496" i="1"/>
  <c r="A4497" i="1"/>
  <c r="B4497" i="1"/>
  <c r="C4497" i="1"/>
  <c r="D4497" i="1"/>
  <c r="E4497" i="1"/>
  <c r="A4498" i="1"/>
  <c r="B4498" i="1"/>
  <c r="C4498" i="1"/>
  <c r="D4498" i="1"/>
  <c r="E4498" i="1"/>
  <c r="A4499" i="1"/>
  <c r="B4499" i="1"/>
  <c r="C4499" i="1"/>
  <c r="D4499" i="1"/>
  <c r="E4499" i="1"/>
  <c r="A4500" i="1"/>
  <c r="B4500" i="1"/>
  <c r="C4500" i="1"/>
  <c r="D4500" i="1"/>
  <c r="E4500" i="1"/>
  <c r="A4501" i="1"/>
  <c r="B4501" i="1"/>
  <c r="C4501" i="1"/>
  <c r="D4501" i="1"/>
  <c r="E4501" i="1"/>
  <c r="A4502" i="1"/>
  <c r="B4502" i="1"/>
  <c r="C4502" i="1"/>
  <c r="D4502" i="1"/>
  <c r="E4502" i="1"/>
  <c r="A4503" i="1"/>
  <c r="B4503" i="1"/>
  <c r="C4503" i="1"/>
  <c r="D4503" i="1"/>
  <c r="E4503" i="1"/>
  <c r="A4504" i="1"/>
  <c r="B4504" i="1"/>
  <c r="C4504" i="1"/>
  <c r="D4504" i="1"/>
  <c r="E4504" i="1"/>
  <c r="A4505" i="1"/>
  <c r="B4505" i="1"/>
  <c r="C4505" i="1"/>
  <c r="D4505" i="1"/>
  <c r="E4505" i="1"/>
  <c r="A4506" i="1"/>
  <c r="B4506" i="1"/>
  <c r="C4506" i="1"/>
  <c r="D4506" i="1"/>
  <c r="E4506" i="1"/>
  <c r="A4507" i="1"/>
  <c r="B4507" i="1"/>
  <c r="C4507" i="1"/>
  <c r="D4507" i="1"/>
  <c r="E4507" i="1"/>
  <c r="A4508" i="1"/>
  <c r="B4508" i="1"/>
  <c r="C4508" i="1"/>
  <c r="D4508" i="1"/>
  <c r="E4508" i="1"/>
  <c r="A4509" i="1"/>
  <c r="B4509" i="1"/>
  <c r="C4509" i="1"/>
  <c r="D4509" i="1"/>
  <c r="E4509" i="1"/>
  <c r="A4510" i="1"/>
  <c r="B4510" i="1"/>
  <c r="C4510" i="1"/>
  <c r="D4510" i="1"/>
  <c r="E4510" i="1"/>
  <c r="A4511" i="1"/>
  <c r="B4511" i="1"/>
  <c r="C4511" i="1"/>
  <c r="D4511" i="1"/>
  <c r="E4511" i="1"/>
  <c r="A4512" i="1"/>
  <c r="B4512" i="1"/>
  <c r="C4512" i="1"/>
  <c r="D4512" i="1"/>
  <c r="E4512" i="1"/>
  <c r="A4513" i="1"/>
  <c r="B4513" i="1"/>
  <c r="C4513" i="1"/>
  <c r="D4513" i="1"/>
  <c r="E4513" i="1"/>
  <c r="A4514" i="1"/>
  <c r="B4514" i="1"/>
  <c r="C4514" i="1"/>
  <c r="D4514" i="1"/>
  <c r="E4514" i="1"/>
  <c r="A4515" i="1"/>
  <c r="B4515" i="1"/>
  <c r="C4515" i="1"/>
  <c r="D4515" i="1"/>
  <c r="E4515" i="1"/>
  <c r="A4516" i="1"/>
  <c r="B4516" i="1"/>
  <c r="C4516" i="1"/>
  <c r="D4516" i="1"/>
  <c r="E4516" i="1"/>
  <c r="A4517" i="1"/>
  <c r="B4517" i="1"/>
  <c r="C4517" i="1"/>
  <c r="D4517" i="1"/>
  <c r="E4517" i="1"/>
  <c r="A4518" i="1"/>
  <c r="B4518" i="1"/>
  <c r="C4518" i="1"/>
  <c r="D4518" i="1"/>
  <c r="E4518" i="1"/>
  <c r="A4519" i="1"/>
  <c r="B4519" i="1"/>
  <c r="C4519" i="1"/>
  <c r="D4519" i="1"/>
  <c r="E4519" i="1"/>
  <c r="A4520" i="1"/>
  <c r="B4520" i="1"/>
  <c r="C4520" i="1"/>
  <c r="D4520" i="1"/>
  <c r="E4520" i="1"/>
  <c r="A4521" i="1"/>
  <c r="B4521" i="1"/>
  <c r="C4521" i="1"/>
  <c r="D4521" i="1"/>
  <c r="E4521" i="1"/>
  <c r="A4522" i="1"/>
  <c r="B4522" i="1"/>
  <c r="C4522" i="1"/>
  <c r="D4522" i="1"/>
  <c r="E4522" i="1"/>
  <c r="A4523" i="1"/>
  <c r="B4523" i="1"/>
  <c r="C4523" i="1"/>
  <c r="D4523" i="1"/>
  <c r="E4523" i="1"/>
  <c r="A4524" i="1"/>
  <c r="B4524" i="1"/>
  <c r="C4524" i="1"/>
  <c r="D4524" i="1"/>
  <c r="E4524" i="1"/>
  <c r="A4525" i="1"/>
  <c r="B4525" i="1"/>
  <c r="C4525" i="1"/>
  <c r="D4525" i="1"/>
  <c r="E4525" i="1"/>
  <c r="A4526" i="1"/>
  <c r="B4526" i="1"/>
  <c r="C4526" i="1"/>
  <c r="D4526" i="1"/>
  <c r="E4526" i="1"/>
  <c r="A4527" i="1"/>
  <c r="B4527" i="1"/>
  <c r="C4527" i="1"/>
  <c r="D4527" i="1"/>
  <c r="E4527" i="1"/>
  <c r="A4528" i="1"/>
  <c r="B4528" i="1"/>
  <c r="C4528" i="1"/>
  <c r="D4528" i="1"/>
  <c r="E4528" i="1"/>
  <c r="A4529" i="1"/>
  <c r="B4529" i="1"/>
  <c r="C4529" i="1"/>
  <c r="D4529" i="1"/>
  <c r="E4529" i="1"/>
  <c r="A4530" i="1"/>
  <c r="B4530" i="1"/>
  <c r="C4530" i="1"/>
  <c r="D4530" i="1"/>
  <c r="E4530" i="1"/>
  <c r="A4531" i="1"/>
  <c r="B4531" i="1"/>
  <c r="C4531" i="1"/>
  <c r="D4531" i="1"/>
  <c r="E4531" i="1"/>
  <c r="A4532" i="1"/>
  <c r="B4532" i="1"/>
  <c r="C4532" i="1"/>
  <c r="D4532" i="1"/>
  <c r="E4532" i="1"/>
  <c r="A4533" i="1"/>
  <c r="B4533" i="1"/>
  <c r="C4533" i="1"/>
  <c r="D4533" i="1"/>
  <c r="E4533" i="1"/>
  <c r="A4534" i="1"/>
  <c r="B4534" i="1"/>
  <c r="C4534" i="1"/>
  <c r="D4534" i="1"/>
  <c r="E4534" i="1"/>
  <c r="A4535" i="1"/>
  <c r="B4535" i="1"/>
  <c r="C4535" i="1"/>
  <c r="D4535" i="1"/>
  <c r="E4535" i="1"/>
  <c r="A4536" i="1"/>
  <c r="B4536" i="1"/>
  <c r="C4536" i="1"/>
  <c r="D4536" i="1"/>
  <c r="E4536" i="1"/>
  <c r="A4537" i="1"/>
  <c r="B4537" i="1"/>
  <c r="C4537" i="1"/>
  <c r="D4537" i="1"/>
  <c r="E4537" i="1"/>
  <c r="A4538" i="1"/>
  <c r="B4538" i="1"/>
  <c r="C4538" i="1"/>
  <c r="D4538" i="1"/>
  <c r="E4538" i="1"/>
  <c r="A4539" i="1"/>
  <c r="B4539" i="1"/>
  <c r="C4539" i="1"/>
  <c r="D4539" i="1"/>
  <c r="E4539" i="1"/>
  <c r="A4540" i="1"/>
  <c r="B4540" i="1"/>
  <c r="C4540" i="1"/>
  <c r="D4540" i="1"/>
  <c r="E4540" i="1"/>
  <c r="A4541" i="1"/>
  <c r="B4541" i="1"/>
  <c r="C4541" i="1"/>
  <c r="D4541" i="1"/>
  <c r="E4541" i="1"/>
  <c r="A4542" i="1"/>
  <c r="B4542" i="1"/>
  <c r="C4542" i="1"/>
  <c r="D4542" i="1"/>
  <c r="E4542" i="1"/>
  <c r="A4543" i="1"/>
  <c r="B4543" i="1"/>
  <c r="C4543" i="1"/>
  <c r="D4543" i="1"/>
  <c r="E4543" i="1"/>
  <c r="A4544" i="1"/>
  <c r="B4544" i="1"/>
  <c r="C4544" i="1"/>
  <c r="D4544" i="1"/>
  <c r="E4544" i="1"/>
  <c r="A4545" i="1"/>
  <c r="B4545" i="1"/>
  <c r="C4545" i="1"/>
  <c r="D4545" i="1"/>
  <c r="E4545" i="1"/>
  <c r="A4546" i="1"/>
  <c r="B4546" i="1"/>
  <c r="C4546" i="1"/>
  <c r="D4546" i="1"/>
  <c r="E4546" i="1"/>
  <c r="A4547" i="1"/>
  <c r="B4547" i="1"/>
  <c r="C4547" i="1"/>
  <c r="D4547" i="1"/>
  <c r="E4547" i="1"/>
  <c r="A4548" i="1"/>
  <c r="B4548" i="1"/>
  <c r="C4548" i="1"/>
  <c r="D4548" i="1"/>
  <c r="E4548" i="1"/>
  <c r="A4549" i="1"/>
  <c r="B4549" i="1"/>
  <c r="C4549" i="1"/>
  <c r="D4549" i="1"/>
  <c r="E4549" i="1"/>
  <c r="A4550" i="1"/>
  <c r="B4550" i="1"/>
  <c r="C4550" i="1"/>
  <c r="D4550" i="1"/>
  <c r="E4550" i="1"/>
  <c r="A4551" i="1"/>
  <c r="B4551" i="1"/>
  <c r="C4551" i="1"/>
  <c r="D4551" i="1"/>
  <c r="E4551" i="1"/>
  <c r="A4552" i="1"/>
  <c r="B4552" i="1"/>
  <c r="C4552" i="1"/>
  <c r="D4552" i="1"/>
  <c r="E4552" i="1"/>
  <c r="A4553" i="1"/>
  <c r="B4553" i="1"/>
  <c r="C4553" i="1"/>
  <c r="D4553" i="1"/>
  <c r="E4553" i="1"/>
  <c r="A4554" i="1"/>
  <c r="B4554" i="1"/>
  <c r="C4554" i="1"/>
  <c r="D4554" i="1"/>
  <c r="E4554" i="1"/>
  <c r="A4555" i="1"/>
  <c r="B4555" i="1"/>
  <c r="C4555" i="1"/>
  <c r="D4555" i="1"/>
  <c r="E4555" i="1"/>
  <c r="A4556" i="1"/>
  <c r="B4556" i="1"/>
  <c r="C4556" i="1"/>
  <c r="D4556" i="1"/>
  <c r="E4556" i="1"/>
  <c r="A4557" i="1"/>
  <c r="B4557" i="1"/>
  <c r="C4557" i="1"/>
  <c r="D4557" i="1"/>
  <c r="E4557" i="1"/>
  <c r="A4558" i="1"/>
  <c r="B4558" i="1"/>
  <c r="C4558" i="1"/>
  <c r="D4558" i="1"/>
  <c r="E4558" i="1"/>
  <c r="A4559" i="1"/>
  <c r="B4559" i="1"/>
  <c r="C4559" i="1"/>
  <c r="D4559" i="1"/>
  <c r="E4559" i="1"/>
  <c r="A4560" i="1"/>
  <c r="B4560" i="1"/>
  <c r="C4560" i="1"/>
  <c r="D4560" i="1"/>
  <c r="E4560" i="1"/>
  <c r="A4561" i="1"/>
  <c r="B4561" i="1"/>
  <c r="C4561" i="1"/>
  <c r="D4561" i="1"/>
  <c r="E4561" i="1"/>
  <c r="A4562" i="1"/>
  <c r="B4562" i="1"/>
  <c r="C4562" i="1"/>
  <c r="D4562" i="1"/>
  <c r="E4562" i="1"/>
  <c r="A4563" i="1"/>
  <c r="B4563" i="1"/>
  <c r="C4563" i="1"/>
  <c r="D4563" i="1"/>
  <c r="E4563" i="1"/>
  <c r="A4564" i="1"/>
  <c r="B4564" i="1"/>
  <c r="C4564" i="1"/>
  <c r="D4564" i="1"/>
  <c r="E4564" i="1"/>
  <c r="A4565" i="1"/>
  <c r="B4565" i="1"/>
  <c r="C4565" i="1"/>
  <c r="D4565" i="1"/>
  <c r="E4565" i="1"/>
  <c r="A4566" i="1"/>
  <c r="B4566" i="1"/>
  <c r="C4566" i="1"/>
  <c r="D4566" i="1"/>
  <c r="E4566" i="1"/>
  <c r="A4567" i="1"/>
  <c r="B4567" i="1"/>
  <c r="C4567" i="1"/>
  <c r="D4567" i="1"/>
  <c r="E4567" i="1"/>
  <c r="A4568" i="1"/>
  <c r="B4568" i="1"/>
  <c r="C4568" i="1"/>
  <c r="D4568" i="1"/>
  <c r="E4568" i="1"/>
  <c r="A4569" i="1"/>
  <c r="B4569" i="1"/>
  <c r="C4569" i="1"/>
  <c r="D4569" i="1"/>
  <c r="E4569" i="1"/>
  <c r="A4570" i="1"/>
  <c r="B4570" i="1"/>
  <c r="C4570" i="1"/>
  <c r="D4570" i="1"/>
  <c r="E4570" i="1"/>
  <c r="A4571" i="1"/>
  <c r="B4571" i="1"/>
  <c r="C4571" i="1"/>
  <c r="D4571" i="1"/>
  <c r="E4571" i="1"/>
  <c r="A4572" i="1"/>
  <c r="B4572" i="1"/>
  <c r="C4572" i="1"/>
  <c r="D4572" i="1"/>
  <c r="E4572" i="1"/>
  <c r="A4573" i="1"/>
  <c r="B4573" i="1"/>
  <c r="C4573" i="1"/>
  <c r="D4573" i="1"/>
  <c r="E4573" i="1"/>
  <c r="A4574" i="1"/>
  <c r="B4574" i="1"/>
  <c r="C4574" i="1"/>
  <c r="D4574" i="1"/>
  <c r="E4574" i="1"/>
  <c r="A4575" i="1"/>
  <c r="B4575" i="1"/>
  <c r="C4575" i="1"/>
  <c r="D4575" i="1"/>
  <c r="E4575" i="1"/>
  <c r="A4576" i="1"/>
  <c r="B4576" i="1"/>
  <c r="C4576" i="1"/>
  <c r="D4576" i="1"/>
  <c r="E4576" i="1"/>
  <c r="A4577" i="1"/>
  <c r="B4577" i="1"/>
  <c r="C4577" i="1"/>
  <c r="D4577" i="1"/>
  <c r="E4577" i="1"/>
  <c r="A4578" i="1"/>
  <c r="B4578" i="1"/>
  <c r="C4578" i="1"/>
  <c r="D4578" i="1"/>
  <c r="E4578" i="1"/>
  <c r="A4579" i="1"/>
  <c r="B4579" i="1"/>
  <c r="C4579" i="1"/>
  <c r="D4579" i="1"/>
  <c r="E4579" i="1"/>
  <c r="A4580" i="1"/>
  <c r="B4580" i="1"/>
  <c r="C4580" i="1"/>
  <c r="D4580" i="1"/>
  <c r="E4580" i="1"/>
  <c r="A4581" i="1"/>
  <c r="B4581" i="1"/>
  <c r="C4581" i="1"/>
  <c r="D4581" i="1"/>
  <c r="E4581" i="1"/>
  <c r="A4582" i="1"/>
  <c r="B4582" i="1"/>
  <c r="C4582" i="1"/>
  <c r="D4582" i="1"/>
  <c r="E4582" i="1"/>
  <c r="A4583" i="1"/>
  <c r="B4583" i="1"/>
  <c r="C4583" i="1"/>
  <c r="D4583" i="1"/>
  <c r="E4583" i="1"/>
  <c r="A4584" i="1"/>
  <c r="B4584" i="1"/>
  <c r="C4584" i="1"/>
  <c r="D4584" i="1"/>
  <c r="E4584" i="1"/>
  <c r="A4585" i="1"/>
  <c r="B4585" i="1"/>
  <c r="C4585" i="1"/>
  <c r="D4585" i="1"/>
  <c r="E4585" i="1"/>
  <c r="A4586" i="1"/>
  <c r="B4586" i="1"/>
  <c r="C4586" i="1"/>
  <c r="D4586" i="1"/>
  <c r="E4586" i="1"/>
  <c r="A4587" i="1"/>
  <c r="B4587" i="1"/>
  <c r="C4587" i="1"/>
  <c r="D4587" i="1"/>
  <c r="E4587" i="1"/>
  <c r="A4588" i="1"/>
  <c r="B4588" i="1"/>
  <c r="C4588" i="1"/>
  <c r="D4588" i="1"/>
  <c r="E4588" i="1"/>
  <c r="A4589" i="1"/>
  <c r="B4589" i="1"/>
  <c r="C4589" i="1"/>
  <c r="D4589" i="1"/>
  <c r="E4589" i="1"/>
  <c r="A4590" i="1"/>
  <c r="B4590" i="1"/>
  <c r="C4590" i="1"/>
  <c r="D4590" i="1"/>
  <c r="E4590" i="1"/>
  <c r="A4591" i="1"/>
  <c r="B4591" i="1"/>
  <c r="C4591" i="1"/>
  <c r="D4591" i="1"/>
  <c r="E4591" i="1"/>
  <c r="A4592" i="1"/>
  <c r="B4592" i="1"/>
  <c r="C4592" i="1"/>
  <c r="D4592" i="1"/>
  <c r="E4592" i="1"/>
  <c r="A4593" i="1"/>
  <c r="B4593" i="1"/>
  <c r="C4593" i="1"/>
  <c r="D4593" i="1"/>
  <c r="E4593" i="1"/>
  <c r="A4594" i="1"/>
  <c r="B4594" i="1"/>
  <c r="C4594" i="1"/>
  <c r="D4594" i="1"/>
  <c r="E4594" i="1"/>
  <c r="A4595" i="1"/>
  <c r="B4595" i="1"/>
  <c r="C4595" i="1"/>
  <c r="D4595" i="1"/>
  <c r="E4595" i="1"/>
  <c r="A4596" i="1"/>
  <c r="B4596" i="1"/>
  <c r="C4596" i="1"/>
  <c r="D4596" i="1"/>
  <c r="E4596" i="1"/>
  <c r="A4597" i="1"/>
  <c r="B4597" i="1"/>
  <c r="C4597" i="1"/>
  <c r="D4597" i="1"/>
  <c r="E4597" i="1"/>
  <c r="A4598" i="1"/>
  <c r="B4598" i="1"/>
  <c r="C4598" i="1"/>
  <c r="D4598" i="1"/>
  <c r="E4598" i="1"/>
  <c r="A4599" i="1"/>
  <c r="B4599" i="1"/>
  <c r="C4599" i="1"/>
  <c r="D4599" i="1"/>
  <c r="E4599" i="1"/>
  <c r="A4600" i="1"/>
  <c r="B4600" i="1"/>
  <c r="C4600" i="1"/>
  <c r="D4600" i="1"/>
  <c r="E4600" i="1"/>
  <c r="A4601" i="1"/>
  <c r="B4601" i="1"/>
  <c r="C4601" i="1"/>
  <c r="D4601" i="1"/>
  <c r="E4601" i="1"/>
  <c r="A4602" i="1"/>
  <c r="B4602" i="1"/>
  <c r="C4602" i="1"/>
  <c r="D4602" i="1"/>
  <c r="E4602" i="1"/>
  <c r="A4603" i="1"/>
  <c r="B4603" i="1"/>
  <c r="C4603" i="1"/>
  <c r="D4603" i="1"/>
  <c r="E4603" i="1"/>
  <c r="A4604" i="1"/>
  <c r="B4604" i="1"/>
  <c r="C4604" i="1"/>
  <c r="D4604" i="1"/>
  <c r="E4604" i="1"/>
  <c r="A4605" i="1"/>
  <c r="B4605" i="1"/>
  <c r="C4605" i="1"/>
  <c r="D4605" i="1"/>
  <c r="E4605" i="1"/>
  <c r="A4606" i="1"/>
  <c r="B4606" i="1"/>
  <c r="C4606" i="1"/>
  <c r="D4606" i="1"/>
  <c r="E4606" i="1"/>
  <c r="A4607" i="1"/>
  <c r="B4607" i="1"/>
  <c r="C4607" i="1"/>
  <c r="D4607" i="1"/>
  <c r="E4607" i="1"/>
  <c r="A4608" i="1"/>
  <c r="B4608" i="1"/>
  <c r="C4608" i="1"/>
  <c r="D4608" i="1"/>
  <c r="E4608" i="1"/>
  <c r="A4609" i="1"/>
  <c r="B4609" i="1"/>
  <c r="C4609" i="1"/>
  <c r="D4609" i="1"/>
  <c r="E4609" i="1"/>
  <c r="A4610" i="1"/>
  <c r="B4610" i="1"/>
  <c r="C4610" i="1"/>
  <c r="D4610" i="1"/>
  <c r="E4610" i="1"/>
  <c r="A4611" i="1"/>
  <c r="B4611" i="1"/>
  <c r="C4611" i="1"/>
  <c r="D4611" i="1"/>
  <c r="E4611" i="1"/>
  <c r="A4612" i="1"/>
  <c r="B4612" i="1"/>
  <c r="C4612" i="1"/>
  <c r="D4612" i="1"/>
  <c r="E4612" i="1"/>
  <c r="A4613" i="1"/>
  <c r="B4613" i="1"/>
  <c r="C4613" i="1"/>
  <c r="D4613" i="1"/>
  <c r="E4613" i="1"/>
  <c r="A4614" i="1"/>
  <c r="B4614" i="1"/>
  <c r="C4614" i="1"/>
  <c r="D4614" i="1"/>
  <c r="E4614" i="1"/>
  <c r="A4615" i="1"/>
  <c r="B4615" i="1"/>
  <c r="C4615" i="1"/>
  <c r="D4615" i="1"/>
  <c r="E4615" i="1"/>
  <c r="A4616" i="1"/>
  <c r="B4616" i="1"/>
  <c r="C4616" i="1"/>
  <c r="D4616" i="1"/>
  <c r="E4616" i="1"/>
  <c r="A4617" i="1"/>
  <c r="B4617" i="1"/>
  <c r="C4617" i="1"/>
  <c r="D4617" i="1"/>
  <c r="E4617" i="1"/>
  <c r="A4618" i="1"/>
  <c r="B4618" i="1"/>
  <c r="C4618" i="1"/>
  <c r="D4618" i="1"/>
  <c r="E4618" i="1"/>
  <c r="A4619" i="1"/>
  <c r="B4619" i="1"/>
  <c r="C4619" i="1"/>
  <c r="D4619" i="1"/>
  <c r="E4619" i="1"/>
  <c r="A4620" i="1"/>
  <c r="B4620" i="1"/>
  <c r="C4620" i="1"/>
  <c r="D4620" i="1"/>
  <c r="E4620" i="1"/>
  <c r="A4621" i="1"/>
  <c r="B4621" i="1"/>
  <c r="C4621" i="1"/>
  <c r="D4621" i="1"/>
  <c r="E4621" i="1"/>
  <c r="A4622" i="1"/>
  <c r="B4622" i="1"/>
  <c r="C4622" i="1"/>
  <c r="D4622" i="1"/>
  <c r="E4622" i="1"/>
  <c r="A4623" i="1"/>
  <c r="B4623" i="1"/>
  <c r="C4623" i="1"/>
  <c r="D4623" i="1"/>
  <c r="E4623" i="1"/>
  <c r="A4624" i="1"/>
  <c r="B4624" i="1"/>
  <c r="C4624" i="1"/>
  <c r="D4624" i="1"/>
  <c r="E4624" i="1"/>
  <c r="A4625" i="1"/>
  <c r="B4625" i="1"/>
  <c r="C4625" i="1"/>
  <c r="D4625" i="1"/>
  <c r="E4625" i="1"/>
  <c r="A4626" i="1"/>
  <c r="B4626" i="1"/>
  <c r="C4626" i="1"/>
  <c r="D4626" i="1"/>
  <c r="E4626" i="1"/>
  <c r="A4627" i="1"/>
  <c r="B4627" i="1"/>
  <c r="C4627" i="1"/>
  <c r="D4627" i="1"/>
  <c r="E4627" i="1"/>
  <c r="A4628" i="1"/>
  <c r="B4628" i="1"/>
  <c r="C4628" i="1"/>
  <c r="D4628" i="1"/>
  <c r="E4628" i="1"/>
  <c r="A4629" i="1"/>
  <c r="B4629" i="1"/>
  <c r="C4629" i="1"/>
  <c r="D4629" i="1"/>
  <c r="E4629" i="1"/>
  <c r="A4630" i="1"/>
  <c r="B4630" i="1"/>
  <c r="C4630" i="1"/>
  <c r="D4630" i="1"/>
  <c r="E4630" i="1"/>
  <c r="A4631" i="1"/>
  <c r="B4631" i="1"/>
  <c r="C4631" i="1"/>
  <c r="D4631" i="1"/>
  <c r="E4631" i="1"/>
  <c r="A4632" i="1"/>
  <c r="B4632" i="1"/>
  <c r="C4632" i="1"/>
  <c r="D4632" i="1"/>
  <c r="E4632" i="1"/>
  <c r="A4633" i="1"/>
  <c r="B4633" i="1"/>
  <c r="C4633" i="1"/>
  <c r="D4633" i="1"/>
  <c r="E4633" i="1"/>
  <c r="A4634" i="1"/>
  <c r="B4634" i="1"/>
  <c r="C4634" i="1"/>
  <c r="D4634" i="1"/>
  <c r="E4634" i="1"/>
  <c r="A4635" i="1"/>
  <c r="B4635" i="1"/>
  <c r="C4635" i="1"/>
  <c r="D4635" i="1"/>
  <c r="E4635" i="1"/>
  <c r="A4636" i="1"/>
  <c r="B4636" i="1"/>
  <c r="C4636" i="1"/>
  <c r="D4636" i="1"/>
  <c r="E4636" i="1"/>
  <c r="A4637" i="1"/>
  <c r="B4637" i="1"/>
  <c r="C4637" i="1"/>
  <c r="D4637" i="1"/>
  <c r="E4637" i="1"/>
  <c r="A4638" i="1"/>
  <c r="B4638" i="1"/>
  <c r="C4638" i="1"/>
  <c r="D4638" i="1"/>
  <c r="E4638" i="1"/>
  <c r="A4639" i="1"/>
  <c r="B4639" i="1"/>
  <c r="C4639" i="1"/>
  <c r="D4639" i="1"/>
  <c r="E4639" i="1"/>
  <c r="A4640" i="1"/>
  <c r="B4640" i="1"/>
  <c r="C4640" i="1"/>
  <c r="D4640" i="1"/>
  <c r="E4640" i="1"/>
  <c r="A4641" i="1"/>
  <c r="B4641" i="1"/>
  <c r="C4641" i="1"/>
  <c r="D4641" i="1"/>
  <c r="E4641" i="1"/>
  <c r="A4642" i="1"/>
  <c r="B4642" i="1"/>
  <c r="C4642" i="1"/>
  <c r="D4642" i="1"/>
  <c r="E4642" i="1"/>
  <c r="A4643" i="1"/>
  <c r="B4643" i="1"/>
  <c r="C4643" i="1"/>
  <c r="D4643" i="1"/>
  <c r="E4643" i="1"/>
  <c r="A4644" i="1"/>
  <c r="B4644" i="1"/>
  <c r="C4644" i="1"/>
  <c r="D4644" i="1"/>
  <c r="E4644" i="1"/>
  <c r="A4645" i="1"/>
  <c r="B4645" i="1"/>
  <c r="C4645" i="1"/>
  <c r="D4645" i="1"/>
  <c r="E4645" i="1"/>
  <c r="A4646" i="1"/>
  <c r="B4646" i="1"/>
  <c r="C4646" i="1"/>
  <c r="D4646" i="1"/>
  <c r="E4646" i="1"/>
  <c r="A4647" i="1"/>
  <c r="B4647" i="1"/>
  <c r="C4647" i="1"/>
  <c r="D4647" i="1"/>
  <c r="E4647" i="1"/>
  <c r="A4648" i="1"/>
  <c r="B4648" i="1"/>
  <c r="C4648" i="1"/>
  <c r="D4648" i="1"/>
  <c r="E4648" i="1"/>
  <c r="A4649" i="1"/>
  <c r="B4649" i="1"/>
  <c r="C4649" i="1"/>
  <c r="D4649" i="1"/>
  <c r="E4649" i="1"/>
  <c r="A4650" i="1"/>
  <c r="B4650" i="1"/>
  <c r="C4650" i="1"/>
  <c r="D4650" i="1"/>
  <c r="E4650" i="1"/>
  <c r="A4651" i="1"/>
  <c r="B4651" i="1"/>
  <c r="C4651" i="1"/>
  <c r="D4651" i="1"/>
  <c r="E4651" i="1"/>
  <c r="A4652" i="1"/>
  <c r="B4652" i="1"/>
  <c r="C4652" i="1"/>
  <c r="D4652" i="1"/>
  <c r="E4652" i="1"/>
  <c r="A4653" i="1"/>
  <c r="B4653" i="1"/>
  <c r="C4653" i="1"/>
  <c r="D4653" i="1"/>
  <c r="E4653" i="1"/>
  <c r="A4654" i="1"/>
  <c r="B4654" i="1"/>
  <c r="C4654" i="1"/>
  <c r="D4654" i="1"/>
  <c r="E4654" i="1"/>
  <c r="A4655" i="1"/>
  <c r="B4655" i="1"/>
  <c r="C4655" i="1"/>
  <c r="D4655" i="1"/>
  <c r="E4655" i="1"/>
  <c r="A4656" i="1"/>
  <c r="B4656" i="1"/>
  <c r="C4656" i="1"/>
  <c r="D4656" i="1"/>
  <c r="E4656" i="1"/>
  <c r="A4657" i="1"/>
  <c r="B4657" i="1"/>
  <c r="C4657" i="1"/>
  <c r="D4657" i="1"/>
  <c r="E4657" i="1"/>
  <c r="A4658" i="1"/>
  <c r="B4658" i="1"/>
  <c r="C4658" i="1"/>
  <c r="D4658" i="1"/>
  <c r="E4658" i="1"/>
  <c r="A4659" i="1"/>
  <c r="B4659" i="1"/>
  <c r="C4659" i="1"/>
  <c r="D4659" i="1"/>
  <c r="E4659" i="1"/>
  <c r="A4660" i="1"/>
  <c r="B4660" i="1"/>
  <c r="C4660" i="1"/>
  <c r="D4660" i="1"/>
  <c r="E4660" i="1"/>
  <c r="A4661" i="1"/>
  <c r="B4661" i="1"/>
  <c r="C4661" i="1"/>
  <c r="D4661" i="1"/>
  <c r="E4661" i="1"/>
  <c r="A4662" i="1"/>
  <c r="B4662" i="1"/>
  <c r="C4662" i="1"/>
  <c r="D4662" i="1"/>
  <c r="E4662" i="1"/>
  <c r="A4663" i="1"/>
  <c r="B4663" i="1"/>
  <c r="C4663" i="1"/>
  <c r="D4663" i="1"/>
  <c r="E4663" i="1"/>
  <c r="A4664" i="1"/>
  <c r="B4664" i="1"/>
  <c r="C4664" i="1"/>
  <c r="D4664" i="1"/>
  <c r="E4664" i="1"/>
  <c r="A4665" i="1"/>
  <c r="B4665" i="1"/>
  <c r="C4665" i="1"/>
  <c r="D4665" i="1"/>
  <c r="E4665" i="1"/>
  <c r="A4666" i="1"/>
  <c r="B4666" i="1"/>
  <c r="C4666" i="1"/>
  <c r="D4666" i="1"/>
  <c r="E4666" i="1"/>
  <c r="A4667" i="1"/>
  <c r="B4667" i="1"/>
  <c r="C4667" i="1"/>
  <c r="D4667" i="1"/>
  <c r="E4667" i="1"/>
  <c r="A4668" i="1"/>
  <c r="B4668" i="1"/>
  <c r="C4668" i="1"/>
  <c r="D4668" i="1"/>
  <c r="E4668" i="1"/>
  <c r="A4669" i="1"/>
  <c r="B4669" i="1"/>
  <c r="C4669" i="1"/>
  <c r="D4669" i="1"/>
  <c r="E4669" i="1"/>
  <c r="A4670" i="1"/>
  <c r="B4670" i="1"/>
  <c r="C4670" i="1"/>
  <c r="D4670" i="1"/>
  <c r="E4670" i="1"/>
  <c r="A4671" i="1"/>
  <c r="B4671" i="1"/>
  <c r="C4671" i="1"/>
  <c r="D4671" i="1"/>
  <c r="E4671" i="1"/>
  <c r="A4672" i="1"/>
  <c r="B4672" i="1"/>
  <c r="C4672" i="1"/>
  <c r="D4672" i="1"/>
  <c r="E4672" i="1"/>
  <c r="A4673" i="1"/>
  <c r="B4673" i="1"/>
  <c r="C4673" i="1"/>
  <c r="D4673" i="1"/>
  <c r="E4673" i="1"/>
  <c r="A4674" i="1"/>
  <c r="B4674" i="1"/>
  <c r="C4674" i="1"/>
  <c r="D4674" i="1"/>
  <c r="E4674" i="1"/>
  <c r="A4675" i="1"/>
  <c r="B4675" i="1"/>
  <c r="C4675" i="1"/>
  <c r="D4675" i="1"/>
  <c r="E4675" i="1"/>
  <c r="A4676" i="1"/>
  <c r="B4676" i="1"/>
  <c r="C4676" i="1"/>
  <c r="D4676" i="1"/>
  <c r="E4676" i="1"/>
  <c r="A4677" i="1"/>
  <c r="B4677" i="1"/>
  <c r="C4677" i="1"/>
  <c r="D4677" i="1"/>
  <c r="E4677" i="1"/>
  <c r="A4678" i="1"/>
  <c r="B4678" i="1"/>
  <c r="C4678" i="1"/>
  <c r="D4678" i="1"/>
  <c r="E4678" i="1"/>
  <c r="A4679" i="1"/>
  <c r="B4679" i="1"/>
  <c r="C4679" i="1"/>
  <c r="D4679" i="1"/>
  <c r="E4679" i="1"/>
  <c r="A4680" i="1"/>
  <c r="B4680" i="1"/>
  <c r="C4680" i="1"/>
  <c r="D4680" i="1"/>
  <c r="E4680" i="1"/>
  <c r="A4681" i="1"/>
  <c r="B4681" i="1"/>
  <c r="C4681" i="1"/>
  <c r="D4681" i="1"/>
  <c r="E4681" i="1"/>
  <c r="A4682" i="1"/>
  <c r="B4682" i="1"/>
  <c r="C4682" i="1"/>
  <c r="D4682" i="1"/>
  <c r="E4682" i="1"/>
  <c r="A4683" i="1"/>
  <c r="B4683" i="1"/>
  <c r="C4683" i="1"/>
  <c r="D4683" i="1"/>
  <c r="E4683" i="1"/>
  <c r="A4684" i="1"/>
  <c r="B4684" i="1"/>
  <c r="C4684" i="1"/>
  <c r="D4684" i="1"/>
  <c r="E4684" i="1"/>
  <c r="A4685" i="1"/>
  <c r="B4685" i="1"/>
  <c r="C4685" i="1"/>
  <c r="D4685" i="1"/>
  <c r="E4685" i="1"/>
  <c r="A4686" i="1"/>
  <c r="B4686" i="1"/>
  <c r="C4686" i="1"/>
  <c r="D4686" i="1"/>
  <c r="E4686" i="1"/>
  <c r="A4687" i="1"/>
  <c r="B4687" i="1"/>
  <c r="C4687" i="1"/>
  <c r="D4687" i="1"/>
  <c r="E4687" i="1"/>
  <c r="A4688" i="1"/>
  <c r="B4688" i="1"/>
  <c r="C4688" i="1"/>
  <c r="D4688" i="1"/>
  <c r="E4688" i="1"/>
  <c r="A4689" i="1"/>
  <c r="B4689" i="1"/>
  <c r="C4689" i="1"/>
  <c r="D4689" i="1"/>
  <c r="E4689" i="1"/>
  <c r="A4690" i="1"/>
  <c r="B4690" i="1"/>
  <c r="C4690" i="1"/>
  <c r="D4690" i="1"/>
  <c r="E4690" i="1"/>
  <c r="A4691" i="1"/>
  <c r="B4691" i="1"/>
  <c r="C4691" i="1"/>
  <c r="D4691" i="1"/>
  <c r="E4691" i="1"/>
  <c r="A4692" i="1"/>
  <c r="B4692" i="1"/>
  <c r="C4692" i="1"/>
  <c r="D4692" i="1"/>
  <c r="E4692" i="1"/>
  <c r="A4693" i="1"/>
  <c r="B4693" i="1"/>
  <c r="C4693" i="1"/>
  <c r="D4693" i="1"/>
  <c r="E4693" i="1"/>
  <c r="A4694" i="1"/>
  <c r="B4694" i="1"/>
  <c r="C4694" i="1"/>
  <c r="D4694" i="1"/>
  <c r="E4694" i="1"/>
  <c r="A4695" i="1"/>
  <c r="B4695" i="1"/>
  <c r="C4695" i="1"/>
  <c r="D4695" i="1"/>
  <c r="E4695" i="1"/>
  <c r="A4696" i="1"/>
  <c r="B4696" i="1"/>
  <c r="C4696" i="1"/>
  <c r="D4696" i="1"/>
  <c r="E4696" i="1"/>
  <c r="A4697" i="1"/>
  <c r="B4697" i="1"/>
  <c r="C4697" i="1"/>
  <c r="D4697" i="1"/>
  <c r="E4697" i="1"/>
  <c r="A4698" i="1"/>
  <c r="B4698" i="1"/>
  <c r="C4698" i="1"/>
  <c r="D4698" i="1"/>
  <c r="E4698" i="1"/>
  <c r="A4699" i="1"/>
  <c r="B4699" i="1"/>
  <c r="C4699" i="1"/>
  <c r="D4699" i="1"/>
  <c r="E4699" i="1"/>
  <c r="A4700" i="1"/>
  <c r="B4700" i="1"/>
  <c r="C4700" i="1"/>
  <c r="D4700" i="1"/>
  <c r="E4700" i="1"/>
  <c r="A4701" i="1"/>
  <c r="B4701" i="1"/>
  <c r="C4701" i="1"/>
  <c r="D4701" i="1"/>
  <c r="E4701" i="1"/>
  <c r="A4702" i="1"/>
  <c r="B4702" i="1"/>
  <c r="C4702" i="1"/>
  <c r="D4702" i="1"/>
  <c r="E4702" i="1"/>
  <c r="A4703" i="1"/>
  <c r="B4703" i="1"/>
  <c r="C4703" i="1"/>
  <c r="D4703" i="1"/>
  <c r="E4703" i="1"/>
  <c r="A4704" i="1"/>
  <c r="B4704" i="1"/>
  <c r="C4704" i="1"/>
  <c r="D4704" i="1"/>
  <c r="E4704" i="1"/>
  <c r="A4705" i="1"/>
  <c r="B4705" i="1"/>
  <c r="C4705" i="1"/>
  <c r="D4705" i="1"/>
  <c r="E4705" i="1"/>
  <c r="A4706" i="1"/>
  <c r="B4706" i="1"/>
  <c r="C4706" i="1"/>
  <c r="D4706" i="1"/>
  <c r="E4706" i="1"/>
  <c r="A4707" i="1"/>
  <c r="B4707" i="1"/>
  <c r="C4707" i="1"/>
  <c r="D4707" i="1"/>
  <c r="E4707" i="1"/>
  <c r="A4708" i="1"/>
  <c r="B4708" i="1"/>
  <c r="C4708" i="1"/>
  <c r="D4708" i="1"/>
  <c r="E4708" i="1"/>
  <c r="A4709" i="1"/>
  <c r="B4709" i="1"/>
  <c r="C4709" i="1"/>
  <c r="D4709" i="1"/>
  <c r="E4709" i="1"/>
  <c r="A4710" i="1"/>
  <c r="B4710" i="1"/>
  <c r="C4710" i="1"/>
  <c r="D4710" i="1"/>
  <c r="E4710" i="1"/>
  <c r="A4711" i="1"/>
  <c r="B4711" i="1"/>
  <c r="C4711" i="1"/>
  <c r="D4711" i="1"/>
  <c r="E4711" i="1"/>
  <c r="A4712" i="1"/>
  <c r="B4712" i="1"/>
  <c r="C4712" i="1"/>
  <c r="D4712" i="1"/>
  <c r="E4712" i="1"/>
  <c r="A4713" i="1"/>
  <c r="B4713" i="1"/>
  <c r="C4713" i="1"/>
  <c r="D4713" i="1"/>
  <c r="E4713" i="1"/>
  <c r="A4714" i="1"/>
  <c r="B4714" i="1"/>
  <c r="C4714" i="1"/>
  <c r="D4714" i="1"/>
  <c r="E4714" i="1"/>
  <c r="A4715" i="1"/>
  <c r="B4715" i="1"/>
  <c r="C4715" i="1"/>
  <c r="D4715" i="1"/>
  <c r="E4715" i="1"/>
  <c r="A4716" i="1"/>
  <c r="B4716" i="1"/>
  <c r="C4716" i="1"/>
  <c r="D4716" i="1"/>
  <c r="E4716" i="1"/>
  <c r="A4717" i="1"/>
  <c r="B4717" i="1"/>
  <c r="C4717" i="1"/>
  <c r="D4717" i="1"/>
  <c r="E4717" i="1"/>
  <c r="A4718" i="1"/>
  <c r="B4718" i="1"/>
  <c r="C4718" i="1"/>
  <c r="D4718" i="1"/>
  <c r="E4718" i="1"/>
  <c r="A4719" i="1"/>
  <c r="B4719" i="1"/>
  <c r="C4719" i="1"/>
  <c r="D4719" i="1"/>
  <c r="E4719" i="1"/>
  <c r="A4720" i="1"/>
  <c r="B4720" i="1"/>
  <c r="C4720" i="1"/>
  <c r="D4720" i="1"/>
  <c r="E4720" i="1"/>
  <c r="A4721" i="1"/>
  <c r="B4721" i="1"/>
  <c r="C4721" i="1"/>
  <c r="D4721" i="1"/>
  <c r="E4721" i="1"/>
  <c r="A4722" i="1"/>
  <c r="B4722" i="1"/>
  <c r="C4722" i="1"/>
  <c r="D4722" i="1"/>
  <c r="E4722" i="1"/>
  <c r="A4723" i="1"/>
  <c r="B4723" i="1"/>
  <c r="C4723" i="1"/>
  <c r="D4723" i="1"/>
  <c r="E4723" i="1"/>
  <c r="A4724" i="1"/>
  <c r="B4724" i="1"/>
  <c r="C4724" i="1"/>
  <c r="D4724" i="1"/>
  <c r="E4724" i="1"/>
  <c r="A4725" i="1"/>
  <c r="B4725" i="1"/>
  <c r="C4725" i="1"/>
  <c r="D4725" i="1"/>
  <c r="E4725" i="1"/>
  <c r="A4726" i="1"/>
  <c r="B4726" i="1"/>
  <c r="C4726" i="1"/>
  <c r="D4726" i="1"/>
  <c r="E4726" i="1"/>
  <c r="A4727" i="1"/>
  <c r="B4727" i="1"/>
  <c r="C4727" i="1"/>
  <c r="D4727" i="1"/>
  <c r="E4727" i="1"/>
  <c r="A4728" i="1"/>
  <c r="B4728" i="1"/>
  <c r="C4728" i="1"/>
  <c r="D4728" i="1"/>
  <c r="E4728" i="1"/>
  <c r="A4729" i="1"/>
  <c r="B4729" i="1"/>
  <c r="C4729" i="1"/>
  <c r="D4729" i="1"/>
  <c r="E4729" i="1"/>
  <c r="A4730" i="1"/>
  <c r="B4730" i="1"/>
  <c r="C4730" i="1"/>
  <c r="D4730" i="1"/>
  <c r="E4730" i="1"/>
  <c r="A4731" i="1"/>
  <c r="B4731" i="1"/>
  <c r="C4731" i="1"/>
  <c r="D4731" i="1"/>
  <c r="E4731" i="1"/>
  <c r="A4732" i="1"/>
  <c r="B4732" i="1"/>
  <c r="C4732" i="1"/>
  <c r="D4732" i="1"/>
  <c r="E4732" i="1"/>
  <c r="A4733" i="1"/>
  <c r="B4733" i="1"/>
  <c r="C4733" i="1"/>
  <c r="D4733" i="1"/>
  <c r="E4733" i="1"/>
  <c r="A4734" i="1"/>
  <c r="B4734" i="1"/>
  <c r="C4734" i="1"/>
  <c r="D4734" i="1"/>
  <c r="E4734" i="1"/>
  <c r="A4735" i="1"/>
  <c r="B4735" i="1"/>
  <c r="C4735" i="1"/>
  <c r="D4735" i="1"/>
  <c r="E4735" i="1"/>
  <c r="A4736" i="1"/>
  <c r="B4736" i="1"/>
  <c r="C4736" i="1"/>
  <c r="D4736" i="1"/>
  <c r="E4736" i="1"/>
  <c r="A4737" i="1"/>
  <c r="B4737" i="1"/>
  <c r="C4737" i="1"/>
  <c r="D4737" i="1"/>
  <c r="E4737" i="1"/>
  <c r="A4738" i="1"/>
  <c r="B4738" i="1"/>
  <c r="C4738" i="1"/>
  <c r="D4738" i="1"/>
  <c r="E4738" i="1"/>
  <c r="A4739" i="1"/>
  <c r="B4739" i="1"/>
  <c r="C4739" i="1"/>
  <c r="D4739" i="1"/>
  <c r="E4739" i="1"/>
  <c r="A4740" i="1"/>
  <c r="B4740" i="1"/>
  <c r="C4740" i="1"/>
  <c r="D4740" i="1"/>
  <c r="E4740" i="1"/>
  <c r="A4741" i="1"/>
  <c r="B4741" i="1"/>
  <c r="C4741" i="1"/>
  <c r="D4741" i="1"/>
  <c r="E4741" i="1"/>
  <c r="A4742" i="1"/>
  <c r="B4742" i="1"/>
  <c r="C4742" i="1"/>
  <c r="D4742" i="1"/>
  <c r="E4742" i="1"/>
  <c r="A4743" i="1"/>
  <c r="B4743" i="1"/>
  <c r="C4743" i="1"/>
  <c r="D4743" i="1"/>
  <c r="E4743" i="1"/>
  <c r="A4744" i="1"/>
  <c r="B4744" i="1"/>
  <c r="C4744" i="1"/>
  <c r="D4744" i="1"/>
  <c r="E4744" i="1"/>
  <c r="A4745" i="1"/>
  <c r="B4745" i="1"/>
  <c r="C4745" i="1"/>
  <c r="D4745" i="1"/>
  <c r="E4745" i="1"/>
  <c r="A4746" i="1"/>
  <c r="B4746" i="1"/>
  <c r="C4746" i="1"/>
  <c r="D4746" i="1"/>
  <c r="E4746" i="1"/>
  <c r="A4747" i="1"/>
  <c r="B4747" i="1"/>
  <c r="C4747" i="1"/>
  <c r="D4747" i="1"/>
  <c r="E4747" i="1"/>
  <c r="A4748" i="1"/>
  <c r="B4748" i="1"/>
  <c r="C4748" i="1"/>
  <c r="D4748" i="1"/>
  <c r="E4748" i="1"/>
  <c r="A4749" i="1"/>
  <c r="B4749" i="1"/>
  <c r="C4749" i="1"/>
  <c r="D4749" i="1"/>
  <c r="E4749" i="1"/>
  <c r="A4750" i="1"/>
  <c r="B4750" i="1"/>
  <c r="C4750" i="1"/>
  <c r="D4750" i="1"/>
  <c r="E4750" i="1"/>
  <c r="A4751" i="1"/>
  <c r="B4751" i="1"/>
  <c r="C4751" i="1"/>
  <c r="D4751" i="1"/>
  <c r="E4751" i="1"/>
  <c r="A4752" i="1"/>
  <c r="B4752" i="1"/>
  <c r="C4752" i="1"/>
  <c r="D4752" i="1"/>
  <c r="E4752" i="1"/>
  <c r="A4753" i="1"/>
  <c r="B4753" i="1"/>
  <c r="C4753" i="1"/>
  <c r="D4753" i="1"/>
  <c r="E4753" i="1"/>
  <c r="A4754" i="1"/>
  <c r="B4754" i="1"/>
  <c r="C4754" i="1"/>
  <c r="D4754" i="1"/>
  <c r="E4754" i="1"/>
  <c r="A4755" i="1"/>
  <c r="B4755" i="1"/>
  <c r="C4755" i="1"/>
  <c r="D4755" i="1"/>
  <c r="E4755" i="1"/>
  <c r="A4756" i="1"/>
  <c r="B4756" i="1"/>
  <c r="C4756" i="1"/>
  <c r="D4756" i="1"/>
  <c r="E4756" i="1"/>
  <c r="A4757" i="1"/>
  <c r="B4757" i="1"/>
  <c r="C4757" i="1"/>
  <c r="D4757" i="1"/>
  <c r="E4757" i="1"/>
  <c r="A4758" i="1"/>
  <c r="B4758" i="1"/>
  <c r="C4758" i="1"/>
  <c r="D4758" i="1"/>
  <c r="E4758" i="1"/>
  <c r="A4759" i="1"/>
  <c r="B4759" i="1"/>
  <c r="C4759" i="1"/>
  <c r="D4759" i="1"/>
  <c r="E4759" i="1"/>
  <c r="A4760" i="1"/>
  <c r="B4760" i="1"/>
  <c r="C4760" i="1"/>
  <c r="D4760" i="1"/>
  <c r="E4760" i="1"/>
  <c r="A4761" i="1"/>
  <c r="B4761" i="1"/>
  <c r="C4761" i="1"/>
  <c r="D4761" i="1"/>
  <c r="E4761" i="1"/>
  <c r="A4762" i="1"/>
  <c r="B4762" i="1"/>
  <c r="C4762" i="1"/>
  <c r="D4762" i="1"/>
  <c r="E4762" i="1"/>
  <c r="A4763" i="1"/>
  <c r="B4763" i="1"/>
  <c r="C4763" i="1"/>
  <c r="D4763" i="1"/>
  <c r="E4763" i="1"/>
  <c r="A4764" i="1"/>
  <c r="B4764" i="1"/>
  <c r="C4764" i="1"/>
  <c r="D4764" i="1"/>
  <c r="E4764" i="1"/>
  <c r="A4765" i="1"/>
  <c r="B4765" i="1"/>
  <c r="C4765" i="1"/>
  <c r="D4765" i="1"/>
  <c r="E4765" i="1"/>
  <c r="A4766" i="1"/>
  <c r="B4766" i="1"/>
  <c r="C4766" i="1"/>
  <c r="D4766" i="1"/>
  <c r="E4766" i="1"/>
  <c r="A4767" i="1"/>
  <c r="B4767" i="1"/>
  <c r="C4767" i="1"/>
  <c r="D4767" i="1"/>
  <c r="E4767" i="1"/>
  <c r="A4768" i="1"/>
  <c r="B4768" i="1"/>
  <c r="C4768" i="1"/>
  <c r="D4768" i="1"/>
  <c r="E4768" i="1"/>
  <c r="A4769" i="1"/>
  <c r="B4769" i="1"/>
  <c r="C4769" i="1"/>
  <c r="D4769" i="1"/>
  <c r="E4769" i="1"/>
  <c r="A4770" i="1"/>
  <c r="B4770" i="1"/>
  <c r="C4770" i="1"/>
  <c r="D4770" i="1"/>
  <c r="E4770" i="1"/>
  <c r="A4771" i="1"/>
  <c r="B4771" i="1"/>
  <c r="C4771" i="1"/>
  <c r="D4771" i="1"/>
  <c r="E4771" i="1"/>
  <c r="A4772" i="1"/>
  <c r="B4772" i="1"/>
  <c r="C4772" i="1"/>
  <c r="D4772" i="1"/>
  <c r="E4772" i="1"/>
  <c r="A4773" i="1"/>
  <c r="B4773" i="1"/>
  <c r="C4773" i="1"/>
  <c r="D4773" i="1"/>
  <c r="E4773" i="1"/>
  <c r="A4774" i="1"/>
  <c r="B4774" i="1"/>
  <c r="C4774" i="1"/>
  <c r="D4774" i="1"/>
  <c r="E4774" i="1"/>
  <c r="A4775" i="1"/>
  <c r="B4775" i="1"/>
  <c r="C4775" i="1"/>
  <c r="D4775" i="1"/>
  <c r="E4775" i="1"/>
  <c r="A4776" i="1"/>
  <c r="B4776" i="1"/>
  <c r="C4776" i="1"/>
  <c r="D4776" i="1"/>
  <c r="E4776" i="1"/>
  <c r="A4777" i="1"/>
  <c r="B4777" i="1"/>
  <c r="C4777" i="1"/>
  <c r="D4777" i="1"/>
  <c r="E4777" i="1"/>
  <c r="A4778" i="1"/>
  <c r="B4778" i="1"/>
  <c r="C4778" i="1"/>
  <c r="D4778" i="1"/>
  <c r="E4778" i="1"/>
  <c r="A4779" i="1"/>
  <c r="B4779" i="1"/>
  <c r="C4779" i="1"/>
  <c r="D4779" i="1"/>
  <c r="E4779" i="1"/>
  <c r="A4780" i="1"/>
  <c r="B4780" i="1"/>
  <c r="C4780" i="1"/>
  <c r="D4780" i="1"/>
  <c r="E4780" i="1"/>
  <c r="A4781" i="1"/>
  <c r="B4781" i="1"/>
  <c r="C4781" i="1"/>
  <c r="D4781" i="1"/>
  <c r="E4781" i="1"/>
  <c r="A4782" i="1"/>
  <c r="B4782" i="1"/>
  <c r="C4782" i="1"/>
  <c r="D4782" i="1"/>
  <c r="E4782" i="1"/>
  <c r="A4783" i="1"/>
  <c r="B4783" i="1"/>
  <c r="C4783" i="1"/>
  <c r="D4783" i="1"/>
  <c r="E4783" i="1"/>
  <c r="A4784" i="1"/>
  <c r="B4784" i="1"/>
  <c r="C4784" i="1"/>
  <c r="D4784" i="1"/>
  <c r="E4784" i="1"/>
  <c r="A4785" i="1"/>
  <c r="B4785" i="1"/>
  <c r="C4785" i="1"/>
  <c r="D4785" i="1"/>
  <c r="E4785" i="1"/>
  <c r="A4786" i="1"/>
  <c r="B4786" i="1"/>
  <c r="C4786" i="1"/>
  <c r="D4786" i="1"/>
  <c r="E4786" i="1"/>
  <c r="A4787" i="1"/>
  <c r="B4787" i="1"/>
  <c r="C4787" i="1"/>
  <c r="D4787" i="1"/>
  <c r="E4787" i="1"/>
  <c r="A4788" i="1"/>
  <c r="B4788" i="1"/>
  <c r="C4788" i="1"/>
  <c r="D4788" i="1"/>
  <c r="E4788" i="1"/>
  <c r="A4789" i="1"/>
  <c r="B4789" i="1"/>
  <c r="C4789" i="1"/>
  <c r="D4789" i="1"/>
  <c r="E4789" i="1"/>
  <c r="A4790" i="1"/>
  <c r="B4790" i="1"/>
  <c r="C4790" i="1"/>
  <c r="D4790" i="1"/>
  <c r="E4790" i="1"/>
  <c r="A4791" i="1"/>
  <c r="B4791" i="1"/>
  <c r="C4791" i="1"/>
  <c r="D4791" i="1"/>
  <c r="E4791" i="1"/>
  <c r="A4792" i="1"/>
  <c r="B4792" i="1"/>
  <c r="C4792" i="1"/>
  <c r="D4792" i="1"/>
  <c r="E4792" i="1"/>
  <c r="A4793" i="1"/>
  <c r="B4793" i="1"/>
  <c r="C4793" i="1"/>
  <c r="D4793" i="1"/>
  <c r="E4793" i="1"/>
  <c r="A4794" i="1"/>
  <c r="B4794" i="1"/>
  <c r="C4794" i="1"/>
  <c r="D4794" i="1"/>
  <c r="E4794" i="1"/>
  <c r="A4795" i="1"/>
  <c r="B4795" i="1"/>
  <c r="C4795" i="1"/>
  <c r="D4795" i="1"/>
  <c r="E4795" i="1"/>
  <c r="A4796" i="1"/>
  <c r="B4796" i="1"/>
  <c r="C4796" i="1"/>
  <c r="D4796" i="1"/>
  <c r="E4796" i="1"/>
  <c r="A4797" i="1"/>
  <c r="B4797" i="1"/>
  <c r="C4797" i="1"/>
  <c r="D4797" i="1"/>
  <c r="E4797" i="1"/>
  <c r="A4798" i="1"/>
  <c r="B4798" i="1"/>
  <c r="C4798" i="1"/>
  <c r="D4798" i="1"/>
  <c r="E4798" i="1"/>
  <c r="A4799" i="1"/>
  <c r="B4799" i="1"/>
  <c r="C4799" i="1"/>
  <c r="D4799" i="1"/>
  <c r="E4799" i="1"/>
  <c r="A4800" i="1"/>
  <c r="B4800" i="1"/>
  <c r="C4800" i="1"/>
  <c r="D4800" i="1"/>
  <c r="E4800" i="1"/>
  <c r="A4801" i="1"/>
  <c r="B4801" i="1"/>
  <c r="C4801" i="1"/>
  <c r="D4801" i="1"/>
  <c r="E4801" i="1"/>
  <c r="A4802" i="1"/>
  <c r="B4802" i="1"/>
  <c r="C4802" i="1"/>
  <c r="D4802" i="1"/>
  <c r="E4802" i="1"/>
  <c r="A4803" i="1"/>
  <c r="B4803" i="1"/>
  <c r="C4803" i="1"/>
  <c r="D4803" i="1"/>
  <c r="E4803" i="1"/>
  <c r="A4804" i="1"/>
  <c r="B4804" i="1"/>
  <c r="C4804" i="1"/>
  <c r="D4804" i="1"/>
  <c r="E4804" i="1"/>
  <c r="A4805" i="1"/>
  <c r="B4805" i="1"/>
  <c r="C4805" i="1"/>
  <c r="D4805" i="1"/>
  <c r="E4805" i="1"/>
  <c r="A4806" i="1"/>
  <c r="B4806" i="1"/>
  <c r="C4806" i="1"/>
  <c r="D4806" i="1"/>
  <c r="E4806" i="1"/>
  <c r="A4807" i="1"/>
  <c r="B4807" i="1"/>
  <c r="C4807" i="1"/>
  <c r="D4807" i="1"/>
  <c r="E4807" i="1"/>
  <c r="A4808" i="1"/>
  <c r="B4808" i="1"/>
  <c r="C4808" i="1"/>
  <c r="D4808" i="1"/>
  <c r="E4808" i="1"/>
  <c r="A4809" i="1"/>
  <c r="B4809" i="1"/>
  <c r="C4809" i="1"/>
  <c r="D4809" i="1"/>
  <c r="E4809" i="1"/>
  <c r="A4810" i="1"/>
  <c r="B4810" i="1"/>
  <c r="C4810" i="1"/>
  <c r="D4810" i="1"/>
  <c r="E4810" i="1"/>
  <c r="A4811" i="1"/>
  <c r="B4811" i="1"/>
  <c r="C4811" i="1"/>
  <c r="D4811" i="1"/>
  <c r="E4811" i="1"/>
  <c r="A4812" i="1"/>
  <c r="B4812" i="1"/>
  <c r="C4812" i="1"/>
  <c r="D4812" i="1"/>
  <c r="E4812" i="1"/>
  <c r="A4813" i="1"/>
  <c r="B4813" i="1"/>
  <c r="C4813" i="1"/>
  <c r="D4813" i="1"/>
  <c r="E4813" i="1"/>
  <c r="A4814" i="1"/>
  <c r="B4814" i="1"/>
  <c r="C4814" i="1"/>
  <c r="D4814" i="1"/>
  <c r="E4814" i="1"/>
  <c r="A4815" i="1"/>
  <c r="B4815" i="1"/>
  <c r="C4815" i="1"/>
  <c r="D4815" i="1"/>
  <c r="E4815" i="1"/>
  <c r="A4816" i="1"/>
  <c r="B4816" i="1"/>
  <c r="C4816" i="1"/>
  <c r="D4816" i="1"/>
  <c r="E4816" i="1"/>
  <c r="A4817" i="1"/>
  <c r="B4817" i="1"/>
  <c r="C4817" i="1"/>
  <c r="D4817" i="1"/>
  <c r="E4817" i="1"/>
  <c r="A4818" i="1"/>
  <c r="B4818" i="1"/>
  <c r="C4818" i="1"/>
  <c r="D4818" i="1"/>
  <c r="E4818" i="1"/>
  <c r="A4819" i="1"/>
  <c r="B4819" i="1"/>
  <c r="C4819" i="1"/>
  <c r="D4819" i="1"/>
  <c r="E4819" i="1"/>
  <c r="A4820" i="1"/>
  <c r="B4820" i="1"/>
  <c r="C4820" i="1"/>
  <c r="D4820" i="1"/>
  <c r="E4820" i="1"/>
  <c r="A4821" i="1"/>
  <c r="B4821" i="1"/>
  <c r="C4821" i="1"/>
  <c r="D4821" i="1"/>
  <c r="E4821" i="1"/>
  <c r="A4822" i="1"/>
  <c r="B4822" i="1"/>
  <c r="C4822" i="1"/>
  <c r="D4822" i="1"/>
  <c r="E4822" i="1"/>
  <c r="A4823" i="1"/>
  <c r="B4823" i="1"/>
  <c r="C4823" i="1"/>
  <c r="D4823" i="1"/>
  <c r="E4823" i="1"/>
  <c r="A4824" i="1"/>
  <c r="B4824" i="1"/>
  <c r="C4824" i="1"/>
  <c r="D4824" i="1"/>
  <c r="E4824" i="1"/>
  <c r="A4825" i="1"/>
  <c r="B4825" i="1"/>
  <c r="C4825" i="1"/>
  <c r="D4825" i="1"/>
  <c r="E4825" i="1"/>
  <c r="A4826" i="1"/>
  <c r="B4826" i="1"/>
  <c r="C4826" i="1"/>
  <c r="D4826" i="1"/>
  <c r="E4826" i="1"/>
  <c r="A4827" i="1"/>
  <c r="B4827" i="1"/>
  <c r="C4827" i="1"/>
  <c r="D4827" i="1"/>
  <c r="E4827" i="1"/>
  <c r="A4828" i="1"/>
  <c r="B4828" i="1"/>
  <c r="C4828" i="1"/>
  <c r="D4828" i="1"/>
  <c r="E4828" i="1"/>
  <c r="A4829" i="1"/>
  <c r="B4829" i="1"/>
  <c r="C4829" i="1"/>
  <c r="D4829" i="1"/>
  <c r="E4829" i="1"/>
  <c r="A4830" i="1"/>
  <c r="B4830" i="1"/>
  <c r="C4830" i="1"/>
  <c r="D4830" i="1"/>
  <c r="E4830" i="1"/>
  <c r="A4831" i="1"/>
  <c r="B4831" i="1"/>
  <c r="C4831" i="1"/>
  <c r="D4831" i="1"/>
  <c r="E4831" i="1"/>
  <c r="A4832" i="1"/>
  <c r="B4832" i="1"/>
  <c r="C4832" i="1"/>
  <c r="D4832" i="1"/>
  <c r="E4832" i="1"/>
  <c r="A4833" i="1"/>
  <c r="B4833" i="1"/>
  <c r="C4833" i="1"/>
  <c r="D4833" i="1"/>
  <c r="E4833" i="1"/>
  <c r="A4834" i="1"/>
  <c r="B4834" i="1"/>
  <c r="C4834" i="1"/>
  <c r="D4834" i="1"/>
  <c r="E4834" i="1"/>
  <c r="A4835" i="1"/>
  <c r="B4835" i="1"/>
  <c r="C4835" i="1"/>
  <c r="D4835" i="1"/>
  <c r="E4835" i="1"/>
  <c r="A4836" i="1"/>
  <c r="B4836" i="1"/>
  <c r="C4836" i="1"/>
  <c r="D4836" i="1"/>
  <c r="E4836" i="1"/>
  <c r="A4837" i="1"/>
  <c r="B4837" i="1"/>
  <c r="C4837" i="1"/>
  <c r="D4837" i="1"/>
  <c r="E4837" i="1"/>
  <c r="A4838" i="1"/>
  <c r="B4838" i="1"/>
  <c r="C4838" i="1"/>
  <c r="D4838" i="1"/>
  <c r="E4838" i="1"/>
  <c r="A4839" i="1"/>
  <c r="B4839" i="1"/>
  <c r="C4839" i="1"/>
  <c r="D4839" i="1"/>
  <c r="E4839" i="1"/>
  <c r="A4840" i="1"/>
  <c r="B4840" i="1"/>
  <c r="C4840" i="1"/>
  <c r="D4840" i="1"/>
  <c r="E4840" i="1"/>
  <c r="A4841" i="1"/>
  <c r="B4841" i="1"/>
  <c r="C4841" i="1"/>
  <c r="D4841" i="1"/>
  <c r="E4841" i="1"/>
  <c r="A4842" i="1"/>
  <c r="B4842" i="1"/>
  <c r="C4842" i="1"/>
  <c r="D4842" i="1"/>
  <c r="E4842" i="1"/>
  <c r="A4843" i="1"/>
  <c r="B4843" i="1"/>
  <c r="C4843" i="1"/>
  <c r="D4843" i="1"/>
  <c r="E4843" i="1"/>
  <c r="A4844" i="1"/>
  <c r="B4844" i="1"/>
  <c r="C4844" i="1"/>
  <c r="D4844" i="1"/>
  <c r="E4844" i="1"/>
  <c r="A4845" i="1"/>
  <c r="B4845" i="1"/>
  <c r="C4845" i="1"/>
  <c r="D4845" i="1"/>
  <c r="E4845" i="1"/>
  <c r="A4846" i="1"/>
  <c r="B4846" i="1"/>
  <c r="C4846" i="1"/>
  <c r="D4846" i="1"/>
  <c r="E4846" i="1"/>
  <c r="A4847" i="1"/>
  <c r="B4847" i="1"/>
  <c r="C4847" i="1"/>
  <c r="D4847" i="1"/>
  <c r="E4847" i="1"/>
  <c r="A4848" i="1"/>
  <c r="B4848" i="1"/>
  <c r="C4848" i="1"/>
  <c r="D4848" i="1"/>
  <c r="E4848" i="1"/>
  <c r="A4849" i="1"/>
  <c r="B4849" i="1"/>
  <c r="C4849" i="1"/>
  <c r="D4849" i="1"/>
  <c r="E4849" i="1"/>
  <c r="A4850" i="1"/>
  <c r="B4850" i="1"/>
  <c r="C4850" i="1"/>
  <c r="D4850" i="1"/>
  <c r="E4850" i="1"/>
  <c r="A4851" i="1"/>
  <c r="B4851" i="1"/>
  <c r="C4851" i="1"/>
  <c r="D4851" i="1"/>
  <c r="E4851" i="1"/>
  <c r="A4852" i="1"/>
  <c r="B4852" i="1"/>
  <c r="C4852" i="1"/>
  <c r="D4852" i="1"/>
  <c r="E4852" i="1"/>
  <c r="A4853" i="1"/>
  <c r="B4853" i="1"/>
  <c r="C4853" i="1"/>
  <c r="D4853" i="1"/>
  <c r="E4853" i="1"/>
  <c r="A4854" i="1"/>
  <c r="B4854" i="1"/>
  <c r="C4854" i="1"/>
  <c r="D4854" i="1"/>
  <c r="E4854" i="1"/>
  <c r="A4855" i="1"/>
  <c r="B4855" i="1"/>
  <c r="C4855" i="1"/>
  <c r="D4855" i="1"/>
  <c r="E4855" i="1"/>
  <c r="A4856" i="1"/>
  <c r="B4856" i="1"/>
  <c r="C4856" i="1"/>
  <c r="D4856" i="1"/>
  <c r="E4856" i="1"/>
  <c r="A4857" i="1"/>
  <c r="B4857" i="1"/>
  <c r="C4857" i="1"/>
  <c r="D4857" i="1"/>
  <c r="E4857" i="1"/>
  <c r="A4858" i="1"/>
  <c r="B4858" i="1"/>
  <c r="C4858" i="1"/>
  <c r="D4858" i="1"/>
  <c r="E4858" i="1"/>
  <c r="A4859" i="1"/>
  <c r="B4859" i="1"/>
  <c r="C4859" i="1"/>
  <c r="D4859" i="1"/>
  <c r="E4859" i="1"/>
  <c r="A4860" i="1"/>
  <c r="B4860" i="1"/>
  <c r="C4860" i="1"/>
  <c r="D4860" i="1"/>
  <c r="E4860" i="1"/>
  <c r="A4861" i="1"/>
  <c r="B4861" i="1"/>
  <c r="C4861" i="1"/>
  <c r="D4861" i="1"/>
  <c r="E4861" i="1"/>
  <c r="A4862" i="1"/>
  <c r="B4862" i="1"/>
  <c r="C4862" i="1"/>
  <c r="D4862" i="1"/>
  <c r="E4862" i="1"/>
  <c r="A4863" i="1"/>
  <c r="B4863" i="1"/>
  <c r="C4863" i="1"/>
  <c r="D4863" i="1"/>
  <c r="E4863" i="1"/>
  <c r="A4864" i="1"/>
  <c r="B4864" i="1"/>
  <c r="C4864" i="1"/>
  <c r="D4864" i="1"/>
  <c r="E4864" i="1"/>
  <c r="A4865" i="1"/>
  <c r="B4865" i="1"/>
  <c r="C4865" i="1"/>
  <c r="D4865" i="1"/>
  <c r="E4865" i="1"/>
  <c r="A4866" i="1"/>
  <c r="B4866" i="1"/>
  <c r="C4866" i="1"/>
  <c r="D4866" i="1"/>
  <c r="E4866" i="1"/>
  <c r="A4867" i="1"/>
  <c r="B4867" i="1"/>
  <c r="C4867" i="1"/>
  <c r="D4867" i="1"/>
  <c r="E4867" i="1"/>
  <c r="A4868" i="1"/>
  <c r="B4868" i="1"/>
  <c r="C4868" i="1"/>
  <c r="D4868" i="1"/>
  <c r="E4868" i="1"/>
  <c r="A4869" i="1"/>
  <c r="B4869" i="1"/>
  <c r="C4869" i="1"/>
  <c r="D4869" i="1"/>
  <c r="E4869" i="1"/>
  <c r="A4870" i="1"/>
  <c r="B4870" i="1"/>
  <c r="C4870" i="1"/>
  <c r="D4870" i="1"/>
  <c r="E4870" i="1"/>
  <c r="A4871" i="1"/>
  <c r="B4871" i="1"/>
  <c r="C4871" i="1"/>
  <c r="D4871" i="1"/>
  <c r="E4871" i="1"/>
  <c r="A4872" i="1"/>
  <c r="B4872" i="1"/>
  <c r="C4872" i="1"/>
  <c r="D4872" i="1"/>
  <c r="E4872" i="1"/>
  <c r="A4873" i="1"/>
  <c r="B4873" i="1"/>
  <c r="C4873" i="1"/>
  <c r="D4873" i="1"/>
  <c r="E4873" i="1"/>
  <c r="A4874" i="1"/>
  <c r="B4874" i="1"/>
  <c r="C4874" i="1"/>
  <c r="D4874" i="1"/>
  <c r="E4874" i="1"/>
  <c r="A4875" i="1"/>
  <c r="B4875" i="1"/>
  <c r="C4875" i="1"/>
  <c r="D4875" i="1"/>
  <c r="E4875" i="1"/>
  <c r="A4876" i="1"/>
  <c r="B4876" i="1"/>
  <c r="C4876" i="1"/>
  <c r="D4876" i="1"/>
  <c r="E4876" i="1"/>
  <c r="A4877" i="1"/>
  <c r="B4877" i="1"/>
  <c r="C4877" i="1"/>
  <c r="D4877" i="1"/>
  <c r="E4877" i="1"/>
  <c r="A4878" i="1"/>
  <c r="B4878" i="1"/>
  <c r="C4878" i="1"/>
  <c r="D4878" i="1"/>
  <c r="E4878" i="1"/>
  <c r="A4879" i="1"/>
  <c r="B4879" i="1"/>
  <c r="C4879" i="1"/>
  <c r="D4879" i="1"/>
  <c r="E4879" i="1"/>
  <c r="A4880" i="1"/>
  <c r="B4880" i="1"/>
  <c r="C4880" i="1"/>
  <c r="D4880" i="1"/>
  <c r="E4880" i="1"/>
  <c r="A4881" i="1"/>
  <c r="B4881" i="1"/>
  <c r="C4881" i="1"/>
  <c r="D4881" i="1"/>
  <c r="E4881" i="1"/>
  <c r="A4882" i="1"/>
  <c r="B4882" i="1"/>
  <c r="C4882" i="1"/>
  <c r="D4882" i="1"/>
  <c r="E4882" i="1"/>
  <c r="A4883" i="1"/>
  <c r="B4883" i="1"/>
  <c r="C4883" i="1"/>
  <c r="D4883" i="1"/>
  <c r="E4883" i="1"/>
  <c r="A4884" i="1"/>
  <c r="B4884" i="1"/>
  <c r="C4884" i="1"/>
  <c r="D4884" i="1"/>
  <c r="E4884" i="1"/>
  <c r="A4885" i="1"/>
  <c r="B4885" i="1"/>
  <c r="C4885" i="1"/>
  <c r="D4885" i="1"/>
  <c r="E4885" i="1"/>
  <c r="A4886" i="1"/>
  <c r="B4886" i="1"/>
  <c r="C4886" i="1"/>
  <c r="D4886" i="1"/>
  <c r="E4886" i="1"/>
  <c r="A4887" i="1"/>
  <c r="B4887" i="1"/>
  <c r="C4887" i="1"/>
  <c r="D4887" i="1"/>
  <c r="E4887" i="1"/>
  <c r="A4888" i="1"/>
  <c r="B4888" i="1"/>
  <c r="C4888" i="1"/>
  <c r="D4888" i="1"/>
  <c r="E4888" i="1"/>
  <c r="A4889" i="1"/>
  <c r="B4889" i="1"/>
  <c r="C4889" i="1"/>
  <c r="D4889" i="1"/>
  <c r="E4889" i="1"/>
  <c r="A4890" i="1"/>
  <c r="B4890" i="1"/>
  <c r="C4890" i="1"/>
  <c r="D4890" i="1"/>
  <c r="E4890" i="1"/>
  <c r="A4891" i="1"/>
  <c r="B4891" i="1"/>
  <c r="C4891" i="1"/>
  <c r="D4891" i="1"/>
  <c r="E4891" i="1"/>
  <c r="A4892" i="1"/>
  <c r="B4892" i="1"/>
  <c r="C4892" i="1"/>
  <c r="D4892" i="1"/>
  <c r="E4892" i="1"/>
  <c r="A4893" i="1"/>
  <c r="B4893" i="1"/>
  <c r="C4893" i="1"/>
  <c r="D4893" i="1"/>
  <c r="E4893" i="1"/>
  <c r="A4894" i="1"/>
  <c r="B4894" i="1"/>
  <c r="C4894" i="1"/>
  <c r="D4894" i="1"/>
  <c r="E4894" i="1"/>
  <c r="A4895" i="1"/>
  <c r="B4895" i="1"/>
  <c r="C4895" i="1"/>
  <c r="D4895" i="1"/>
  <c r="E4895" i="1"/>
  <c r="A4896" i="1"/>
  <c r="B4896" i="1"/>
  <c r="C4896" i="1"/>
  <c r="D4896" i="1"/>
  <c r="E4896" i="1"/>
  <c r="A4897" i="1"/>
  <c r="B4897" i="1"/>
  <c r="C4897" i="1"/>
  <c r="D4897" i="1"/>
  <c r="E4897" i="1"/>
  <c r="A4898" i="1"/>
  <c r="B4898" i="1"/>
  <c r="C4898" i="1"/>
  <c r="D4898" i="1"/>
  <c r="E4898" i="1"/>
  <c r="A4899" i="1"/>
  <c r="B4899" i="1"/>
  <c r="C4899" i="1"/>
  <c r="D4899" i="1"/>
  <c r="E4899" i="1"/>
  <c r="A4900" i="1"/>
  <c r="B4900" i="1"/>
  <c r="C4900" i="1"/>
  <c r="D4900" i="1"/>
  <c r="E4900" i="1"/>
  <c r="A4901" i="1"/>
  <c r="B4901" i="1"/>
  <c r="C4901" i="1"/>
  <c r="D4901" i="1"/>
  <c r="E4901" i="1"/>
  <c r="A4902" i="1"/>
  <c r="B4902" i="1"/>
  <c r="C4902" i="1"/>
  <c r="D4902" i="1"/>
  <c r="E4902" i="1"/>
  <c r="A4903" i="1"/>
  <c r="B4903" i="1"/>
  <c r="C4903" i="1"/>
  <c r="D4903" i="1"/>
  <c r="E4903" i="1"/>
  <c r="A4904" i="1"/>
  <c r="B4904" i="1"/>
  <c r="C4904" i="1"/>
  <c r="D4904" i="1"/>
  <c r="E4904" i="1"/>
  <c r="A4905" i="1"/>
  <c r="B4905" i="1"/>
  <c r="C4905" i="1"/>
  <c r="D4905" i="1"/>
  <c r="E4905" i="1"/>
  <c r="A4906" i="1"/>
  <c r="B4906" i="1"/>
  <c r="C4906" i="1"/>
  <c r="D4906" i="1"/>
  <c r="E4906" i="1"/>
  <c r="A4907" i="1"/>
  <c r="B4907" i="1"/>
  <c r="C4907" i="1"/>
  <c r="D4907" i="1"/>
  <c r="E4907" i="1"/>
  <c r="A4908" i="1"/>
  <c r="B4908" i="1"/>
  <c r="C4908" i="1"/>
  <c r="D4908" i="1"/>
  <c r="E4908" i="1"/>
  <c r="A4909" i="1"/>
  <c r="B4909" i="1"/>
  <c r="C4909" i="1"/>
  <c r="D4909" i="1"/>
  <c r="E4909" i="1"/>
  <c r="A4910" i="1"/>
  <c r="B4910" i="1"/>
  <c r="C4910" i="1"/>
  <c r="D4910" i="1"/>
  <c r="E4910" i="1"/>
  <c r="A4911" i="1"/>
  <c r="B4911" i="1"/>
  <c r="C4911" i="1"/>
  <c r="D4911" i="1"/>
  <c r="E4911" i="1"/>
  <c r="A4912" i="1"/>
  <c r="B4912" i="1"/>
  <c r="C4912" i="1"/>
  <c r="D4912" i="1"/>
  <c r="E4912" i="1"/>
  <c r="A4913" i="1"/>
  <c r="B4913" i="1"/>
  <c r="C4913" i="1"/>
  <c r="D4913" i="1"/>
  <c r="E4913" i="1"/>
  <c r="A4914" i="1"/>
  <c r="B4914" i="1"/>
  <c r="C4914" i="1"/>
  <c r="D4914" i="1"/>
  <c r="E4914" i="1"/>
  <c r="A4915" i="1"/>
  <c r="B4915" i="1"/>
  <c r="C4915" i="1"/>
  <c r="D4915" i="1"/>
  <c r="E4915" i="1"/>
  <c r="A4916" i="1"/>
  <c r="B4916" i="1"/>
  <c r="C4916" i="1"/>
  <c r="D4916" i="1"/>
  <c r="E4916" i="1"/>
  <c r="A4917" i="1"/>
  <c r="B4917" i="1"/>
  <c r="C4917" i="1"/>
  <c r="D4917" i="1"/>
  <c r="E4917" i="1"/>
  <c r="A4918" i="1"/>
  <c r="B4918" i="1"/>
  <c r="C4918" i="1"/>
  <c r="D4918" i="1"/>
  <c r="E4918" i="1"/>
  <c r="A4919" i="1"/>
  <c r="B4919" i="1"/>
  <c r="C4919" i="1"/>
  <c r="D4919" i="1"/>
  <c r="E4919" i="1"/>
  <c r="A4920" i="1"/>
  <c r="B4920" i="1"/>
  <c r="C4920" i="1"/>
  <c r="D4920" i="1"/>
  <c r="E4920" i="1"/>
  <c r="A4921" i="1"/>
  <c r="B4921" i="1"/>
  <c r="C4921" i="1"/>
  <c r="D4921" i="1"/>
  <c r="E4921" i="1"/>
  <c r="A4922" i="1"/>
  <c r="B4922" i="1"/>
  <c r="C4922" i="1"/>
  <c r="D4922" i="1"/>
  <c r="E4922" i="1"/>
  <c r="A4923" i="1"/>
  <c r="B4923" i="1"/>
  <c r="C4923" i="1"/>
  <c r="D4923" i="1"/>
  <c r="E4923" i="1"/>
  <c r="A4924" i="1"/>
  <c r="B4924" i="1"/>
  <c r="C4924" i="1"/>
  <c r="D4924" i="1"/>
  <c r="E4924" i="1"/>
  <c r="A4925" i="1"/>
  <c r="B4925" i="1"/>
  <c r="C4925" i="1"/>
  <c r="D4925" i="1"/>
  <c r="E4925" i="1"/>
  <c r="A4926" i="1"/>
  <c r="B4926" i="1"/>
  <c r="C4926" i="1"/>
  <c r="D4926" i="1"/>
  <c r="E4926" i="1"/>
  <c r="A4927" i="1"/>
  <c r="B4927" i="1"/>
  <c r="C4927" i="1"/>
  <c r="D4927" i="1"/>
  <c r="E4927" i="1"/>
  <c r="A4928" i="1"/>
  <c r="B4928" i="1"/>
  <c r="C4928" i="1"/>
  <c r="D4928" i="1"/>
  <c r="E4928" i="1"/>
  <c r="A4929" i="1"/>
  <c r="B4929" i="1"/>
  <c r="C4929" i="1"/>
  <c r="D4929" i="1"/>
  <c r="E4929" i="1"/>
  <c r="A4930" i="1"/>
  <c r="B4930" i="1"/>
  <c r="C4930" i="1"/>
  <c r="D4930" i="1"/>
  <c r="E4930" i="1"/>
  <c r="A4931" i="1"/>
  <c r="B4931" i="1"/>
  <c r="C4931" i="1"/>
  <c r="D4931" i="1"/>
  <c r="E4931" i="1"/>
  <c r="A4932" i="1"/>
  <c r="B4932" i="1"/>
  <c r="C4932" i="1"/>
  <c r="D4932" i="1"/>
  <c r="E4932" i="1"/>
  <c r="A4933" i="1"/>
  <c r="B4933" i="1"/>
  <c r="C4933" i="1"/>
  <c r="D4933" i="1"/>
  <c r="E4933" i="1"/>
  <c r="A4934" i="1"/>
  <c r="B4934" i="1"/>
  <c r="C4934" i="1"/>
  <c r="D4934" i="1"/>
  <c r="E4934" i="1"/>
  <c r="A4935" i="1"/>
  <c r="B4935" i="1"/>
  <c r="C4935" i="1"/>
  <c r="D4935" i="1"/>
  <c r="E4935" i="1"/>
  <c r="A4936" i="1"/>
  <c r="B4936" i="1"/>
  <c r="C4936" i="1"/>
  <c r="D4936" i="1"/>
  <c r="E4936" i="1"/>
  <c r="A4937" i="1"/>
  <c r="B4937" i="1"/>
  <c r="C4937" i="1"/>
  <c r="D4937" i="1"/>
  <c r="E4937" i="1"/>
  <c r="A4938" i="1"/>
  <c r="B4938" i="1"/>
  <c r="C4938" i="1"/>
  <c r="D4938" i="1"/>
  <c r="E4938" i="1"/>
  <c r="A4939" i="1"/>
  <c r="B4939" i="1"/>
  <c r="C4939" i="1"/>
  <c r="D4939" i="1"/>
  <c r="E4939" i="1"/>
  <c r="A4940" i="1"/>
  <c r="B4940" i="1"/>
  <c r="C4940" i="1"/>
  <c r="D4940" i="1"/>
  <c r="E4940" i="1"/>
  <c r="A4941" i="1"/>
  <c r="B4941" i="1"/>
  <c r="C4941" i="1"/>
  <c r="D4941" i="1"/>
  <c r="E4941" i="1"/>
  <c r="A4942" i="1"/>
  <c r="B4942" i="1"/>
  <c r="C4942" i="1"/>
  <c r="D4942" i="1"/>
  <c r="E4942" i="1"/>
  <c r="A4943" i="1"/>
  <c r="B4943" i="1"/>
  <c r="C4943" i="1"/>
  <c r="D4943" i="1"/>
  <c r="E4943" i="1"/>
  <c r="A4944" i="1"/>
  <c r="B4944" i="1"/>
  <c r="C4944" i="1"/>
  <c r="D4944" i="1"/>
  <c r="E4944" i="1"/>
  <c r="A4945" i="1"/>
  <c r="B4945" i="1"/>
  <c r="C4945" i="1"/>
  <c r="D4945" i="1"/>
  <c r="E4945" i="1"/>
  <c r="A4946" i="1"/>
  <c r="B4946" i="1"/>
  <c r="C4946" i="1"/>
  <c r="D4946" i="1"/>
  <c r="E4946" i="1"/>
  <c r="A4947" i="1"/>
  <c r="B4947" i="1"/>
  <c r="C4947" i="1"/>
  <c r="D4947" i="1"/>
  <c r="E4947" i="1"/>
  <c r="A4948" i="1"/>
  <c r="B4948" i="1"/>
  <c r="C4948" i="1"/>
  <c r="D4948" i="1"/>
  <c r="E4948" i="1"/>
  <c r="A4949" i="1"/>
  <c r="B4949" i="1"/>
  <c r="C4949" i="1"/>
  <c r="D4949" i="1"/>
  <c r="E4949" i="1"/>
  <c r="A4950" i="1"/>
  <c r="B4950" i="1"/>
  <c r="C4950" i="1"/>
  <c r="D4950" i="1"/>
  <c r="E4950" i="1"/>
  <c r="A4951" i="1"/>
  <c r="B4951" i="1"/>
  <c r="C4951" i="1"/>
  <c r="D4951" i="1"/>
  <c r="E4951" i="1"/>
  <c r="A4952" i="1"/>
  <c r="B4952" i="1"/>
  <c r="C4952" i="1"/>
  <c r="D4952" i="1"/>
  <c r="E4952" i="1"/>
  <c r="A4953" i="1"/>
  <c r="B4953" i="1"/>
  <c r="C4953" i="1"/>
  <c r="D4953" i="1"/>
  <c r="E4953" i="1"/>
  <c r="A4954" i="1"/>
  <c r="B4954" i="1"/>
  <c r="C4954" i="1"/>
  <c r="D4954" i="1"/>
  <c r="E4954" i="1"/>
  <c r="A4955" i="1"/>
  <c r="B4955" i="1"/>
  <c r="C4955" i="1"/>
  <c r="D4955" i="1"/>
  <c r="E4955" i="1"/>
  <c r="A4956" i="1"/>
  <c r="B4956" i="1"/>
  <c r="C4956" i="1"/>
  <c r="D4956" i="1"/>
  <c r="E4956" i="1"/>
  <c r="A4957" i="1"/>
  <c r="B4957" i="1"/>
  <c r="C4957" i="1"/>
  <c r="D4957" i="1"/>
  <c r="E4957" i="1"/>
  <c r="A4958" i="1"/>
  <c r="B4958" i="1"/>
  <c r="C4958" i="1"/>
  <c r="D4958" i="1"/>
  <c r="E4958" i="1"/>
  <c r="A4959" i="1"/>
  <c r="B4959" i="1"/>
  <c r="C4959" i="1"/>
  <c r="D4959" i="1"/>
  <c r="E4959" i="1"/>
  <c r="A4960" i="1"/>
  <c r="B4960" i="1"/>
  <c r="C4960" i="1"/>
  <c r="D4960" i="1"/>
  <c r="E4960" i="1"/>
  <c r="A4961" i="1"/>
  <c r="B4961" i="1"/>
  <c r="C4961" i="1"/>
  <c r="D4961" i="1"/>
  <c r="E4961" i="1"/>
  <c r="A4962" i="1"/>
  <c r="B4962" i="1"/>
  <c r="C4962" i="1"/>
  <c r="D4962" i="1"/>
  <c r="E4962" i="1"/>
  <c r="A4963" i="1"/>
  <c r="B4963" i="1"/>
  <c r="C4963" i="1"/>
  <c r="D4963" i="1"/>
  <c r="E4963" i="1"/>
  <c r="A4964" i="1"/>
  <c r="B4964" i="1"/>
  <c r="C4964" i="1"/>
  <c r="D4964" i="1"/>
  <c r="E4964" i="1"/>
  <c r="A4965" i="1"/>
  <c r="B4965" i="1"/>
  <c r="C4965" i="1"/>
  <c r="D4965" i="1"/>
  <c r="E4965" i="1"/>
  <c r="A4966" i="1"/>
  <c r="B4966" i="1"/>
  <c r="C4966" i="1"/>
  <c r="D4966" i="1"/>
  <c r="E4966" i="1"/>
  <c r="A4967" i="1"/>
  <c r="B4967" i="1"/>
  <c r="C4967" i="1"/>
  <c r="D4967" i="1"/>
  <c r="E4967" i="1"/>
  <c r="A4968" i="1"/>
  <c r="B4968" i="1"/>
  <c r="C4968" i="1"/>
  <c r="D4968" i="1"/>
  <c r="E4968" i="1"/>
  <c r="A4969" i="1"/>
  <c r="B4969" i="1"/>
  <c r="C4969" i="1"/>
  <c r="D4969" i="1"/>
  <c r="E4969" i="1"/>
  <c r="A4970" i="1"/>
  <c r="B4970" i="1"/>
  <c r="C4970" i="1"/>
  <c r="D4970" i="1"/>
  <c r="E4970" i="1"/>
  <c r="A4971" i="1"/>
  <c r="B4971" i="1"/>
  <c r="C4971" i="1"/>
  <c r="D4971" i="1"/>
  <c r="E4971" i="1"/>
  <c r="A4972" i="1"/>
  <c r="B4972" i="1"/>
  <c r="C4972" i="1"/>
  <c r="D4972" i="1"/>
  <c r="E4972" i="1"/>
  <c r="A4973" i="1"/>
  <c r="B4973" i="1"/>
  <c r="C4973" i="1"/>
  <c r="D4973" i="1"/>
  <c r="E4973" i="1"/>
  <c r="A4974" i="1"/>
  <c r="B4974" i="1"/>
  <c r="C4974" i="1"/>
  <c r="D4974" i="1"/>
  <c r="E4974" i="1"/>
  <c r="A4975" i="1"/>
  <c r="B4975" i="1"/>
  <c r="C4975" i="1"/>
  <c r="D4975" i="1"/>
  <c r="E4975" i="1"/>
  <c r="A4976" i="1"/>
  <c r="B4976" i="1"/>
  <c r="C4976" i="1"/>
  <c r="D4976" i="1"/>
  <c r="E4976" i="1"/>
  <c r="A4977" i="1"/>
  <c r="B4977" i="1"/>
  <c r="C4977" i="1"/>
  <c r="D4977" i="1"/>
  <c r="E4977" i="1"/>
  <c r="A4978" i="1"/>
  <c r="B4978" i="1"/>
  <c r="C4978" i="1"/>
  <c r="D4978" i="1"/>
  <c r="E4978" i="1"/>
  <c r="A4979" i="1"/>
  <c r="B4979" i="1"/>
  <c r="C4979" i="1"/>
  <c r="D4979" i="1"/>
  <c r="E4979" i="1"/>
  <c r="A4980" i="1"/>
  <c r="B4980" i="1"/>
  <c r="C4980" i="1"/>
  <c r="D4980" i="1"/>
  <c r="E4980" i="1"/>
  <c r="A4981" i="1"/>
  <c r="B4981" i="1"/>
  <c r="C4981" i="1"/>
  <c r="D4981" i="1"/>
  <c r="E4981" i="1"/>
  <c r="A4982" i="1"/>
  <c r="B4982" i="1"/>
  <c r="C4982" i="1"/>
  <c r="D4982" i="1"/>
  <c r="E4982" i="1"/>
  <c r="A4983" i="1"/>
  <c r="B4983" i="1"/>
  <c r="C4983" i="1"/>
  <c r="D4983" i="1"/>
  <c r="E4983" i="1"/>
  <c r="A4984" i="1"/>
  <c r="B4984" i="1"/>
  <c r="C4984" i="1"/>
  <c r="D4984" i="1"/>
  <c r="E4984" i="1"/>
  <c r="A4985" i="1"/>
  <c r="B4985" i="1"/>
  <c r="C4985" i="1"/>
  <c r="D4985" i="1"/>
  <c r="E4985" i="1"/>
  <c r="A4986" i="1"/>
  <c r="B4986" i="1"/>
  <c r="C4986" i="1"/>
  <c r="D4986" i="1"/>
  <c r="E4986" i="1"/>
  <c r="A4987" i="1"/>
  <c r="B4987" i="1"/>
  <c r="C4987" i="1"/>
  <c r="D4987" i="1"/>
  <c r="E4987" i="1"/>
  <c r="A4988" i="1"/>
  <c r="B4988" i="1"/>
  <c r="C4988" i="1"/>
  <c r="D4988" i="1"/>
  <c r="E4988" i="1"/>
  <c r="A4989" i="1"/>
  <c r="B4989" i="1"/>
  <c r="C4989" i="1"/>
  <c r="D4989" i="1"/>
  <c r="E4989" i="1"/>
  <c r="A4990" i="1"/>
  <c r="B4990" i="1"/>
  <c r="C4990" i="1"/>
  <c r="D4990" i="1"/>
  <c r="E4990" i="1"/>
  <c r="A4991" i="1"/>
  <c r="B4991" i="1"/>
  <c r="C4991" i="1"/>
  <c r="D4991" i="1"/>
  <c r="E4991" i="1"/>
  <c r="A4992" i="1"/>
  <c r="B4992" i="1"/>
  <c r="C4992" i="1"/>
  <c r="D4992" i="1"/>
  <c r="E4992" i="1"/>
  <c r="A4993" i="1"/>
  <c r="B4993" i="1"/>
  <c r="C4993" i="1"/>
  <c r="D4993" i="1"/>
  <c r="E4993" i="1"/>
  <c r="A4994" i="1"/>
  <c r="B4994" i="1"/>
  <c r="C4994" i="1"/>
  <c r="D4994" i="1"/>
  <c r="E4994" i="1"/>
  <c r="A4995" i="1"/>
  <c r="B4995" i="1"/>
  <c r="C4995" i="1"/>
  <c r="D4995" i="1"/>
  <c r="E4995" i="1"/>
  <c r="A4996" i="1"/>
  <c r="B4996" i="1"/>
  <c r="C4996" i="1"/>
  <c r="D4996" i="1"/>
  <c r="E4996" i="1"/>
  <c r="A4997" i="1"/>
  <c r="B4997" i="1"/>
  <c r="C4997" i="1"/>
  <c r="D4997" i="1"/>
  <c r="E4997" i="1"/>
  <c r="A4998" i="1"/>
  <c r="B4998" i="1"/>
  <c r="C4998" i="1"/>
  <c r="D4998" i="1"/>
  <c r="E4998" i="1"/>
  <c r="A4999" i="1"/>
  <c r="B4999" i="1"/>
  <c r="C4999" i="1"/>
  <c r="D4999" i="1"/>
  <c r="E4999" i="1"/>
  <c r="A5000" i="1"/>
  <c r="B5000" i="1"/>
  <c r="C5000" i="1"/>
  <c r="D5000" i="1"/>
  <c r="E5000" i="1"/>
  <c r="A5001" i="1"/>
  <c r="B5001" i="1"/>
  <c r="C5001" i="1"/>
  <c r="D5001" i="1"/>
  <c r="E5001" i="1"/>
  <c r="A5002" i="1"/>
  <c r="B5002" i="1"/>
  <c r="C5002" i="1"/>
  <c r="D5002" i="1"/>
  <c r="E5002" i="1"/>
  <c r="A5003" i="1"/>
  <c r="B5003" i="1"/>
  <c r="C5003" i="1"/>
  <c r="D5003" i="1"/>
  <c r="E5003" i="1"/>
  <c r="A5004" i="1"/>
  <c r="B5004" i="1"/>
  <c r="C5004" i="1"/>
  <c r="D5004" i="1"/>
  <c r="E5004" i="1"/>
  <c r="A5005" i="1"/>
  <c r="B5005" i="1"/>
  <c r="C5005" i="1"/>
  <c r="D5005" i="1"/>
  <c r="E5005" i="1"/>
  <c r="A5006" i="1"/>
  <c r="B5006" i="1"/>
  <c r="C5006" i="1"/>
  <c r="D5006" i="1"/>
  <c r="E5006" i="1"/>
  <c r="A5007" i="1"/>
  <c r="B5007" i="1"/>
  <c r="C5007" i="1"/>
  <c r="D5007" i="1"/>
  <c r="E5007" i="1"/>
  <c r="A5008" i="1"/>
  <c r="B5008" i="1"/>
  <c r="C5008" i="1"/>
  <c r="D5008" i="1"/>
  <c r="E5008" i="1"/>
  <c r="A5009" i="1"/>
  <c r="B5009" i="1"/>
  <c r="C5009" i="1"/>
  <c r="D5009" i="1"/>
  <c r="E5009" i="1"/>
  <c r="A5010" i="1"/>
  <c r="B5010" i="1"/>
  <c r="C5010" i="1"/>
  <c r="D5010" i="1"/>
  <c r="E5010" i="1"/>
  <c r="A5011" i="1"/>
  <c r="B5011" i="1"/>
  <c r="C5011" i="1"/>
  <c r="D5011" i="1"/>
  <c r="E5011" i="1"/>
  <c r="A5012" i="1"/>
  <c r="B5012" i="1"/>
  <c r="C5012" i="1"/>
  <c r="D5012" i="1"/>
  <c r="E5012" i="1"/>
  <c r="A5013" i="1"/>
  <c r="B5013" i="1"/>
  <c r="C5013" i="1"/>
  <c r="D5013" i="1"/>
  <c r="E5013" i="1"/>
  <c r="A5014" i="1"/>
  <c r="B5014" i="1"/>
  <c r="C5014" i="1"/>
  <c r="D5014" i="1"/>
  <c r="E5014" i="1"/>
  <c r="A5015" i="1"/>
  <c r="B5015" i="1"/>
  <c r="C5015" i="1"/>
  <c r="D5015" i="1"/>
  <c r="E5015" i="1"/>
  <c r="A5016" i="1"/>
  <c r="B5016" i="1"/>
  <c r="C5016" i="1"/>
  <c r="D5016" i="1"/>
  <c r="E5016" i="1"/>
  <c r="A5017" i="1"/>
  <c r="B5017" i="1"/>
  <c r="C5017" i="1"/>
  <c r="D5017" i="1"/>
  <c r="E5017" i="1"/>
  <c r="A5018" i="1"/>
  <c r="B5018" i="1"/>
  <c r="C5018" i="1"/>
  <c r="D5018" i="1"/>
  <c r="E5018" i="1"/>
  <c r="A5019" i="1"/>
  <c r="B5019" i="1"/>
  <c r="C5019" i="1"/>
  <c r="D5019" i="1"/>
  <c r="E5019" i="1"/>
  <c r="A5020" i="1"/>
  <c r="B5020" i="1"/>
  <c r="C5020" i="1"/>
  <c r="D5020" i="1"/>
  <c r="E5020" i="1"/>
  <c r="A5021" i="1"/>
  <c r="B5021" i="1"/>
  <c r="C5021" i="1"/>
  <c r="D5021" i="1"/>
  <c r="E5021" i="1"/>
  <c r="A5022" i="1"/>
  <c r="B5022" i="1"/>
  <c r="C5022" i="1"/>
  <c r="D5022" i="1"/>
  <c r="E5022" i="1"/>
  <c r="A5023" i="1"/>
  <c r="B5023" i="1"/>
  <c r="C5023" i="1"/>
  <c r="D5023" i="1"/>
  <c r="E5023" i="1"/>
  <c r="A5024" i="1"/>
  <c r="B5024" i="1"/>
  <c r="C5024" i="1"/>
  <c r="D5024" i="1"/>
  <c r="E5024" i="1"/>
  <c r="A5025" i="1"/>
  <c r="B5025" i="1"/>
  <c r="C5025" i="1"/>
  <c r="D5025" i="1"/>
  <c r="E5025" i="1"/>
  <c r="A5026" i="1"/>
  <c r="B5026" i="1"/>
  <c r="C5026" i="1"/>
  <c r="D5026" i="1"/>
  <c r="E5026" i="1"/>
  <c r="A5027" i="1"/>
  <c r="B5027" i="1"/>
  <c r="C5027" i="1"/>
  <c r="D5027" i="1"/>
  <c r="E5027" i="1"/>
  <c r="A5028" i="1"/>
  <c r="B5028" i="1"/>
  <c r="C5028" i="1"/>
  <c r="D5028" i="1"/>
  <c r="E5028" i="1"/>
  <c r="A5029" i="1"/>
  <c r="B5029" i="1"/>
  <c r="C5029" i="1"/>
  <c r="D5029" i="1"/>
  <c r="E5029" i="1"/>
  <c r="A5030" i="1"/>
  <c r="B5030" i="1"/>
  <c r="C5030" i="1"/>
  <c r="D5030" i="1"/>
  <c r="E5030" i="1"/>
  <c r="A5031" i="1"/>
  <c r="B5031" i="1"/>
  <c r="C5031" i="1"/>
  <c r="D5031" i="1"/>
  <c r="E5031" i="1"/>
  <c r="A5032" i="1"/>
  <c r="B5032" i="1"/>
  <c r="C5032" i="1"/>
  <c r="D5032" i="1"/>
  <c r="E5032" i="1"/>
  <c r="A5033" i="1"/>
  <c r="B5033" i="1"/>
  <c r="C5033" i="1"/>
  <c r="D5033" i="1"/>
  <c r="E5033" i="1"/>
  <c r="A5034" i="1"/>
  <c r="B5034" i="1"/>
  <c r="C5034" i="1"/>
  <c r="D5034" i="1"/>
  <c r="E5034" i="1"/>
  <c r="A5035" i="1"/>
  <c r="B5035" i="1"/>
  <c r="C5035" i="1"/>
  <c r="D5035" i="1"/>
  <c r="E5035" i="1"/>
  <c r="A5036" i="1"/>
  <c r="B5036" i="1"/>
  <c r="C5036" i="1"/>
  <c r="D5036" i="1"/>
  <c r="E5036" i="1"/>
  <c r="A5037" i="1"/>
  <c r="B5037" i="1"/>
  <c r="C5037" i="1"/>
  <c r="D5037" i="1"/>
  <c r="E5037" i="1"/>
  <c r="A5038" i="1"/>
  <c r="B5038" i="1"/>
  <c r="C5038" i="1"/>
  <c r="D5038" i="1"/>
  <c r="E5038" i="1"/>
  <c r="A5039" i="1"/>
  <c r="B5039" i="1"/>
  <c r="C5039" i="1"/>
  <c r="D5039" i="1"/>
  <c r="E5039" i="1"/>
  <c r="A5040" i="1"/>
  <c r="B5040" i="1"/>
  <c r="C5040" i="1"/>
  <c r="D5040" i="1"/>
  <c r="E5040" i="1"/>
  <c r="A5041" i="1"/>
  <c r="B5041" i="1"/>
  <c r="C5041" i="1"/>
  <c r="D5041" i="1"/>
  <c r="E5041" i="1"/>
  <c r="A5042" i="1"/>
  <c r="B5042" i="1"/>
  <c r="C5042" i="1"/>
  <c r="D5042" i="1"/>
  <c r="E5042" i="1"/>
  <c r="A5043" i="1"/>
  <c r="B5043" i="1"/>
  <c r="C5043" i="1"/>
  <c r="D5043" i="1"/>
  <c r="E5043" i="1"/>
  <c r="A5044" i="1"/>
  <c r="B5044" i="1"/>
  <c r="C5044" i="1"/>
  <c r="D5044" i="1"/>
  <c r="E5044" i="1"/>
  <c r="A5045" i="1"/>
  <c r="B5045" i="1"/>
  <c r="C5045" i="1"/>
  <c r="D5045" i="1"/>
  <c r="E5045" i="1"/>
  <c r="A5046" i="1"/>
  <c r="B5046" i="1"/>
  <c r="C5046" i="1"/>
  <c r="D5046" i="1"/>
  <c r="E5046" i="1"/>
  <c r="A5047" i="1"/>
  <c r="B5047" i="1"/>
  <c r="C5047" i="1"/>
  <c r="D5047" i="1"/>
  <c r="E5047" i="1"/>
  <c r="A5048" i="1"/>
  <c r="B5048" i="1"/>
  <c r="C5048" i="1"/>
  <c r="D5048" i="1"/>
  <c r="E5048" i="1"/>
  <c r="A5049" i="1"/>
  <c r="B5049" i="1"/>
  <c r="C5049" i="1"/>
  <c r="D5049" i="1"/>
  <c r="E5049" i="1"/>
  <c r="A5050" i="1"/>
  <c r="B5050" i="1"/>
  <c r="C5050" i="1"/>
  <c r="D5050" i="1"/>
  <c r="E5050" i="1"/>
  <c r="A5051" i="1"/>
  <c r="B5051" i="1"/>
  <c r="C5051" i="1"/>
  <c r="D5051" i="1"/>
  <c r="E5051" i="1"/>
  <c r="A5052" i="1"/>
  <c r="B5052" i="1"/>
  <c r="C5052" i="1"/>
  <c r="D5052" i="1"/>
  <c r="E5052" i="1"/>
  <c r="A5053" i="1"/>
  <c r="B5053" i="1"/>
  <c r="C5053" i="1"/>
  <c r="D5053" i="1"/>
  <c r="E5053" i="1"/>
  <c r="A5054" i="1"/>
  <c r="B5054" i="1"/>
  <c r="C5054" i="1"/>
  <c r="D5054" i="1"/>
  <c r="E5054" i="1"/>
  <c r="A5055" i="1"/>
  <c r="B5055" i="1"/>
  <c r="C5055" i="1"/>
  <c r="D5055" i="1"/>
  <c r="E5055" i="1"/>
  <c r="A5056" i="1"/>
  <c r="B5056" i="1"/>
  <c r="C5056" i="1"/>
  <c r="D5056" i="1"/>
  <c r="E5056" i="1"/>
  <c r="A5057" i="1"/>
  <c r="B5057" i="1"/>
  <c r="C5057" i="1"/>
  <c r="D5057" i="1"/>
  <c r="E5057" i="1"/>
  <c r="A5058" i="1"/>
  <c r="B5058" i="1"/>
  <c r="C5058" i="1"/>
  <c r="D5058" i="1"/>
  <c r="E5058" i="1"/>
  <c r="A5059" i="1"/>
  <c r="B5059" i="1"/>
  <c r="C5059" i="1"/>
  <c r="D5059" i="1"/>
  <c r="E5059" i="1"/>
  <c r="A5060" i="1"/>
  <c r="B5060" i="1"/>
  <c r="C5060" i="1"/>
  <c r="D5060" i="1"/>
  <c r="E5060" i="1"/>
  <c r="A5061" i="1"/>
  <c r="B5061" i="1"/>
  <c r="C5061" i="1"/>
  <c r="D5061" i="1"/>
  <c r="E5061" i="1"/>
  <c r="A5062" i="1"/>
  <c r="B5062" i="1"/>
  <c r="C5062" i="1"/>
  <c r="D5062" i="1"/>
  <c r="E5062" i="1"/>
  <c r="A5063" i="1"/>
  <c r="B5063" i="1"/>
  <c r="C5063" i="1"/>
  <c r="D5063" i="1"/>
  <c r="E5063" i="1"/>
  <c r="A5064" i="1"/>
  <c r="B5064" i="1"/>
  <c r="C5064" i="1"/>
  <c r="D5064" i="1"/>
  <c r="E5064" i="1"/>
  <c r="A5065" i="1"/>
  <c r="B5065" i="1"/>
  <c r="C5065" i="1"/>
  <c r="D5065" i="1"/>
  <c r="E5065" i="1"/>
  <c r="A5066" i="1"/>
  <c r="B5066" i="1"/>
  <c r="C5066" i="1"/>
  <c r="D5066" i="1"/>
  <c r="E5066" i="1"/>
  <c r="A5067" i="1"/>
  <c r="B5067" i="1"/>
  <c r="C5067" i="1"/>
  <c r="D5067" i="1"/>
  <c r="E5067" i="1"/>
  <c r="A5068" i="1"/>
  <c r="B5068" i="1"/>
  <c r="C5068" i="1"/>
  <c r="D5068" i="1"/>
  <c r="E5068" i="1"/>
  <c r="A5069" i="1"/>
  <c r="B5069" i="1"/>
  <c r="C5069" i="1"/>
  <c r="D5069" i="1"/>
  <c r="E5069" i="1"/>
  <c r="A5070" i="1"/>
  <c r="B5070" i="1"/>
  <c r="C5070" i="1"/>
  <c r="D5070" i="1"/>
  <c r="E5070" i="1"/>
  <c r="A5071" i="1"/>
  <c r="B5071" i="1"/>
  <c r="C5071" i="1"/>
  <c r="D5071" i="1"/>
  <c r="E5071" i="1"/>
  <c r="A5072" i="1"/>
  <c r="B5072" i="1"/>
  <c r="C5072" i="1"/>
  <c r="D5072" i="1"/>
  <c r="E5072" i="1"/>
  <c r="A5073" i="1"/>
  <c r="B5073" i="1"/>
  <c r="C5073" i="1"/>
  <c r="D5073" i="1"/>
  <c r="E5073" i="1"/>
  <c r="A5074" i="1"/>
  <c r="B5074" i="1"/>
  <c r="C5074" i="1"/>
  <c r="D5074" i="1"/>
  <c r="E5074" i="1"/>
  <c r="A5075" i="1"/>
  <c r="B5075" i="1"/>
  <c r="C5075" i="1"/>
  <c r="D5075" i="1"/>
  <c r="E5075" i="1"/>
  <c r="A5076" i="1"/>
  <c r="B5076" i="1"/>
  <c r="C5076" i="1"/>
  <c r="D5076" i="1"/>
  <c r="E5076" i="1"/>
  <c r="A5077" i="1"/>
  <c r="B5077" i="1"/>
  <c r="C5077" i="1"/>
  <c r="D5077" i="1"/>
  <c r="E5077" i="1"/>
  <c r="A5078" i="1"/>
  <c r="B5078" i="1"/>
  <c r="C5078" i="1"/>
  <c r="D5078" i="1"/>
  <c r="E5078" i="1"/>
  <c r="A5079" i="1"/>
  <c r="B5079" i="1"/>
  <c r="C5079" i="1"/>
  <c r="D5079" i="1"/>
  <c r="E5079" i="1"/>
  <c r="A5080" i="1"/>
  <c r="B5080" i="1"/>
  <c r="C5080" i="1"/>
  <c r="D5080" i="1"/>
  <c r="E5080" i="1"/>
  <c r="A5081" i="1"/>
  <c r="B5081" i="1"/>
  <c r="C5081" i="1"/>
  <c r="D5081" i="1"/>
  <c r="E5081" i="1"/>
  <c r="A5082" i="1"/>
  <c r="B5082" i="1"/>
  <c r="C5082" i="1"/>
  <c r="D5082" i="1"/>
  <c r="E5082" i="1"/>
  <c r="A5083" i="1"/>
  <c r="B5083" i="1"/>
  <c r="C5083" i="1"/>
  <c r="D5083" i="1"/>
  <c r="E5083" i="1"/>
  <c r="A5084" i="1"/>
  <c r="B5084" i="1"/>
  <c r="C5084" i="1"/>
  <c r="D5084" i="1"/>
  <c r="E5084" i="1"/>
  <c r="A5085" i="1"/>
  <c r="B5085" i="1"/>
  <c r="C5085" i="1"/>
  <c r="D5085" i="1"/>
  <c r="E5085" i="1"/>
  <c r="A5086" i="1"/>
  <c r="B5086" i="1"/>
  <c r="C5086" i="1"/>
  <c r="D5086" i="1"/>
  <c r="E5086" i="1"/>
  <c r="A5087" i="1"/>
  <c r="B5087" i="1"/>
  <c r="C5087" i="1"/>
  <c r="D5087" i="1"/>
  <c r="E5087" i="1"/>
  <c r="A5088" i="1"/>
  <c r="B5088" i="1"/>
  <c r="C5088" i="1"/>
  <c r="D5088" i="1"/>
  <c r="E5088" i="1"/>
  <c r="A5089" i="1"/>
  <c r="B5089" i="1"/>
  <c r="C5089" i="1"/>
  <c r="D5089" i="1"/>
  <c r="E5089" i="1"/>
  <c r="A5090" i="1"/>
  <c r="B5090" i="1"/>
  <c r="C5090" i="1"/>
  <c r="D5090" i="1"/>
  <c r="E5090" i="1"/>
  <c r="A5091" i="1"/>
  <c r="B5091" i="1"/>
  <c r="C5091" i="1"/>
  <c r="D5091" i="1"/>
  <c r="E5091" i="1"/>
  <c r="A5092" i="1"/>
  <c r="B5092" i="1"/>
  <c r="C5092" i="1"/>
  <c r="D5092" i="1"/>
  <c r="E5092" i="1"/>
  <c r="A5093" i="1"/>
  <c r="B5093" i="1"/>
  <c r="C5093" i="1"/>
  <c r="D5093" i="1"/>
  <c r="E5093" i="1"/>
  <c r="A5094" i="1"/>
  <c r="B5094" i="1"/>
  <c r="C5094" i="1"/>
  <c r="D5094" i="1"/>
  <c r="E5094" i="1"/>
  <c r="A5095" i="1"/>
  <c r="B5095" i="1"/>
  <c r="C5095" i="1"/>
  <c r="D5095" i="1"/>
  <c r="E5095" i="1"/>
  <c r="A5096" i="1"/>
  <c r="B5096" i="1"/>
  <c r="C5096" i="1"/>
  <c r="D5096" i="1"/>
  <c r="E5096" i="1"/>
  <c r="A5097" i="1"/>
  <c r="B5097" i="1"/>
  <c r="C5097" i="1"/>
  <c r="D5097" i="1"/>
  <c r="E5097" i="1"/>
  <c r="A5098" i="1"/>
  <c r="B5098" i="1"/>
  <c r="C5098" i="1"/>
  <c r="D5098" i="1"/>
  <c r="E5098" i="1"/>
  <c r="A5099" i="1"/>
  <c r="B5099" i="1"/>
  <c r="C5099" i="1"/>
  <c r="D5099" i="1"/>
  <c r="E5099" i="1"/>
  <c r="A5100" i="1"/>
  <c r="B5100" i="1"/>
  <c r="C5100" i="1"/>
  <c r="D5100" i="1"/>
  <c r="E5100" i="1"/>
  <c r="A5101" i="1"/>
  <c r="B5101" i="1"/>
  <c r="C5101" i="1"/>
  <c r="D5101" i="1"/>
  <c r="E5101" i="1"/>
  <c r="A5102" i="1"/>
  <c r="B5102" i="1"/>
  <c r="C5102" i="1"/>
  <c r="D5102" i="1"/>
  <c r="E5102" i="1"/>
  <c r="A5103" i="1"/>
  <c r="B5103" i="1"/>
  <c r="C5103" i="1"/>
  <c r="D5103" i="1"/>
  <c r="E5103" i="1"/>
  <c r="A5104" i="1"/>
  <c r="B5104" i="1"/>
  <c r="C5104" i="1"/>
  <c r="D5104" i="1"/>
  <c r="E5104" i="1"/>
  <c r="A5105" i="1"/>
  <c r="B5105" i="1"/>
  <c r="C5105" i="1"/>
  <c r="D5105" i="1"/>
  <c r="E5105" i="1"/>
  <c r="A5106" i="1"/>
  <c r="B5106" i="1"/>
  <c r="C5106" i="1"/>
  <c r="D5106" i="1"/>
  <c r="E5106" i="1"/>
  <c r="A5107" i="1"/>
  <c r="B5107" i="1"/>
  <c r="C5107" i="1"/>
  <c r="D5107" i="1"/>
  <c r="E5107" i="1"/>
  <c r="A5108" i="1"/>
  <c r="B5108" i="1"/>
  <c r="C5108" i="1"/>
  <c r="D5108" i="1"/>
  <c r="E5108" i="1"/>
  <c r="A5109" i="1"/>
  <c r="B5109" i="1"/>
  <c r="C5109" i="1"/>
  <c r="D5109" i="1"/>
  <c r="E5109" i="1"/>
  <c r="A5110" i="1"/>
  <c r="B5110" i="1"/>
  <c r="C5110" i="1"/>
  <c r="D5110" i="1"/>
  <c r="E5110" i="1"/>
  <c r="A5111" i="1"/>
  <c r="B5111" i="1"/>
  <c r="C5111" i="1"/>
  <c r="D5111" i="1"/>
  <c r="E5111" i="1"/>
  <c r="A5112" i="1"/>
  <c r="B5112" i="1"/>
  <c r="C5112" i="1"/>
  <c r="D5112" i="1"/>
  <c r="E5112" i="1"/>
  <c r="A5113" i="1"/>
  <c r="B5113" i="1"/>
  <c r="C5113" i="1"/>
  <c r="D5113" i="1"/>
  <c r="E5113" i="1"/>
  <c r="A5114" i="1"/>
  <c r="B5114" i="1"/>
  <c r="C5114" i="1"/>
  <c r="D5114" i="1"/>
  <c r="E5114" i="1"/>
  <c r="A5115" i="1"/>
  <c r="B5115" i="1"/>
  <c r="C5115" i="1"/>
  <c r="D5115" i="1"/>
  <c r="E5115" i="1"/>
  <c r="A5116" i="1"/>
  <c r="B5116" i="1"/>
  <c r="C5116" i="1"/>
  <c r="D5116" i="1"/>
  <c r="E5116" i="1"/>
  <c r="A5117" i="1"/>
  <c r="B5117" i="1"/>
  <c r="C5117" i="1"/>
  <c r="D5117" i="1"/>
  <c r="E5117" i="1"/>
  <c r="A5118" i="1"/>
  <c r="B5118" i="1"/>
  <c r="C5118" i="1"/>
  <c r="D5118" i="1"/>
  <c r="E5118" i="1"/>
  <c r="A5119" i="1"/>
  <c r="B5119" i="1"/>
  <c r="C5119" i="1"/>
  <c r="D5119" i="1"/>
  <c r="E5119" i="1"/>
  <c r="A5120" i="1"/>
  <c r="B5120" i="1"/>
  <c r="C5120" i="1"/>
  <c r="D5120" i="1"/>
  <c r="E5120" i="1"/>
  <c r="A5121" i="1"/>
  <c r="B5121" i="1"/>
  <c r="C5121" i="1"/>
  <c r="D5121" i="1"/>
  <c r="E5121" i="1"/>
  <c r="A5122" i="1"/>
  <c r="B5122" i="1"/>
  <c r="C5122" i="1"/>
  <c r="D5122" i="1"/>
  <c r="E5122" i="1"/>
  <c r="A5123" i="1"/>
  <c r="B5123" i="1"/>
  <c r="C5123" i="1"/>
  <c r="D5123" i="1"/>
  <c r="E5123" i="1"/>
  <c r="A5124" i="1"/>
  <c r="B5124" i="1"/>
  <c r="C5124" i="1"/>
  <c r="D5124" i="1"/>
  <c r="E5124" i="1"/>
  <c r="A5125" i="1"/>
  <c r="B5125" i="1"/>
  <c r="C5125" i="1"/>
  <c r="D5125" i="1"/>
  <c r="E5125" i="1"/>
  <c r="A5126" i="1"/>
  <c r="B5126" i="1"/>
  <c r="C5126" i="1"/>
  <c r="D5126" i="1"/>
  <c r="E5126" i="1"/>
  <c r="A5127" i="1"/>
  <c r="B5127" i="1"/>
  <c r="C5127" i="1"/>
  <c r="D5127" i="1"/>
  <c r="E5127" i="1"/>
  <c r="A5128" i="1"/>
  <c r="B5128" i="1"/>
  <c r="C5128" i="1"/>
  <c r="D5128" i="1"/>
  <c r="E5128" i="1"/>
  <c r="A5129" i="1"/>
  <c r="B5129" i="1"/>
  <c r="C5129" i="1"/>
  <c r="D5129" i="1"/>
  <c r="E5129" i="1"/>
  <c r="A5130" i="1"/>
  <c r="B5130" i="1"/>
  <c r="C5130" i="1"/>
  <c r="D5130" i="1"/>
  <c r="E5130" i="1"/>
  <c r="A5131" i="1"/>
  <c r="B5131" i="1"/>
  <c r="C5131" i="1"/>
  <c r="D5131" i="1"/>
  <c r="E5131" i="1"/>
  <c r="A5132" i="1"/>
  <c r="B5132" i="1"/>
  <c r="C5132" i="1"/>
  <c r="D5132" i="1"/>
  <c r="E5132" i="1"/>
  <c r="A5133" i="1"/>
  <c r="B5133" i="1"/>
  <c r="C5133" i="1"/>
  <c r="D5133" i="1"/>
  <c r="E5133" i="1"/>
  <c r="A5134" i="1"/>
  <c r="B5134" i="1"/>
  <c r="C5134" i="1"/>
  <c r="D5134" i="1"/>
  <c r="E5134" i="1"/>
  <c r="A5135" i="1"/>
  <c r="B5135" i="1"/>
  <c r="C5135" i="1"/>
  <c r="D5135" i="1"/>
  <c r="E5135" i="1"/>
  <c r="A5136" i="1"/>
  <c r="B5136" i="1"/>
  <c r="C5136" i="1"/>
  <c r="D5136" i="1"/>
  <c r="E5136" i="1"/>
  <c r="A5137" i="1"/>
  <c r="B5137" i="1"/>
  <c r="C5137" i="1"/>
  <c r="D5137" i="1"/>
  <c r="E5137" i="1"/>
  <c r="A5138" i="1"/>
  <c r="B5138" i="1"/>
  <c r="C5138" i="1"/>
  <c r="D5138" i="1"/>
  <c r="E5138" i="1"/>
  <c r="A5139" i="1"/>
  <c r="B5139" i="1"/>
  <c r="C5139" i="1"/>
  <c r="D5139" i="1"/>
  <c r="E5139" i="1"/>
  <c r="A5140" i="1"/>
  <c r="B5140" i="1"/>
  <c r="C5140" i="1"/>
  <c r="D5140" i="1"/>
  <c r="E5140" i="1"/>
  <c r="A5141" i="1"/>
  <c r="B5141" i="1"/>
  <c r="C5141" i="1"/>
  <c r="D5141" i="1"/>
  <c r="E5141" i="1"/>
  <c r="A5142" i="1"/>
  <c r="B5142" i="1"/>
  <c r="C5142" i="1"/>
  <c r="D5142" i="1"/>
  <c r="E5142" i="1"/>
  <c r="A5143" i="1"/>
  <c r="B5143" i="1"/>
  <c r="C5143" i="1"/>
  <c r="D5143" i="1"/>
  <c r="E5143" i="1"/>
  <c r="A5144" i="1"/>
  <c r="B5144" i="1"/>
  <c r="C5144" i="1"/>
  <c r="D5144" i="1"/>
  <c r="E5144" i="1"/>
  <c r="A5145" i="1"/>
  <c r="B5145" i="1"/>
  <c r="C5145" i="1"/>
  <c r="D5145" i="1"/>
  <c r="E5145" i="1"/>
  <c r="A5146" i="1"/>
  <c r="B5146" i="1"/>
  <c r="C5146" i="1"/>
  <c r="D5146" i="1"/>
  <c r="E5146" i="1"/>
  <c r="A5147" i="1"/>
  <c r="B5147" i="1"/>
  <c r="C5147" i="1"/>
  <c r="D5147" i="1"/>
  <c r="E5147" i="1"/>
  <c r="A5148" i="1"/>
  <c r="B5148" i="1"/>
  <c r="C5148" i="1"/>
  <c r="D5148" i="1"/>
  <c r="E5148" i="1"/>
  <c r="A5149" i="1"/>
  <c r="B5149" i="1"/>
  <c r="C5149" i="1"/>
  <c r="D5149" i="1"/>
  <c r="E5149" i="1"/>
  <c r="A5150" i="1"/>
  <c r="B5150" i="1"/>
  <c r="C5150" i="1"/>
  <c r="D5150" i="1"/>
  <c r="E5150" i="1"/>
  <c r="A5151" i="1"/>
  <c r="B5151" i="1"/>
  <c r="C5151" i="1"/>
  <c r="D5151" i="1"/>
  <c r="E5151" i="1"/>
  <c r="A5152" i="1"/>
  <c r="B5152" i="1"/>
  <c r="C5152" i="1"/>
  <c r="D5152" i="1"/>
  <c r="E5152" i="1"/>
  <c r="A5153" i="1"/>
  <c r="B5153" i="1"/>
  <c r="C5153" i="1"/>
  <c r="D5153" i="1"/>
  <c r="E5153" i="1"/>
  <c r="A5154" i="1"/>
  <c r="B5154" i="1"/>
  <c r="C5154" i="1"/>
  <c r="D5154" i="1"/>
  <c r="E5154" i="1"/>
  <c r="A5155" i="1"/>
  <c r="B5155" i="1"/>
  <c r="C5155" i="1"/>
  <c r="D5155" i="1"/>
  <c r="E5155" i="1"/>
  <c r="A5156" i="1"/>
  <c r="B5156" i="1"/>
  <c r="C5156" i="1"/>
  <c r="D5156" i="1"/>
  <c r="E5156" i="1"/>
  <c r="A5157" i="1"/>
  <c r="B5157" i="1"/>
  <c r="C5157" i="1"/>
  <c r="D5157" i="1"/>
  <c r="E5157" i="1"/>
  <c r="A5158" i="1"/>
  <c r="B5158" i="1"/>
  <c r="C5158" i="1"/>
  <c r="D5158" i="1"/>
  <c r="E5158" i="1"/>
  <c r="A5159" i="1"/>
  <c r="B5159" i="1"/>
  <c r="C5159" i="1"/>
  <c r="D5159" i="1"/>
  <c r="E5159" i="1"/>
  <c r="A5160" i="1"/>
  <c r="B5160" i="1"/>
  <c r="C5160" i="1"/>
  <c r="D5160" i="1"/>
  <c r="E5160" i="1"/>
  <c r="A5161" i="1"/>
  <c r="B5161" i="1"/>
  <c r="C5161" i="1"/>
  <c r="D5161" i="1"/>
  <c r="E5161" i="1"/>
  <c r="A5162" i="1"/>
  <c r="B5162" i="1"/>
  <c r="C5162" i="1"/>
  <c r="D5162" i="1"/>
  <c r="E5162" i="1"/>
  <c r="A5163" i="1"/>
  <c r="B5163" i="1"/>
  <c r="C5163" i="1"/>
  <c r="D5163" i="1"/>
  <c r="E5163" i="1"/>
  <c r="A5164" i="1"/>
  <c r="B5164" i="1"/>
  <c r="C5164" i="1"/>
  <c r="D5164" i="1"/>
  <c r="E5164" i="1"/>
  <c r="A5165" i="1"/>
  <c r="B5165" i="1"/>
  <c r="C5165" i="1"/>
  <c r="D5165" i="1"/>
  <c r="E5165" i="1"/>
  <c r="A5166" i="1"/>
  <c r="B5166" i="1"/>
  <c r="C5166" i="1"/>
  <c r="D5166" i="1"/>
  <c r="E5166" i="1"/>
  <c r="A5167" i="1"/>
  <c r="B5167" i="1"/>
  <c r="C5167" i="1"/>
  <c r="D5167" i="1"/>
  <c r="E5167" i="1"/>
  <c r="A5168" i="1"/>
  <c r="B5168" i="1"/>
  <c r="C5168" i="1"/>
  <c r="D5168" i="1"/>
  <c r="E5168" i="1"/>
  <c r="A5169" i="1"/>
  <c r="B5169" i="1"/>
  <c r="C5169" i="1"/>
  <c r="D5169" i="1"/>
  <c r="E5169" i="1"/>
  <c r="A5170" i="1"/>
  <c r="B5170" i="1"/>
  <c r="C5170" i="1"/>
  <c r="D5170" i="1"/>
  <c r="E5170" i="1"/>
  <c r="A5171" i="1"/>
  <c r="B5171" i="1"/>
  <c r="C5171" i="1"/>
  <c r="D5171" i="1"/>
  <c r="E5171" i="1"/>
  <c r="A5172" i="1"/>
  <c r="B5172" i="1"/>
  <c r="C5172" i="1"/>
  <c r="D5172" i="1"/>
  <c r="E5172" i="1"/>
  <c r="A5173" i="1"/>
  <c r="B5173" i="1"/>
  <c r="C5173" i="1"/>
  <c r="D5173" i="1"/>
  <c r="E5173" i="1"/>
  <c r="A5174" i="1"/>
  <c r="B5174" i="1"/>
  <c r="C5174" i="1"/>
  <c r="D5174" i="1"/>
  <c r="E5174" i="1"/>
  <c r="A5175" i="1"/>
  <c r="B5175" i="1"/>
  <c r="C5175" i="1"/>
  <c r="D5175" i="1"/>
  <c r="E5175" i="1"/>
  <c r="A5176" i="1"/>
  <c r="B5176" i="1"/>
  <c r="C5176" i="1"/>
  <c r="D5176" i="1"/>
  <c r="E5176" i="1"/>
  <c r="A5177" i="1"/>
  <c r="B5177" i="1"/>
  <c r="C5177" i="1"/>
  <c r="D5177" i="1"/>
  <c r="E5177" i="1"/>
  <c r="A5178" i="1"/>
  <c r="B5178" i="1"/>
  <c r="C5178" i="1"/>
  <c r="D5178" i="1"/>
  <c r="E5178" i="1"/>
  <c r="A5179" i="1"/>
  <c r="B5179" i="1"/>
  <c r="C5179" i="1"/>
  <c r="D5179" i="1"/>
  <c r="E5179" i="1"/>
  <c r="A5180" i="1"/>
  <c r="B5180" i="1"/>
  <c r="C5180" i="1"/>
  <c r="D5180" i="1"/>
  <c r="E5180" i="1"/>
  <c r="A5181" i="1"/>
  <c r="B5181" i="1"/>
  <c r="C5181" i="1"/>
  <c r="D5181" i="1"/>
  <c r="E5181" i="1"/>
  <c r="A5182" i="1"/>
  <c r="B5182" i="1"/>
  <c r="C5182" i="1"/>
  <c r="D5182" i="1"/>
  <c r="E5182" i="1"/>
  <c r="A5183" i="1"/>
  <c r="B5183" i="1"/>
  <c r="C5183" i="1"/>
  <c r="D5183" i="1"/>
  <c r="E5183" i="1"/>
  <c r="A5184" i="1"/>
  <c r="B5184" i="1"/>
  <c r="C5184" i="1"/>
  <c r="D5184" i="1"/>
  <c r="E5184" i="1"/>
  <c r="A5185" i="1"/>
  <c r="B5185" i="1"/>
  <c r="C5185" i="1"/>
  <c r="D5185" i="1"/>
  <c r="E5185" i="1"/>
  <c r="A5186" i="1"/>
  <c r="B5186" i="1"/>
  <c r="C5186" i="1"/>
  <c r="D5186" i="1"/>
  <c r="E5186" i="1"/>
  <c r="A5187" i="1"/>
  <c r="B5187" i="1"/>
  <c r="C5187" i="1"/>
  <c r="D5187" i="1"/>
  <c r="E5187" i="1"/>
  <c r="A5188" i="1"/>
  <c r="B5188" i="1"/>
  <c r="C5188" i="1"/>
  <c r="D5188" i="1"/>
  <c r="E5188" i="1"/>
  <c r="A5189" i="1"/>
  <c r="B5189" i="1"/>
  <c r="C5189" i="1"/>
  <c r="D5189" i="1"/>
  <c r="E5189" i="1"/>
  <c r="A5190" i="1"/>
  <c r="B5190" i="1"/>
  <c r="C5190" i="1"/>
  <c r="D5190" i="1"/>
  <c r="E5190" i="1"/>
  <c r="A5191" i="1"/>
  <c r="B5191" i="1"/>
  <c r="C5191" i="1"/>
  <c r="D5191" i="1"/>
  <c r="E5191" i="1"/>
  <c r="A5192" i="1"/>
  <c r="B5192" i="1"/>
  <c r="C5192" i="1"/>
  <c r="D5192" i="1"/>
  <c r="E5192" i="1"/>
  <c r="A5193" i="1"/>
  <c r="B5193" i="1"/>
  <c r="C5193" i="1"/>
  <c r="D5193" i="1"/>
  <c r="E5193" i="1"/>
  <c r="A5194" i="1"/>
  <c r="B5194" i="1"/>
  <c r="C5194" i="1"/>
  <c r="D5194" i="1"/>
  <c r="E5194" i="1"/>
  <c r="A5195" i="1"/>
  <c r="B5195" i="1"/>
  <c r="C5195" i="1"/>
  <c r="D5195" i="1"/>
  <c r="E5195" i="1"/>
  <c r="A5196" i="1"/>
  <c r="B5196" i="1"/>
  <c r="C5196" i="1"/>
  <c r="D5196" i="1"/>
  <c r="E5196" i="1"/>
  <c r="A5197" i="1"/>
  <c r="B5197" i="1"/>
  <c r="C5197" i="1"/>
  <c r="D5197" i="1"/>
  <c r="E5197" i="1"/>
  <c r="A5198" i="1"/>
  <c r="B5198" i="1"/>
  <c r="C5198" i="1"/>
  <c r="D5198" i="1"/>
  <c r="E5198" i="1"/>
  <c r="A5199" i="1"/>
  <c r="B5199" i="1"/>
  <c r="C5199" i="1"/>
  <c r="D5199" i="1"/>
  <c r="E5199" i="1"/>
  <c r="A5200" i="1"/>
  <c r="B5200" i="1"/>
  <c r="C5200" i="1"/>
  <c r="D5200" i="1"/>
  <c r="E5200" i="1"/>
  <c r="A5201" i="1"/>
  <c r="B5201" i="1"/>
  <c r="C5201" i="1"/>
  <c r="D5201" i="1"/>
  <c r="E5201" i="1"/>
  <c r="A5202" i="1"/>
  <c r="B5202" i="1"/>
  <c r="C5202" i="1"/>
  <c r="D5202" i="1"/>
  <c r="E5202" i="1"/>
  <c r="A5203" i="1"/>
  <c r="B5203" i="1"/>
  <c r="C5203" i="1"/>
  <c r="D5203" i="1"/>
  <c r="E5203" i="1"/>
  <c r="A5204" i="1"/>
  <c r="B5204" i="1"/>
  <c r="C5204" i="1"/>
  <c r="D5204" i="1"/>
  <c r="E5204" i="1"/>
  <c r="A5205" i="1"/>
  <c r="B5205" i="1"/>
  <c r="C5205" i="1"/>
  <c r="D5205" i="1"/>
  <c r="E5205" i="1"/>
  <c r="A5206" i="1"/>
  <c r="B5206" i="1"/>
  <c r="C5206" i="1"/>
  <c r="D5206" i="1"/>
  <c r="E5206" i="1"/>
  <c r="A5207" i="1"/>
  <c r="B5207" i="1"/>
  <c r="C5207" i="1"/>
  <c r="D5207" i="1"/>
  <c r="E5207" i="1"/>
  <c r="A5208" i="1"/>
  <c r="B5208" i="1"/>
  <c r="C5208" i="1"/>
  <c r="D5208" i="1"/>
  <c r="E5208" i="1"/>
  <c r="A5209" i="1"/>
  <c r="B5209" i="1"/>
  <c r="C5209" i="1"/>
  <c r="D5209" i="1"/>
  <c r="E5209" i="1"/>
  <c r="A5210" i="1"/>
  <c r="B5210" i="1"/>
  <c r="C5210" i="1"/>
  <c r="D5210" i="1"/>
  <c r="E5210" i="1"/>
  <c r="A5211" i="1"/>
  <c r="B5211" i="1"/>
  <c r="C5211" i="1"/>
  <c r="D5211" i="1"/>
  <c r="E5211" i="1"/>
  <c r="A5212" i="1"/>
  <c r="B5212" i="1"/>
  <c r="C5212" i="1"/>
  <c r="D5212" i="1"/>
  <c r="E5212" i="1"/>
  <c r="A5213" i="1"/>
  <c r="B5213" i="1"/>
  <c r="C5213" i="1"/>
  <c r="D5213" i="1"/>
  <c r="E5213" i="1"/>
  <c r="A5214" i="1"/>
  <c r="B5214" i="1"/>
  <c r="C5214" i="1"/>
  <c r="D5214" i="1"/>
  <c r="E5214" i="1"/>
  <c r="A5215" i="1"/>
  <c r="B5215" i="1"/>
  <c r="C5215" i="1"/>
  <c r="D5215" i="1"/>
  <c r="E5215" i="1"/>
  <c r="A5216" i="1"/>
  <c r="B5216" i="1"/>
  <c r="C5216" i="1"/>
  <c r="D5216" i="1"/>
  <c r="E5216" i="1"/>
  <c r="A5217" i="1"/>
  <c r="B5217" i="1"/>
  <c r="C5217" i="1"/>
  <c r="D5217" i="1"/>
  <c r="E5217" i="1"/>
  <c r="A5218" i="1"/>
  <c r="B5218" i="1"/>
  <c r="C5218" i="1"/>
  <c r="D5218" i="1"/>
  <c r="E5218" i="1"/>
  <c r="A5219" i="1"/>
  <c r="B5219" i="1"/>
  <c r="C5219" i="1"/>
  <c r="D5219" i="1"/>
  <c r="E5219" i="1"/>
  <c r="A5220" i="1"/>
  <c r="B5220" i="1"/>
  <c r="C5220" i="1"/>
  <c r="D5220" i="1"/>
  <c r="E5220" i="1"/>
  <c r="A5221" i="1"/>
  <c r="B5221" i="1"/>
  <c r="C5221" i="1"/>
  <c r="D5221" i="1"/>
  <c r="E5221" i="1"/>
  <c r="A5222" i="1"/>
  <c r="B5222" i="1"/>
  <c r="C5222" i="1"/>
  <c r="D5222" i="1"/>
  <c r="E5222" i="1"/>
  <c r="A5223" i="1"/>
  <c r="B5223" i="1"/>
  <c r="C5223" i="1"/>
  <c r="D5223" i="1"/>
  <c r="E5223" i="1"/>
  <c r="A5224" i="1"/>
  <c r="B5224" i="1"/>
  <c r="C5224" i="1"/>
  <c r="D5224" i="1"/>
  <c r="E5224" i="1"/>
  <c r="A5225" i="1"/>
  <c r="B5225" i="1"/>
  <c r="C5225" i="1"/>
  <c r="D5225" i="1"/>
  <c r="E5225" i="1"/>
  <c r="A5226" i="1"/>
  <c r="B5226" i="1"/>
  <c r="C5226" i="1"/>
  <c r="D5226" i="1"/>
  <c r="E5226" i="1"/>
  <c r="A5227" i="1"/>
  <c r="B5227" i="1"/>
  <c r="C5227" i="1"/>
  <c r="D5227" i="1"/>
  <c r="E5227" i="1"/>
  <c r="A5228" i="1"/>
  <c r="B5228" i="1"/>
  <c r="C5228" i="1"/>
  <c r="D5228" i="1"/>
  <c r="E5228" i="1"/>
  <c r="A5229" i="1"/>
  <c r="B5229" i="1"/>
  <c r="C5229" i="1"/>
  <c r="D5229" i="1"/>
  <c r="E5229" i="1"/>
  <c r="A5230" i="1"/>
  <c r="B5230" i="1"/>
  <c r="C5230" i="1"/>
  <c r="D5230" i="1"/>
  <c r="E5230" i="1"/>
  <c r="A5231" i="1"/>
  <c r="B5231" i="1"/>
  <c r="C5231" i="1"/>
  <c r="D5231" i="1"/>
  <c r="E5231" i="1"/>
  <c r="A5232" i="1"/>
  <c r="B5232" i="1"/>
  <c r="C5232" i="1"/>
  <c r="D5232" i="1"/>
  <c r="E5232" i="1"/>
  <c r="A5233" i="1"/>
  <c r="B5233" i="1"/>
  <c r="C5233" i="1"/>
  <c r="D5233" i="1"/>
  <c r="E5233" i="1"/>
  <c r="A5234" i="1"/>
  <c r="B5234" i="1"/>
  <c r="C5234" i="1"/>
  <c r="D5234" i="1"/>
  <c r="E5234" i="1"/>
  <c r="A5235" i="1"/>
  <c r="B5235" i="1"/>
  <c r="C5235" i="1"/>
  <c r="D5235" i="1"/>
  <c r="E5235" i="1"/>
  <c r="A5236" i="1"/>
  <c r="B5236" i="1"/>
  <c r="C5236" i="1"/>
  <c r="D5236" i="1"/>
  <c r="E5236" i="1"/>
  <c r="A5237" i="1"/>
  <c r="B5237" i="1"/>
  <c r="C5237" i="1"/>
  <c r="D5237" i="1"/>
  <c r="E5237" i="1"/>
  <c r="A5238" i="1"/>
  <c r="B5238" i="1"/>
  <c r="C5238" i="1"/>
  <c r="D5238" i="1"/>
  <c r="E5238" i="1"/>
  <c r="A5239" i="1"/>
  <c r="B5239" i="1"/>
  <c r="C5239" i="1"/>
  <c r="D5239" i="1"/>
  <c r="E5239" i="1"/>
  <c r="A5240" i="1"/>
  <c r="B5240" i="1"/>
  <c r="C5240" i="1"/>
  <c r="D5240" i="1"/>
  <c r="E5240" i="1"/>
  <c r="A5241" i="1"/>
  <c r="B5241" i="1"/>
  <c r="C5241" i="1"/>
  <c r="D5241" i="1"/>
  <c r="E5241" i="1"/>
  <c r="A5242" i="1"/>
  <c r="B5242" i="1"/>
  <c r="C5242" i="1"/>
  <c r="D5242" i="1"/>
  <c r="E5242" i="1"/>
  <c r="A5243" i="1"/>
  <c r="B5243" i="1"/>
  <c r="C5243" i="1"/>
  <c r="D5243" i="1"/>
  <c r="E5243" i="1"/>
  <c r="A5244" i="1"/>
  <c r="B5244" i="1"/>
  <c r="C5244" i="1"/>
  <c r="D5244" i="1"/>
  <c r="E5244" i="1"/>
  <c r="A5245" i="1"/>
  <c r="B5245" i="1"/>
  <c r="C5245" i="1"/>
  <c r="D5245" i="1"/>
  <c r="E5245" i="1"/>
  <c r="A5246" i="1"/>
  <c r="B5246" i="1"/>
  <c r="C5246" i="1"/>
  <c r="D5246" i="1"/>
  <c r="E5246" i="1"/>
  <c r="A5247" i="1"/>
  <c r="B5247" i="1"/>
  <c r="C5247" i="1"/>
  <c r="D5247" i="1"/>
  <c r="E5247" i="1"/>
  <c r="A5248" i="1"/>
  <c r="B5248" i="1"/>
  <c r="C5248" i="1"/>
  <c r="D5248" i="1"/>
  <c r="E5248" i="1"/>
  <c r="A5249" i="1"/>
  <c r="B5249" i="1"/>
  <c r="C5249" i="1"/>
  <c r="D5249" i="1"/>
  <c r="E5249" i="1"/>
  <c r="A5250" i="1"/>
  <c r="B5250" i="1"/>
  <c r="C5250" i="1"/>
  <c r="D5250" i="1"/>
  <c r="E5250" i="1"/>
  <c r="A5251" i="1"/>
  <c r="B5251" i="1"/>
  <c r="C5251" i="1"/>
  <c r="D5251" i="1"/>
  <c r="E5251" i="1"/>
  <c r="A5252" i="1"/>
  <c r="B5252" i="1"/>
  <c r="C5252" i="1"/>
  <c r="D5252" i="1"/>
  <c r="E5252" i="1"/>
  <c r="A5253" i="1"/>
  <c r="B5253" i="1"/>
  <c r="C5253" i="1"/>
  <c r="D5253" i="1"/>
  <c r="E5253" i="1"/>
  <c r="A5254" i="1"/>
  <c r="B5254" i="1"/>
  <c r="C5254" i="1"/>
  <c r="D5254" i="1"/>
  <c r="E5254" i="1"/>
  <c r="A5255" i="1"/>
  <c r="B5255" i="1"/>
  <c r="C5255" i="1"/>
  <c r="D5255" i="1"/>
  <c r="E5255" i="1"/>
  <c r="A5256" i="1"/>
  <c r="B5256" i="1"/>
  <c r="C5256" i="1"/>
  <c r="D5256" i="1"/>
  <c r="E5256" i="1"/>
  <c r="A5257" i="1"/>
  <c r="B5257" i="1"/>
  <c r="C5257" i="1"/>
  <c r="D5257" i="1"/>
  <c r="E5257" i="1"/>
  <c r="A5258" i="1"/>
  <c r="B5258" i="1"/>
  <c r="C5258" i="1"/>
  <c r="D5258" i="1"/>
  <c r="E5258" i="1"/>
  <c r="A5259" i="1"/>
  <c r="B5259" i="1"/>
  <c r="C5259" i="1"/>
  <c r="D5259" i="1"/>
  <c r="E5259" i="1"/>
  <c r="A5260" i="1"/>
  <c r="B5260" i="1"/>
  <c r="C5260" i="1"/>
  <c r="D5260" i="1"/>
  <c r="E5260" i="1"/>
  <c r="A5261" i="1"/>
  <c r="B5261" i="1"/>
  <c r="C5261" i="1"/>
  <c r="D5261" i="1"/>
  <c r="E5261" i="1"/>
  <c r="A5262" i="1"/>
  <c r="B5262" i="1"/>
  <c r="C5262" i="1"/>
  <c r="D5262" i="1"/>
  <c r="E5262" i="1"/>
  <c r="A5263" i="1"/>
  <c r="B5263" i="1"/>
  <c r="C5263" i="1"/>
  <c r="D5263" i="1"/>
  <c r="E5263" i="1"/>
  <c r="A5264" i="1"/>
  <c r="B5264" i="1"/>
  <c r="C5264" i="1"/>
  <c r="D5264" i="1"/>
  <c r="E5264" i="1"/>
  <c r="A5265" i="1"/>
  <c r="B5265" i="1"/>
  <c r="C5265" i="1"/>
  <c r="D5265" i="1"/>
  <c r="E5265" i="1"/>
  <c r="A5266" i="1"/>
  <c r="B5266" i="1"/>
  <c r="C5266" i="1"/>
  <c r="D5266" i="1"/>
  <c r="E5266" i="1"/>
  <c r="A5267" i="1"/>
  <c r="B5267" i="1"/>
  <c r="C5267" i="1"/>
  <c r="D5267" i="1"/>
  <c r="E5267" i="1"/>
  <c r="A5268" i="1"/>
  <c r="B5268" i="1"/>
  <c r="C5268" i="1"/>
  <c r="D5268" i="1"/>
  <c r="E5268" i="1"/>
  <c r="A5269" i="1"/>
  <c r="B5269" i="1"/>
  <c r="C5269" i="1"/>
  <c r="D5269" i="1"/>
  <c r="E5269" i="1"/>
  <c r="A5270" i="1"/>
  <c r="B5270" i="1"/>
  <c r="C5270" i="1"/>
  <c r="D5270" i="1"/>
  <c r="E5270" i="1"/>
  <c r="A5271" i="1"/>
  <c r="B5271" i="1"/>
  <c r="C5271" i="1"/>
  <c r="D5271" i="1"/>
  <c r="E5271" i="1"/>
  <c r="A5272" i="1"/>
  <c r="B5272" i="1"/>
  <c r="C5272" i="1"/>
  <c r="D5272" i="1"/>
  <c r="E5272" i="1"/>
  <c r="A5273" i="1"/>
  <c r="B5273" i="1"/>
  <c r="C5273" i="1"/>
  <c r="D5273" i="1"/>
  <c r="E5273" i="1"/>
  <c r="A5274" i="1"/>
  <c r="B5274" i="1"/>
  <c r="C5274" i="1"/>
  <c r="D5274" i="1"/>
  <c r="E5274" i="1"/>
  <c r="A5275" i="1"/>
  <c r="B5275" i="1"/>
  <c r="C5275" i="1"/>
  <c r="D5275" i="1"/>
  <c r="E5275" i="1"/>
  <c r="A5276" i="1"/>
  <c r="B5276" i="1"/>
  <c r="C5276" i="1"/>
  <c r="D5276" i="1"/>
  <c r="E5276" i="1"/>
  <c r="A5277" i="1"/>
  <c r="B5277" i="1"/>
  <c r="C5277" i="1"/>
  <c r="D5277" i="1"/>
  <c r="E5277" i="1"/>
  <c r="A5278" i="1"/>
  <c r="B5278" i="1"/>
  <c r="C5278" i="1"/>
  <c r="D5278" i="1"/>
  <c r="E5278" i="1"/>
  <c r="A5279" i="1"/>
  <c r="B5279" i="1"/>
  <c r="C5279" i="1"/>
  <c r="D5279" i="1"/>
  <c r="E5279" i="1"/>
  <c r="A5280" i="1"/>
  <c r="B5280" i="1"/>
  <c r="C5280" i="1"/>
  <c r="D5280" i="1"/>
  <c r="E5280" i="1"/>
  <c r="A5281" i="1"/>
  <c r="B5281" i="1"/>
  <c r="C5281" i="1"/>
  <c r="D5281" i="1"/>
  <c r="E5281" i="1"/>
  <c r="A5282" i="1"/>
  <c r="B5282" i="1"/>
  <c r="C5282" i="1"/>
  <c r="D5282" i="1"/>
  <c r="E5282" i="1"/>
  <c r="A5283" i="1"/>
  <c r="B5283" i="1"/>
  <c r="C5283" i="1"/>
  <c r="D5283" i="1"/>
  <c r="E5283" i="1"/>
  <c r="A5284" i="1"/>
  <c r="B5284" i="1"/>
  <c r="C5284" i="1"/>
  <c r="D5284" i="1"/>
  <c r="E5284" i="1"/>
  <c r="A5285" i="1"/>
  <c r="B5285" i="1"/>
  <c r="C5285" i="1"/>
  <c r="D5285" i="1"/>
  <c r="E5285" i="1"/>
  <c r="A5286" i="1"/>
  <c r="B5286" i="1"/>
  <c r="C5286" i="1"/>
  <c r="D5286" i="1"/>
  <c r="E5286" i="1"/>
  <c r="A5287" i="1"/>
  <c r="B5287" i="1"/>
  <c r="C5287" i="1"/>
  <c r="D5287" i="1"/>
  <c r="E5287" i="1"/>
  <c r="A5288" i="1"/>
  <c r="B5288" i="1"/>
  <c r="C5288" i="1"/>
  <c r="D5288" i="1"/>
  <c r="E5288" i="1"/>
  <c r="A5289" i="1"/>
  <c r="B5289" i="1"/>
  <c r="C5289" i="1"/>
  <c r="D5289" i="1"/>
  <c r="E5289" i="1"/>
  <c r="A5290" i="1"/>
  <c r="B5290" i="1"/>
  <c r="C5290" i="1"/>
  <c r="D5290" i="1"/>
  <c r="E5290" i="1"/>
  <c r="A5291" i="1"/>
  <c r="B5291" i="1"/>
  <c r="C5291" i="1"/>
  <c r="D5291" i="1"/>
  <c r="E5291" i="1"/>
  <c r="A5292" i="1"/>
  <c r="B5292" i="1"/>
  <c r="C5292" i="1"/>
  <c r="D5292" i="1"/>
  <c r="E5292" i="1"/>
  <c r="A5293" i="1"/>
  <c r="B5293" i="1"/>
  <c r="C5293" i="1"/>
  <c r="D5293" i="1"/>
  <c r="E5293" i="1"/>
  <c r="A5294" i="1"/>
  <c r="B5294" i="1"/>
  <c r="C5294" i="1"/>
  <c r="D5294" i="1"/>
  <c r="E5294" i="1"/>
  <c r="A5295" i="1"/>
  <c r="B5295" i="1"/>
  <c r="C5295" i="1"/>
  <c r="D5295" i="1"/>
  <c r="E5295" i="1"/>
  <c r="A5296" i="1"/>
  <c r="B5296" i="1"/>
  <c r="C5296" i="1"/>
  <c r="D5296" i="1"/>
  <c r="E5296" i="1"/>
  <c r="A5297" i="1"/>
  <c r="B5297" i="1"/>
  <c r="C5297" i="1"/>
  <c r="D5297" i="1"/>
  <c r="E5297" i="1"/>
  <c r="A5298" i="1"/>
  <c r="B5298" i="1"/>
  <c r="C5298" i="1"/>
  <c r="D5298" i="1"/>
  <c r="E5298" i="1"/>
  <c r="A5299" i="1"/>
  <c r="B5299" i="1"/>
  <c r="C5299" i="1"/>
  <c r="D5299" i="1"/>
  <c r="E5299" i="1"/>
  <c r="A5300" i="1"/>
  <c r="B5300" i="1"/>
  <c r="C5300" i="1"/>
  <c r="D5300" i="1"/>
  <c r="E5300" i="1"/>
  <c r="A5301" i="1"/>
  <c r="B5301" i="1"/>
  <c r="C5301" i="1"/>
  <c r="D5301" i="1"/>
  <c r="E5301" i="1"/>
  <c r="A5302" i="1"/>
  <c r="B5302" i="1"/>
  <c r="C5302" i="1"/>
  <c r="D5302" i="1"/>
  <c r="E5302" i="1"/>
  <c r="A5303" i="1"/>
  <c r="B5303" i="1"/>
  <c r="C5303" i="1"/>
  <c r="D5303" i="1"/>
  <c r="E5303" i="1"/>
  <c r="A5304" i="1"/>
  <c r="B5304" i="1"/>
  <c r="C5304" i="1"/>
  <c r="D5304" i="1"/>
  <c r="E5304" i="1"/>
  <c r="A5305" i="1"/>
  <c r="B5305" i="1"/>
  <c r="C5305" i="1"/>
  <c r="D5305" i="1"/>
  <c r="E5305" i="1"/>
  <c r="A5306" i="1"/>
  <c r="B5306" i="1"/>
  <c r="C5306" i="1"/>
  <c r="D5306" i="1"/>
  <c r="E5306" i="1"/>
  <c r="A5307" i="1"/>
  <c r="B5307" i="1"/>
  <c r="C5307" i="1"/>
  <c r="D5307" i="1"/>
  <c r="E5307" i="1"/>
  <c r="A5308" i="1"/>
  <c r="B5308" i="1"/>
  <c r="C5308" i="1"/>
  <c r="D5308" i="1"/>
  <c r="E5308" i="1"/>
  <c r="A5309" i="1"/>
  <c r="B5309" i="1"/>
  <c r="C5309" i="1"/>
  <c r="D5309" i="1"/>
  <c r="E5309" i="1"/>
  <c r="A5310" i="1"/>
  <c r="B5310" i="1"/>
  <c r="C5310" i="1"/>
  <c r="D5310" i="1"/>
  <c r="E5310" i="1"/>
  <c r="A5311" i="1"/>
  <c r="B5311" i="1"/>
  <c r="C5311" i="1"/>
  <c r="D5311" i="1"/>
  <c r="E5311" i="1"/>
  <c r="A5312" i="1"/>
  <c r="B5312" i="1"/>
  <c r="C5312" i="1"/>
  <c r="D5312" i="1"/>
  <c r="E5312" i="1"/>
  <c r="A5313" i="1"/>
  <c r="B5313" i="1"/>
  <c r="C5313" i="1"/>
  <c r="D5313" i="1"/>
  <c r="E5313" i="1"/>
  <c r="A5314" i="1"/>
  <c r="B5314" i="1"/>
  <c r="C5314" i="1"/>
  <c r="D5314" i="1"/>
  <c r="E5314" i="1"/>
  <c r="A5315" i="1"/>
  <c r="B5315" i="1"/>
  <c r="C5315" i="1"/>
  <c r="D5315" i="1"/>
  <c r="E5315" i="1"/>
  <c r="A5316" i="1"/>
  <c r="B5316" i="1"/>
  <c r="C5316" i="1"/>
  <c r="D5316" i="1"/>
  <c r="E5316" i="1"/>
  <c r="A5317" i="1"/>
  <c r="B5317" i="1"/>
  <c r="C5317" i="1"/>
  <c r="D5317" i="1"/>
  <c r="E5317" i="1"/>
  <c r="A5318" i="1"/>
  <c r="B5318" i="1"/>
  <c r="C5318" i="1"/>
  <c r="D5318" i="1"/>
  <c r="E5318" i="1"/>
  <c r="A5319" i="1"/>
  <c r="B5319" i="1"/>
  <c r="C5319" i="1"/>
  <c r="D5319" i="1"/>
  <c r="E5319" i="1"/>
  <c r="A5320" i="1"/>
  <c r="B5320" i="1"/>
  <c r="C5320" i="1"/>
  <c r="D5320" i="1"/>
  <c r="E5320" i="1"/>
  <c r="A5321" i="1"/>
  <c r="B5321" i="1"/>
  <c r="C5321" i="1"/>
  <c r="D5321" i="1"/>
  <c r="E5321" i="1"/>
  <c r="A5322" i="1"/>
  <c r="B5322" i="1"/>
  <c r="C5322" i="1"/>
  <c r="D5322" i="1"/>
  <c r="E5322" i="1"/>
  <c r="A5323" i="1"/>
  <c r="B5323" i="1"/>
  <c r="C5323" i="1"/>
  <c r="D5323" i="1"/>
  <c r="E5323" i="1"/>
  <c r="A5324" i="1"/>
  <c r="B5324" i="1"/>
  <c r="C5324" i="1"/>
  <c r="D5324" i="1"/>
  <c r="E5324" i="1"/>
  <c r="A5325" i="1"/>
  <c r="B5325" i="1"/>
  <c r="C5325" i="1"/>
  <c r="D5325" i="1"/>
  <c r="E5325" i="1"/>
  <c r="A5326" i="1"/>
  <c r="B5326" i="1"/>
  <c r="C5326" i="1"/>
  <c r="D5326" i="1"/>
  <c r="E5326" i="1"/>
  <c r="A5327" i="1"/>
  <c r="B5327" i="1"/>
  <c r="C5327" i="1"/>
  <c r="D5327" i="1"/>
  <c r="E5327" i="1"/>
  <c r="A5328" i="1"/>
  <c r="B5328" i="1"/>
  <c r="C5328" i="1"/>
  <c r="D5328" i="1"/>
  <c r="E5328" i="1"/>
  <c r="A5329" i="1"/>
  <c r="B5329" i="1"/>
  <c r="C5329" i="1"/>
  <c r="D5329" i="1"/>
  <c r="E5329" i="1"/>
  <c r="A5330" i="1"/>
  <c r="B5330" i="1"/>
  <c r="C5330" i="1"/>
  <c r="D5330" i="1"/>
  <c r="E5330" i="1"/>
  <c r="A5331" i="1"/>
  <c r="B5331" i="1"/>
  <c r="C5331" i="1"/>
  <c r="D5331" i="1"/>
  <c r="E5331" i="1"/>
  <c r="A5332" i="1"/>
  <c r="B5332" i="1"/>
  <c r="C5332" i="1"/>
  <c r="D5332" i="1"/>
  <c r="E5332" i="1"/>
  <c r="A5333" i="1"/>
  <c r="B5333" i="1"/>
  <c r="C5333" i="1"/>
  <c r="D5333" i="1"/>
  <c r="E5333" i="1"/>
  <c r="A5334" i="1"/>
  <c r="B5334" i="1"/>
  <c r="C5334" i="1"/>
  <c r="D5334" i="1"/>
  <c r="E5334" i="1"/>
  <c r="A5335" i="1"/>
  <c r="B5335" i="1"/>
  <c r="C5335" i="1"/>
  <c r="D5335" i="1"/>
  <c r="E5335" i="1"/>
  <c r="A5336" i="1"/>
  <c r="B5336" i="1"/>
  <c r="C5336" i="1"/>
  <c r="D5336" i="1"/>
  <c r="E5336" i="1"/>
  <c r="A5337" i="1"/>
  <c r="B5337" i="1"/>
  <c r="C5337" i="1"/>
  <c r="D5337" i="1"/>
  <c r="E5337" i="1"/>
  <c r="A5338" i="1"/>
  <c r="B5338" i="1"/>
  <c r="C5338" i="1"/>
  <c r="D5338" i="1"/>
  <c r="E5338" i="1"/>
  <c r="A5339" i="1"/>
  <c r="B5339" i="1"/>
  <c r="C5339" i="1"/>
  <c r="D5339" i="1"/>
  <c r="E5339" i="1"/>
  <c r="A5340" i="1"/>
  <c r="B5340" i="1"/>
  <c r="C5340" i="1"/>
  <c r="D5340" i="1"/>
  <c r="E5340" i="1"/>
  <c r="A5341" i="1"/>
  <c r="B5341" i="1"/>
  <c r="C5341" i="1"/>
  <c r="D5341" i="1"/>
  <c r="E5341" i="1"/>
  <c r="A5342" i="1"/>
  <c r="B5342" i="1"/>
  <c r="C5342" i="1"/>
  <c r="D5342" i="1"/>
  <c r="E5342" i="1"/>
  <c r="A5343" i="1"/>
  <c r="B5343" i="1"/>
  <c r="C5343" i="1"/>
  <c r="D5343" i="1"/>
  <c r="E5343" i="1"/>
  <c r="A5344" i="1"/>
  <c r="B5344" i="1"/>
  <c r="C5344" i="1"/>
  <c r="D5344" i="1"/>
  <c r="E5344" i="1"/>
  <c r="A5345" i="1"/>
  <c r="B5345" i="1"/>
  <c r="C5345" i="1"/>
  <c r="D5345" i="1"/>
  <c r="E5345" i="1"/>
  <c r="A5346" i="1"/>
  <c r="B5346" i="1"/>
  <c r="C5346" i="1"/>
  <c r="D5346" i="1"/>
  <c r="E5346" i="1"/>
  <c r="A5347" i="1"/>
  <c r="B5347" i="1"/>
  <c r="C5347" i="1"/>
  <c r="D5347" i="1"/>
  <c r="E5347" i="1"/>
  <c r="A5348" i="1"/>
  <c r="B5348" i="1"/>
  <c r="C5348" i="1"/>
  <c r="D5348" i="1"/>
  <c r="E5348" i="1"/>
  <c r="A5349" i="1"/>
  <c r="B5349" i="1"/>
  <c r="C5349" i="1"/>
  <c r="D5349" i="1"/>
  <c r="E5349" i="1"/>
  <c r="A5350" i="1"/>
  <c r="B5350" i="1"/>
  <c r="C5350" i="1"/>
  <c r="D5350" i="1"/>
  <c r="E5350" i="1"/>
  <c r="A5351" i="1"/>
  <c r="B5351" i="1"/>
  <c r="C5351" i="1"/>
  <c r="D5351" i="1"/>
  <c r="E5351" i="1"/>
  <c r="A5352" i="1"/>
  <c r="B5352" i="1"/>
  <c r="C5352" i="1"/>
  <c r="D5352" i="1"/>
  <c r="E5352" i="1"/>
  <c r="A5353" i="1"/>
  <c r="B5353" i="1"/>
  <c r="C5353" i="1"/>
  <c r="D5353" i="1"/>
  <c r="E5353" i="1"/>
  <c r="A5354" i="1"/>
  <c r="B5354" i="1"/>
  <c r="C5354" i="1"/>
  <c r="D5354" i="1"/>
  <c r="E5354" i="1"/>
  <c r="A5355" i="1"/>
  <c r="B5355" i="1"/>
  <c r="C5355" i="1"/>
  <c r="D5355" i="1"/>
  <c r="E5355" i="1"/>
  <c r="A5356" i="1"/>
  <c r="B5356" i="1"/>
  <c r="C5356" i="1"/>
  <c r="D5356" i="1"/>
  <c r="E5356" i="1"/>
  <c r="A5357" i="1"/>
  <c r="B5357" i="1"/>
  <c r="C5357" i="1"/>
  <c r="D5357" i="1"/>
  <c r="E5357" i="1"/>
  <c r="A5358" i="1"/>
  <c r="B5358" i="1"/>
  <c r="C5358" i="1"/>
  <c r="D5358" i="1"/>
  <c r="E5358" i="1"/>
  <c r="A5359" i="1"/>
  <c r="B5359" i="1"/>
  <c r="C5359" i="1"/>
  <c r="D5359" i="1"/>
  <c r="E5359" i="1"/>
  <c r="A5360" i="1"/>
  <c r="B5360" i="1"/>
  <c r="C5360" i="1"/>
  <c r="D5360" i="1"/>
  <c r="E5360" i="1"/>
  <c r="A5361" i="1"/>
  <c r="B5361" i="1"/>
  <c r="C5361" i="1"/>
  <c r="D5361" i="1"/>
  <c r="E5361" i="1"/>
  <c r="A5362" i="1"/>
  <c r="B5362" i="1"/>
  <c r="C5362" i="1"/>
  <c r="D5362" i="1"/>
  <c r="E5362" i="1"/>
  <c r="A5363" i="1"/>
  <c r="B5363" i="1"/>
  <c r="C5363" i="1"/>
  <c r="D5363" i="1"/>
  <c r="E5363" i="1"/>
  <c r="A5364" i="1"/>
  <c r="B5364" i="1"/>
  <c r="C5364" i="1"/>
  <c r="D5364" i="1"/>
  <c r="E5364" i="1"/>
  <c r="A5365" i="1"/>
  <c r="B5365" i="1"/>
  <c r="C5365" i="1"/>
  <c r="D5365" i="1"/>
  <c r="E5365" i="1"/>
  <c r="A5366" i="1"/>
  <c r="B5366" i="1"/>
  <c r="C5366" i="1"/>
  <c r="D5366" i="1"/>
  <c r="E5366" i="1"/>
  <c r="A5367" i="1"/>
  <c r="B5367" i="1"/>
  <c r="C5367" i="1"/>
  <c r="D5367" i="1"/>
  <c r="E5367" i="1"/>
  <c r="A5368" i="1"/>
  <c r="B5368" i="1"/>
  <c r="C5368" i="1"/>
  <c r="D5368" i="1"/>
  <c r="E5368" i="1"/>
  <c r="A5369" i="1"/>
  <c r="B5369" i="1"/>
  <c r="C5369" i="1"/>
  <c r="D5369" i="1"/>
  <c r="E5369" i="1"/>
  <c r="A5370" i="1"/>
  <c r="B5370" i="1"/>
  <c r="C5370" i="1"/>
  <c r="D5370" i="1"/>
  <c r="E5370" i="1"/>
  <c r="A5371" i="1"/>
  <c r="B5371" i="1"/>
  <c r="C5371" i="1"/>
  <c r="D5371" i="1"/>
  <c r="E5371" i="1"/>
  <c r="A5372" i="1"/>
  <c r="B5372" i="1"/>
  <c r="C5372" i="1"/>
  <c r="D5372" i="1"/>
  <c r="E5372" i="1"/>
  <c r="A5373" i="1"/>
  <c r="B5373" i="1"/>
  <c r="C5373" i="1"/>
  <c r="D5373" i="1"/>
  <c r="E5373" i="1"/>
  <c r="A5374" i="1"/>
  <c r="B5374" i="1"/>
  <c r="C5374" i="1"/>
  <c r="D5374" i="1"/>
  <c r="E5374" i="1"/>
  <c r="A5375" i="1"/>
  <c r="B5375" i="1"/>
  <c r="C5375" i="1"/>
  <c r="D5375" i="1"/>
  <c r="E5375" i="1"/>
  <c r="A5376" i="1"/>
  <c r="B5376" i="1"/>
  <c r="C5376" i="1"/>
  <c r="D5376" i="1"/>
  <c r="E5376" i="1"/>
  <c r="A5377" i="1"/>
  <c r="B5377" i="1"/>
  <c r="C5377" i="1"/>
  <c r="D5377" i="1"/>
  <c r="E5377" i="1"/>
  <c r="A5378" i="1"/>
  <c r="B5378" i="1"/>
  <c r="C5378" i="1"/>
  <c r="D5378" i="1"/>
  <c r="E5378" i="1"/>
  <c r="A5379" i="1"/>
  <c r="B5379" i="1"/>
  <c r="C5379" i="1"/>
  <c r="D5379" i="1"/>
  <c r="E5379" i="1"/>
  <c r="A5380" i="1"/>
  <c r="B5380" i="1"/>
  <c r="C5380" i="1"/>
  <c r="D5380" i="1"/>
  <c r="E5380" i="1"/>
  <c r="A5381" i="1"/>
  <c r="B5381" i="1"/>
  <c r="C5381" i="1"/>
  <c r="D5381" i="1"/>
  <c r="E5381" i="1"/>
  <c r="A5382" i="1"/>
  <c r="B5382" i="1"/>
  <c r="C5382" i="1"/>
  <c r="D5382" i="1"/>
  <c r="E5382" i="1"/>
  <c r="A5383" i="1"/>
  <c r="B5383" i="1"/>
  <c r="C5383" i="1"/>
  <c r="D5383" i="1"/>
  <c r="E5383" i="1"/>
  <c r="A5384" i="1"/>
  <c r="B5384" i="1"/>
  <c r="C5384" i="1"/>
  <c r="D5384" i="1"/>
  <c r="E5384" i="1"/>
  <c r="A5385" i="1"/>
  <c r="B5385" i="1"/>
  <c r="C5385" i="1"/>
  <c r="D5385" i="1"/>
  <c r="E5385" i="1"/>
  <c r="A5386" i="1"/>
  <c r="B5386" i="1"/>
  <c r="C5386" i="1"/>
  <c r="D5386" i="1"/>
  <c r="E5386" i="1"/>
  <c r="A5387" i="1"/>
  <c r="B5387" i="1"/>
  <c r="C5387" i="1"/>
  <c r="D5387" i="1"/>
  <c r="E5387" i="1"/>
  <c r="A5388" i="1"/>
  <c r="B5388" i="1"/>
  <c r="C5388" i="1"/>
  <c r="D5388" i="1"/>
  <c r="E5388" i="1"/>
  <c r="A5389" i="1"/>
  <c r="B5389" i="1"/>
  <c r="C5389" i="1"/>
  <c r="D5389" i="1"/>
  <c r="E5389" i="1"/>
  <c r="A5390" i="1"/>
  <c r="B5390" i="1"/>
  <c r="C5390" i="1"/>
  <c r="D5390" i="1"/>
  <c r="E5390" i="1"/>
  <c r="A5391" i="1"/>
  <c r="B5391" i="1"/>
  <c r="C5391" i="1"/>
  <c r="D5391" i="1"/>
  <c r="E5391" i="1"/>
  <c r="A5392" i="1"/>
  <c r="B5392" i="1"/>
  <c r="C5392" i="1"/>
  <c r="D5392" i="1"/>
  <c r="E5392" i="1"/>
  <c r="A5393" i="1"/>
  <c r="B5393" i="1"/>
  <c r="C5393" i="1"/>
  <c r="D5393" i="1"/>
  <c r="E5393" i="1"/>
  <c r="A5394" i="1"/>
  <c r="B5394" i="1"/>
  <c r="C5394" i="1"/>
  <c r="D5394" i="1"/>
  <c r="E5394" i="1"/>
  <c r="A5395" i="1"/>
  <c r="B5395" i="1"/>
  <c r="C5395" i="1"/>
  <c r="D5395" i="1"/>
  <c r="E5395" i="1"/>
  <c r="A5396" i="1"/>
  <c r="B5396" i="1"/>
  <c r="C5396" i="1"/>
  <c r="D5396" i="1"/>
  <c r="E5396" i="1"/>
  <c r="A5397" i="1"/>
  <c r="B5397" i="1"/>
  <c r="C5397" i="1"/>
  <c r="D5397" i="1"/>
  <c r="E5397" i="1"/>
  <c r="A5398" i="1"/>
  <c r="B5398" i="1"/>
  <c r="C5398" i="1"/>
  <c r="D5398" i="1"/>
  <c r="E5398" i="1"/>
  <c r="A5399" i="1"/>
  <c r="B5399" i="1"/>
  <c r="C5399" i="1"/>
  <c r="D5399" i="1"/>
  <c r="E5399" i="1"/>
  <c r="A5400" i="1"/>
  <c r="B5400" i="1"/>
  <c r="C5400" i="1"/>
  <c r="D5400" i="1"/>
  <c r="E5400" i="1"/>
  <c r="A5401" i="1"/>
  <c r="B5401" i="1"/>
  <c r="C5401" i="1"/>
  <c r="D5401" i="1"/>
  <c r="E5401" i="1"/>
  <c r="A5402" i="1"/>
  <c r="B5402" i="1"/>
  <c r="C5402" i="1"/>
  <c r="D5402" i="1"/>
  <c r="E5402" i="1"/>
  <c r="A5403" i="1"/>
  <c r="B5403" i="1"/>
  <c r="C5403" i="1"/>
  <c r="D5403" i="1"/>
  <c r="E5403" i="1"/>
  <c r="A5404" i="1"/>
  <c r="B5404" i="1"/>
  <c r="C5404" i="1"/>
  <c r="D5404" i="1"/>
  <c r="E5404" i="1"/>
  <c r="A5405" i="1"/>
  <c r="B5405" i="1"/>
  <c r="C5405" i="1"/>
  <c r="D5405" i="1"/>
  <c r="E5405" i="1"/>
  <c r="A5406" i="1"/>
  <c r="B5406" i="1"/>
  <c r="C5406" i="1"/>
  <c r="D5406" i="1"/>
  <c r="E5406" i="1"/>
  <c r="A5407" i="1"/>
  <c r="B5407" i="1"/>
  <c r="C5407" i="1"/>
  <c r="D5407" i="1"/>
  <c r="E5407" i="1"/>
  <c r="A5408" i="1"/>
  <c r="B5408" i="1"/>
  <c r="C5408" i="1"/>
  <c r="D5408" i="1"/>
  <c r="E5408" i="1"/>
  <c r="A5409" i="1"/>
  <c r="B5409" i="1"/>
  <c r="C5409" i="1"/>
  <c r="D5409" i="1"/>
  <c r="E5409" i="1"/>
  <c r="A5410" i="1"/>
  <c r="B5410" i="1"/>
  <c r="C5410" i="1"/>
  <c r="D5410" i="1"/>
  <c r="E5410" i="1"/>
  <c r="A5411" i="1"/>
  <c r="B5411" i="1"/>
  <c r="C5411" i="1"/>
  <c r="D5411" i="1"/>
  <c r="E5411" i="1"/>
  <c r="A5412" i="1"/>
  <c r="B5412" i="1"/>
  <c r="C5412" i="1"/>
  <c r="D5412" i="1"/>
  <c r="E5412" i="1"/>
  <c r="A5413" i="1"/>
  <c r="B5413" i="1"/>
  <c r="C5413" i="1"/>
  <c r="D5413" i="1"/>
  <c r="E5413" i="1"/>
  <c r="A5414" i="1"/>
  <c r="B5414" i="1"/>
  <c r="C5414" i="1"/>
  <c r="D5414" i="1"/>
  <c r="E5414" i="1"/>
  <c r="A5415" i="1"/>
  <c r="B5415" i="1"/>
  <c r="C5415" i="1"/>
  <c r="D5415" i="1"/>
  <c r="E5415" i="1"/>
  <c r="A5416" i="1"/>
  <c r="B5416" i="1"/>
  <c r="C5416" i="1"/>
  <c r="D5416" i="1"/>
  <c r="E5416" i="1"/>
  <c r="A5417" i="1"/>
  <c r="B5417" i="1"/>
  <c r="C5417" i="1"/>
  <c r="D5417" i="1"/>
  <c r="E5417" i="1"/>
  <c r="A5418" i="1"/>
  <c r="B5418" i="1"/>
  <c r="C5418" i="1"/>
  <c r="D5418" i="1"/>
  <c r="E5418" i="1"/>
  <c r="A5419" i="1"/>
  <c r="B5419" i="1"/>
  <c r="C5419" i="1"/>
  <c r="D5419" i="1"/>
  <c r="E5419" i="1"/>
  <c r="A5420" i="1"/>
  <c r="B5420" i="1"/>
  <c r="C5420" i="1"/>
  <c r="D5420" i="1"/>
  <c r="E5420" i="1"/>
  <c r="A5421" i="1"/>
  <c r="B5421" i="1"/>
  <c r="C5421" i="1"/>
  <c r="D5421" i="1"/>
  <c r="E5421" i="1"/>
  <c r="A5422" i="1"/>
  <c r="B5422" i="1"/>
  <c r="C5422" i="1"/>
  <c r="D5422" i="1"/>
  <c r="E5422" i="1"/>
  <c r="A5423" i="1"/>
  <c r="B5423" i="1"/>
  <c r="C5423" i="1"/>
  <c r="D5423" i="1"/>
  <c r="E5423" i="1"/>
  <c r="A5424" i="1"/>
  <c r="B5424" i="1"/>
  <c r="C5424" i="1"/>
  <c r="D5424" i="1"/>
  <c r="E5424" i="1"/>
  <c r="A5425" i="1"/>
  <c r="B5425" i="1"/>
  <c r="C5425" i="1"/>
  <c r="D5425" i="1"/>
  <c r="E5425" i="1"/>
  <c r="A5426" i="1"/>
  <c r="B5426" i="1"/>
  <c r="C5426" i="1"/>
  <c r="D5426" i="1"/>
  <c r="E5426" i="1"/>
  <c r="A5427" i="1"/>
  <c r="B5427" i="1"/>
  <c r="C5427" i="1"/>
  <c r="D5427" i="1"/>
  <c r="E5427" i="1"/>
  <c r="A5428" i="1"/>
  <c r="B5428" i="1"/>
  <c r="C5428" i="1"/>
  <c r="D5428" i="1"/>
  <c r="E5428" i="1"/>
  <c r="A5429" i="1"/>
  <c r="B5429" i="1"/>
  <c r="C5429" i="1"/>
  <c r="D5429" i="1"/>
  <c r="E5429" i="1"/>
  <c r="A5430" i="1"/>
  <c r="B5430" i="1"/>
  <c r="C5430" i="1"/>
  <c r="D5430" i="1"/>
  <c r="E5430" i="1"/>
  <c r="A5431" i="1"/>
  <c r="B5431" i="1"/>
  <c r="C5431" i="1"/>
  <c r="D5431" i="1"/>
  <c r="E5431" i="1"/>
  <c r="A5432" i="1"/>
  <c r="B5432" i="1"/>
  <c r="C5432" i="1"/>
  <c r="D5432" i="1"/>
  <c r="E5432" i="1"/>
  <c r="A5433" i="1"/>
  <c r="B5433" i="1"/>
  <c r="C5433" i="1"/>
  <c r="D5433" i="1"/>
  <c r="E5433" i="1"/>
  <c r="A5434" i="1"/>
  <c r="B5434" i="1"/>
  <c r="C5434" i="1"/>
  <c r="D5434" i="1"/>
  <c r="E5434" i="1"/>
  <c r="A5435" i="1"/>
  <c r="B5435" i="1"/>
  <c r="C5435" i="1"/>
  <c r="D5435" i="1"/>
  <c r="E5435" i="1"/>
  <c r="A5436" i="1"/>
  <c r="B5436" i="1"/>
  <c r="C5436" i="1"/>
  <c r="D5436" i="1"/>
  <c r="E5436" i="1"/>
  <c r="A5437" i="1"/>
  <c r="B5437" i="1"/>
  <c r="C5437" i="1"/>
  <c r="D5437" i="1"/>
  <c r="E5437" i="1"/>
  <c r="A5438" i="1"/>
  <c r="B5438" i="1"/>
  <c r="C5438" i="1"/>
  <c r="D5438" i="1"/>
  <c r="E5438" i="1"/>
  <c r="A5439" i="1"/>
  <c r="B5439" i="1"/>
  <c r="C5439" i="1"/>
  <c r="D5439" i="1"/>
  <c r="E5439" i="1"/>
  <c r="A5440" i="1"/>
  <c r="B5440" i="1"/>
  <c r="C5440" i="1"/>
  <c r="D5440" i="1"/>
  <c r="E5440" i="1"/>
  <c r="A5441" i="1"/>
  <c r="B5441" i="1"/>
  <c r="C5441" i="1"/>
  <c r="D5441" i="1"/>
  <c r="E5441" i="1"/>
  <c r="A5442" i="1"/>
  <c r="B5442" i="1"/>
  <c r="C5442" i="1"/>
  <c r="D5442" i="1"/>
  <c r="E5442" i="1"/>
  <c r="A5443" i="1"/>
  <c r="B5443" i="1"/>
  <c r="C5443" i="1"/>
  <c r="D5443" i="1"/>
  <c r="E5443" i="1"/>
  <c r="A5444" i="1"/>
  <c r="B5444" i="1"/>
  <c r="C5444" i="1"/>
  <c r="D5444" i="1"/>
  <c r="E5444" i="1"/>
  <c r="A5445" i="1"/>
  <c r="B5445" i="1"/>
  <c r="C5445" i="1"/>
  <c r="D5445" i="1"/>
  <c r="E5445" i="1"/>
  <c r="A5446" i="1"/>
  <c r="B5446" i="1"/>
  <c r="C5446" i="1"/>
  <c r="D5446" i="1"/>
  <c r="E5446" i="1"/>
  <c r="A5447" i="1"/>
  <c r="B5447" i="1"/>
  <c r="C5447" i="1"/>
  <c r="D5447" i="1"/>
  <c r="E5447" i="1"/>
  <c r="A5448" i="1"/>
  <c r="B5448" i="1"/>
  <c r="C5448" i="1"/>
  <c r="D5448" i="1"/>
  <c r="E5448" i="1"/>
  <c r="A5449" i="1"/>
  <c r="B5449" i="1"/>
  <c r="C5449" i="1"/>
  <c r="D5449" i="1"/>
  <c r="E5449" i="1"/>
  <c r="A5450" i="1"/>
  <c r="B5450" i="1"/>
  <c r="C5450" i="1"/>
  <c r="D5450" i="1"/>
  <c r="E5450" i="1"/>
  <c r="A5451" i="1"/>
  <c r="B5451" i="1"/>
  <c r="C5451" i="1"/>
  <c r="D5451" i="1"/>
  <c r="E5451" i="1"/>
  <c r="A5452" i="1"/>
  <c r="B5452" i="1"/>
  <c r="C5452" i="1"/>
  <c r="D5452" i="1"/>
  <c r="E5452" i="1"/>
  <c r="A5453" i="1"/>
  <c r="B5453" i="1"/>
  <c r="C5453" i="1"/>
  <c r="D5453" i="1"/>
  <c r="E5453" i="1"/>
  <c r="A5454" i="1"/>
  <c r="B5454" i="1"/>
  <c r="C5454" i="1"/>
  <c r="D5454" i="1"/>
  <c r="E5454" i="1"/>
  <c r="A5455" i="1"/>
  <c r="B5455" i="1"/>
  <c r="C5455" i="1"/>
  <c r="D5455" i="1"/>
  <c r="E5455" i="1"/>
  <c r="A5456" i="1"/>
  <c r="B5456" i="1"/>
  <c r="C5456" i="1"/>
  <c r="D5456" i="1"/>
  <c r="E5456" i="1"/>
  <c r="A5457" i="1"/>
  <c r="B5457" i="1"/>
  <c r="C5457" i="1"/>
  <c r="D5457" i="1"/>
  <c r="E5457" i="1"/>
  <c r="A5458" i="1"/>
  <c r="B5458" i="1"/>
  <c r="C5458" i="1"/>
  <c r="D5458" i="1"/>
  <c r="E5458" i="1"/>
  <c r="A5459" i="1"/>
  <c r="B5459" i="1"/>
  <c r="C5459" i="1"/>
  <c r="D5459" i="1"/>
  <c r="E5459" i="1"/>
  <c r="A5460" i="1"/>
  <c r="B5460" i="1"/>
  <c r="C5460" i="1"/>
  <c r="D5460" i="1"/>
  <c r="E5460" i="1"/>
  <c r="A5461" i="1"/>
  <c r="B5461" i="1"/>
  <c r="C5461" i="1"/>
  <c r="D5461" i="1"/>
  <c r="E5461" i="1"/>
  <c r="A5462" i="1"/>
  <c r="B5462" i="1"/>
  <c r="C5462" i="1"/>
  <c r="D5462" i="1"/>
  <c r="E5462" i="1"/>
  <c r="A5463" i="1"/>
  <c r="B5463" i="1"/>
  <c r="C5463" i="1"/>
  <c r="D5463" i="1"/>
  <c r="E5463" i="1"/>
  <c r="A5464" i="1"/>
  <c r="B5464" i="1"/>
  <c r="C5464" i="1"/>
  <c r="D5464" i="1"/>
  <c r="E5464" i="1"/>
  <c r="A5465" i="1"/>
  <c r="B5465" i="1"/>
  <c r="C5465" i="1"/>
  <c r="D5465" i="1"/>
  <c r="E5465" i="1"/>
  <c r="A5466" i="1"/>
  <c r="B5466" i="1"/>
  <c r="C5466" i="1"/>
  <c r="D5466" i="1"/>
  <c r="E5466" i="1"/>
  <c r="A5467" i="1"/>
  <c r="B5467" i="1"/>
  <c r="C5467" i="1"/>
  <c r="D5467" i="1"/>
  <c r="E5467" i="1"/>
  <c r="A5468" i="1"/>
  <c r="B5468" i="1"/>
  <c r="C5468" i="1"/>
  <c r="D5468" i="1"/>
  <c r="E5468" i="1"/>
  <c r="A5469" i="1"/>
  <c r="B5469" i="1"/>
  <c r="C5469" i="1"/>
  <c r="D5469" i="1"/>
  <c r="E5469" i="1"/>
  <c r="A5470" i="1"/>
  <c r="B5470" i="1"/>
  <c r="C5470" i="1"/>
  <c r="D5470" i="1"/>
  <c r="E5470" i="1"/>
  <c r="A5471" i="1"/>
  <c r="B5471" i="1"/>
  <c r="C5471" i="1"/>
  <c r="D5471" i="1"/>
  <c r="E5471" i="1"/>
  <c r="A5472" i="1"/>
  <c r="B5472" i="1"/>
  <c r="C5472" i="1"/>
  <c r="D5472" i="1"/>
  <c r="E5472" i="1"/>
  <c r="A5473" i="1"/>
  <c r="B5473" i="1"/>
  <c r="C5473" i="1"/>
  <c r="D5473" i="1"/>
  <c r="E5473" i="1"/>
  <c r="A5474" i="1"/>
  <c r="B5474" i="1"/>
  <c r="C5474" i="1"/>
  <c r="D5474" i="1"/>
  <c r="E5474" i="1"/>
  <c r="A5475" i="1"/>
  <c r="B5475" i="1"/>
  <c r="C5475" i="1"/>
  <c r="D5475" i="1"/>
  <c r="E5475" i="1"/>
  <c r="A5476" i="1"/>
  <c r="B5476" i="1"/>
  <c r="C5476" i="1"/>
  <c r="D5476" i="1"/>
  <c r="E5476" i="1"/>
  <c r="A5477" i="1"/>
  <c r="B5477" i="1"/>
  <c r="C5477" i="1"/>
  <c r="D5477" i="1"/>
  <c r="E5477" i="1"/>
  <c r="A5478" i="1"/>
  <c r="B5478" i="1"/>
  <c r="C5478" i="1"/>
  <c r="D5478" i="1"/>
  <c r="E5478" i="1"/>
  <c r="A5479" i="1"/>
  <c r="B5479" i="1"/>
  <c r="C5479" i="1"/>
  <c r="D5479" i="1"/>
  <c r="E5479" i="1"/>
  <c r="A5480" i="1"/>
  <c r="B5480" i="1"/>
  <c r="C5480" i="1"/>
  <c r="D5480" i="1"/>
  <c r="E5480" i="1"/>
  <c r="A5481" i="1"/>
  <c r="B5481" i="1"/>
  <c r="C5481" i="1"/>
  <c r="D5481" i="1"/>
  <c r="E5481" i="1"/>
  <c r="A5482" i="1"/>
  <c r="B5482" i="1"/>
  <c r="C5482" i="1"/>
  <c r="D5482" i="1"/>
  <c r="E5482" i="1"/>
  <c r="A5483" i="1"/>
  <c r="B5483" i="1"/>
  <c r="C5483" i="1"/>
  <c r="D5483" i="1"/>
  <c r="E5483" i="1"/>
  <c r="A5484" i="1"/>
  <c r="B5484" i="1"/>
  <c r="C5484" i="1"/>
  <c r="D5484" i="1"/>
  <c r="E5484" i="1"/>
  <c r="A5485" i="1"/>
  <c r="B5485" i="1"/>
  <c r="C5485" i="1"/>
  <c r="D5485" i="1"/>
  <c r="E5485" i="1"/>
  <c r="A5486" i="1"/>
  <c r="B5486" i="1"/>
  <c r="C5486" i="1"/>
  <c r="D5486" i="1"/>
  <c r="E5486" i="1"/>
  <c r="A5487" i="1"/>
  <c r="B5487" i="1"/>
  <c r="C5487" i="1"/>
  <c r="D5487" i="1"/>
  <c r="E5487" i="1"/>
  <c r="A5488" i="1"/>
  <c r="B5488" i="1"/>
  <c r="C5488" i="1"/>
  <c r="D5488" i="1"/>
  <c r="E5488" i="1"/>
  <c r="A5489" i="1"/>
  <c r="B5489" i="1"/>
  <c r="C5489" i="1"/>
  <c r="D5489" i="1"/>
  <c r="E5489" i="1"/>
  <c r="A5490" i="1"/>
  <c r="B5490" i="1"/>
  <c r="C5490" i="1"/>
  <c r="D5490" i="1"/>
  <c r="E5490" i="1"/>
  <c r="A5491" i="1"/>
  <c r="B5491" i="1"/>
  <c r="C5491" i="1"/>
  <c r="D5491" i="1"/>
  <c r="E5491" i="1"/>
  <c r="A5492" i="1"/>
  <c r="B5492" i="1"/>
  <c r="C5492" i="1"/>
  <c r="D5492" i="1"/>
  <c r="E5492" i="1"/>
  <c r="A5493" i="1"/>
  <c r="B5493" i="1"/>
  <c r="C5493" i="1"/>
  <c r="D5493" i="1"/>
  <c r="E5493" i="1"/>
  <c r="A5494" i="1"/>
  <c r="B5494" i="1"/>
  <c r="C5494" i="1"/>
  <c r="D5494" i="1"/>
  <c r="E5494" i="1"/>
  <c r="A5495" i="1"/>
  <c r="B5495" i="1"/>
  <c r="C5495" i="1"/>
  <c r="D5495" i="1"/>
  <c r="E5495" i="1"/>
  <c r="A5496" i="1"/>
  <c r="B5496" i="1"/>
  <c r="C5496" i="1"/>
  <c r="D5496" i="1"/>
  <c r="E5496" i="1"/>
  <c r="A5497" i="1"/>
  <c r="B5497" i="1"/>
  <c r="C5497" i="1"/>
  <c r="D5497" i="1"/>
  <c r="E5497" i="1"/>
  <c r="A5498" i="1"/>
  <c r="B5498" i="1"/>
  <c r="C5498" i="1"/>
  <c r="D5498" i="1"/>
  <c r="E5498" i="1"/>
  <c r="A5499" i="1"/>
  <c r="B5499" i="1"/>
  <c r="C5499" i="1"/>
  <c r="D5499" i="1"/>
  <c r="E5499" i="1"/>
  <c r="A5500" i="1"/>
  <c r="B5500" i="1"/>
  <c r="C5500" i="1"/>
  <c r="D5500" i="1"/>
  <c r="E5500" i="1"/>
  <c r="A5501" i="1"/>
  <c r="B5501" i="1"/>
  <c r="C5501" i="1"/>
  <c r="D5501" i="1"/>
  <c r="E5501" i="1"/>
  <c r="A5502" i="1"/>
  <c r="B5502" i="1"/>
  <c r="C5502" i="1"/>
  <c r="D5502" i="1"/>
  <c r="E5502" i="1"/>
  <c r="A5503" i="1"/>
  <c r="B5503" i="1"/>
  <c r="C5503" i="1"/>
  <c r="D5503" i="1"/>
  <c r="E5503" i="1"/>
  <c r="A5504" i="1"/>
  <c r="B5504" i="1"/>
  <c r="C5504" i="1"/>
  <c r="D5504" i="1"/>
  <c r="E5504" i="1"/>
  <c r="A5505" i="1"/>
  <c r="B5505" i="1"/>
  <c r="C5505" i="1"/>
  <c r="D5505" i="1"/>
  <c r="E5505" i="1"/>
  <c r="A5506" i="1"/>
  <c r="B5506" i="1"/>
  <c r="C5506" i="1"/>
  <c r="D5506" i="1"/>
  <c r="E5506" i="1"/>
  <c r="A5507" i="1"/>
  <c r="B5507" i="1"/>
  <c r="C5507" i="1"/>
  <c r="D5507" i="1"/>
  <c r="E5507" i="1"/>
  <c r="A5508" i="1"/>
  <c r="B5508" i="1"/>
  <c r="C5508" i="1"/>
  <c r="D5508" i="1"/>
  <c r="E5508" i="1"/>
  <c r="A5509" i="1"/>
  <c r="B5509" i="1"/>
  <c r="C5509" i="1"/>
  <c r="D5509" i="1"/>
  <c r="E5509" i="1"/>
  <c r="A5510" i="1"/>
  <c r="B5510" i="1"/>
  <c r="C5510" i="1"/>
  <c r="D5510" i="1"/>
  <c r="E5510" i="1"/>
  <c r="A5511" i="1"/>
  <c r="B5511" i="1"/>
  <c r="C5511" i="1"/>
  <c r="D5511" i="1"/>
  <c r="E5511" i="1"/>
  <c r="A5512" i="1"/>
  <c r="B5512" i="1"/>
  <c r="C5512" i="1"/>
  <c r="D5512" i="1"/>
  <c r="E5512" i="1"/>
  <c r="A5513" i="1"/>
  <c r="B5513" i="1"/>
  <c r="C5513" i="1"/>
  <c r="D5513" i="1"/>
  <c r="E5513" i="1"/>
  <c r="A5514" i="1"/>
  <c r="B5514" i="1"/>
  <c r="C5514" i="1"/>
  <c r="D5514" i="1"/>
  <c r="E5514" i="1"/>
  <c r="A5515" i="1"/>
  <c r="B5515" i="1"/>
  <c r="C5515" i="1"/>
  <c r="D5515" i="1"/>
  <c r="E5515" i="1"/>
  <c r="A5516" i="1"/>
  <c r="B5516" i="1"/>
  <c r="C5516" i="1"/>
  <c r="D5516" i="1"/>
  <c r="E5516" i="1"/>
  <c r="A5517" i="1"/>
  <c r="B5517" i="1"/>
  <c r="C5517" i="1"/>
  <c r="D5517" i="1"/>
  <c r="E5517" i="1"/>
  <c r="A5518" i="1"/>
  <c r="B5518" i="1"/>
  <c r="C5518" i="1"/>
  <c r="D5518" i="1"/>
  <c r="E5518" i="1"/>
  <c r="A5519" i="1"/>
  <c r="B5519" i="1"/>
  <c r="C5519" i="1"/>
  <c r="D5519" i="1"/>
  <c r="E5519" i="1"/>
  <c r="A5520" i="1"/>
  <c r="B5520" i="1"/>
  <c r="C5520" i="1"/>
  <c r="D5520" i="1"/>
  <c r="E5520" i="1"/>
  <c r="A5521" i="1"/>
  <c r="B5521" i="1"/>
  <c r="C5521" i="1"/>
  <c r="D5521" i="1"/>
  <c r="E5521" i="1"/>
  <c r="A5522" i="1"/>
  <c r="B5522" i="1"/>
  <c r="C5522" i="1"/>
  <c r="D5522" i="1"/>
  <c r="E5522" i="1"/>
  <c r="A5523" i="1"/>
  <c r="B5523" i="1"/>
  <c r="C5523" i="1"/>
  <c r="D5523" i="1"/>
  <c r="E5523" i="1"/>
  <c r="A5524" i="1"/>
  <c r="B5524" i="1"/>
  <c r="C5524" i="1"/>
  <c r="D5524" i="1"/>
  <c r="E5524" i="1"/>
  <c r="A5525" i="1"/>
  <c r="B5525" i="1"/>
  <c r="C5525" i="1"/>
  <c r="D5525" i="1"/>
  <c r="E5525" i="1"/>
  <c r="A5526" i="1"/>
  <c r="B5526" i="1"/>
  <c r="C5526" i="1"/>
  <c r="D5526" i="1"/>
  <c r="E5526" i="1"/>
  <c r="A5527" i="1"/>
  <c r="B5527" i="1"/>
  <c r="C5527" i="1"/>
  <c r="D5527" i="1"/>
  <c r="E5527" i="1"/>
  <c r="A5528" i="1"/>
  <c r="B5528" i="1"/>
  <c r="C5528" i="1"/>
  <c r="D5528" i="1"/>
  <c r="E5528" i="1"/>
  <c r="A5529" i="1"/>
  <c r="B5529" i="1"/>
  <c r="C5529" i="1"/>
  <c r="D5529" i="1"/>
  <c r="E5529" i="1"/>
  <c r="A5530" i="1"/>
  <c r="B5530" i="1"/>
  <c r="C5530" i="1"/>
  <c r="D5530" i="1"/>
  <c r="E5530" i="1"/>
  <c r="A5531" i="1"/>
  <c r="B5531" i="1"/>
  <c r="C5531" i="1"/>
  <c r="D5531" i="1"/>
  <c r="E5531" i="1"/>
  <c r="A5532" i="1"/>
  <c r="B5532" i="1"/>
  <c r="C5532" i="1"/>
  <c r="D5532" i="1"/>
  <c r="E5532" i="1"/>
  <c r="A5533" i="1"/>
  <c r="B5533" i="1"/>
  <c r="C5533" i="1"/>
  <c r="D5533" i="1"/>
  <c r="E5533" i="1"/>
  <c r="A5534" i="1"/>
  <c r="B5534" i="1"/>
  <c r="C5534" i="1"/>
  <c r="D5534" i="1"/>
  <c r="E5534" i="1"/>
  <c r="A5535" i="1"/>
  <c r="B5535" i="1"/>
  <c r="C5535" i="1"/>
  <c r="D5535" i="1"/>
  <c r="E5535" i="1"/>
  <c r="A5536" i="1"/>
  <c r="B5536" i="1"/>
  <c r="C5536" i="1"/>
  <c r="D5536" i="1"/>
  <c r="E5536" i="1"/>
  <c r="A5537" i="1"/>
  <c r="B5537" i="1"/>
  <c r="C5537" i="1"/>
  <c r="D5537" i="1"/>
  <c r="E5537" i="1"/>
  <c r="A5538" i="1"/>
  <c r="B5538" i="1"/>
  <c r="C5538" i="1"/>
  <c r="D5538" i="1"/>
  <c r="E5538" i="1"/>
  <c r="A5539" i="1"/>
  <c r="B5539" i="1"/>
  <c r="C5539" i="1"/>
  <c r="D5539" i="1"/>
  <c r="E5539" i="1"/>
  <c r="A5540" i="1"/>
  <c r="B5540" i="1"/>
  <c r="C5540" i="1"/>
  <c r="D5540" i="1"/>
  <c r="E5540" i="1"/>
  <c r="A5541" i="1"/>
  <c r="B5541" i="1"/>
  <c r="C5541" i="1"/>
  <c r="D5541" i="1"/>
  <c r="E5541" i="1"/>
  <c r="A5542" i="1"/>
  <c r="B5542" i="1"/>
  <c r="C5542" i="1"/>
  <c r="D5542" i="1"/>
  <c r="E5542" i="1"/>
  <c r="A5543" i="1"/>
  <c r="B5543" i="1"/>
  <c r="C5543" i="1"/>
  <c r="D5543" i="1"/>
  <c r="E5543" i="1"/>
  <c r="A5544" i="1"/>
  <c r="B5544" i="1"/>
  <c r="C5544" i="1"/>
  <c r="D5544" i="1"/>
  <c r="E5544" i="1"/>
  <c r="A5545" i="1"/>
  <c r="B5545" i="1"/>
  <c r="C5545" i="1"/>
  <c r="D5545" i="1"/>
  <c r="E5545" i="1"/>
  <c r="A5546" i="1"/>
  <c r="B5546" i="1"/>
  <c r="C5546" i="1"/>
  <c r="D5546" i="1"/>
  <c r="E5546" i="1"/>
  <c r="A5547" i="1"/>
  <c r="B5547" i="1"/>
  <c r="C5547" i="1"/>
  <c r="D5547" i="1"/>
  <c r="E5547" i="1"/>
  <c r="A5548" i="1"/>
  <c r="B5548" i="1"/>
  <c r="C5548" i="1"/>
  <c r="D5548" i="1"/>
  <c r="E5548" i="1"/>
  <c r="A5549" i="1"/>
  <c r="B5549" i="1"/>
  <c r="C5549" i="1"/>
  <c r="D5549" i="1"/>
  <c r="E5549" i="1"/>
  <c r="A5550" i="1"/>
  <c r="B5550" i="1"/>
  <c r="C5550" i="1"/>
  <c r="D5550" i="1"/>
  <c r="E5550" i="1"/>
  <c r="A5551" i="1"/>
  <c r="B5551" i="1"/>
  <c r="C5551" i="1"/>
  <c r="D5551" i="1"/>
  <c r="E5551" i="1"/>
  <c r="A5552" i="1"/>
  <c r="B5552" i="1"/>
  <c r="C5552" i="1"/>
  <c r="D5552" i="1"/>
  <c r="E5552" i="1"/>
  <c r="A5553" i="1"/>
  <c r="B5553" i="1"/>
  <c r="C5553" i="1"/>
  <c r="D5553" i="1"/>
  <c r="E5553" i="1"/>
  <c r="A5554" i="1"/>
  <c r="B5554" i="1"/>
  <c r="C5554" i="1"/>
  <c r="D5554" i="1"/>
  <c r="E5554" i="1"/>
  <c r="A5555" i="1"/>
  <c r="B5555" i="1"/>
  <c r="C5555" i="1"/>
  <c r="D5555" i="1"/>
  <c r="E5555" i="1"/>
  <c r="A5556" i="1"/>
  <c r="B5556" i="1"/>
  <c r="C5556" i="1"/>
  <c r="D5556" i="1"/>
  <c r="E5556" i="1"/>
  <c r="A5557" i="1"/>
  <c r="B5557" i="1"/>
  <c r="C5557" i="1"/>
  <c r="D5557" i="1"/>
  <c r="E5557" i="1"/>
  <c r="A5558" i="1"/>
  <c r="B5558" i="1"/>
  <c r="C5558" i="1"/>
  <c r="D5558" i="1"/>
  <c r="E5558" i="1"/>
  <c r="A5559" i="1"/>
  <c r="B5559" i="1"/>
  <c r="C5559" i="1"/>
  <c r="D5559" i="1"/>
  <c r="E5559" i="1"/>
  <c r="A5560" i="1"/>
  <c r="B5560" i="1"/>
  <c r="C5560" i="1"/>
  <c r="D5560" i="1"/>
  <c r="E5560" i="1"/>
  <c r="A5561" i="1"/>
  <c r="B5561" i="1"/>
  <c r="C5561" i="1"/>
  <c r="D5561" i="1"/>
  <c r="E5561" i="1"/>
  <c r="A5562" i="1"/>
  <c r="B5562" i="1"/>
  <c r="C5562" i="1"/>
  <c r="D5562" i="1"/>
  <c r="E5562" i="1"/>
  <c r="A5563" i="1"/>
  <c r="B5563" i="1"/>
  <c r="C5563" i="1"/>
  <c r="D5563" i="1"/>
  <c r="E5563" i="1"/>
  <c r="A5564" i="1"/>
  <c r="B5564" i="1"/>
  <c r="C5564" i="1"/>
  <c r="D5564" i="1"/>
  <c r="E5564" i="1"/>
  <c r="A5565" i="1"/>
  <c r="B5565" i="1"/>
  <c r="C5565" i="1"/>
  <c r="D5565" i="1"/>
  <c r="E5565" i="1"/>
  <c r="A5566" i="1"/>
  <c r="B5566" i="1"/>
  <c r="C5566" i="1"/>
  <c r="D5566" i="1"/>
  <c r="E5566" i="1"/>
  <c r="A5567" i="1"/>
  <c r="B5567" i="1"/>
  <c r="C5567" i="1"/>
  <c r="D5567" i="1"/>
  <c r="E5567" i="1"/>
  <c r="A5568" i="1"/>
  <c r="B5568" i="1"/>
  <c r="C5568" i="1"/>
  <c r="D5568" i="1"/>
  <c r="E5568" i="1"/>
  <c r="A5569" i="1"/>
  <c r="B5569" i="1"/>
  <c r="C5569" i="1"/>
  <c r="D5569" i="1"/>
  <c r="E5569" i="1"/>
  <c r="A5570" i="1"/>
  <c r="B5570" i="1"/>
  <c r="C5570" i="1"/>
  <c r="D5570" i="1"/>
  <c r="E5570" i="1"/>
  <c r="A5571" i="1"/>
  <c r="B5571" i="1"/>
  <c r="C5571" i="1"/>
  <c r="D5571" i="1"/>
  <c r="E5571" i="1"/>
  <c r="A5572" i="1"/>
  <c r="B5572" i="1"/>
  <c r="C5572" i="1"/>
  <c r="D5572" i="1"/>
  <c r="E5572" i="1"/>
  <c r="A5573" i="1"/>
  <c r="B5573" i="1"/>
  <c r="C5573" i="1"/>
  <c r="D5573" i="1"/>
  <c r="E5573" i="1"/>
  <c r="A5574" i="1"/>
  <c r="B5574" i="1"/>
  <c r="C5574" i="1"/>
  <c r="D5574" i="1"/>
  <c r="E5574" i="1"/>
  <c r="A5575" i="1"/>
  <c r="B5575" i="1"/>
  <c r="C5575" i="1"/>
  <c r="D5575" i="1"/>
  <c r="E5575" i="1"/>
  <c r="A5576" i="1"/>
  <c r="B5576" i="1"/>
  <c r="C5576" i="1"/>
  <c r="D5576" i="1"/>
  <c r="E5576" i="1"/>
  <c r="A5577" i="1"/>
  <c r="B5577" i="1"/>
  <c r="C5577" i="1"/>
  <c r="D5577" i="1"/>
  <c r="E5577" i="1"/>
  <c r="A5578" i="1"/>
  <c r="B5578" i="1"/>
  <c r="C5578" i="1"/>
  <c r="D5578" i="1"/>
  <c r="E5578" i="1"/>
  <c r="A5579" i="1"/>
  <c r="B5579" i="1"/>
  <c r="C5579" i="1"/>
  <c r="D5579" i="1"/>
  <c r="E5579" i="1"/>
  <c r="A5580" i="1"/>
  <c r="B5580" i="1"/>
  <c r="C5580" i="1"/>
  <c r="D5580" i="1"/>
  <c r="E5580" i="1"/>
  <c r="A5581" i="1"/>
  <c r="B5581" i="1"/>
  <c r="C5581" i="1"/>
  <c r="D5581" i="1"/>
  <c r="E5581" i="1"/>
  <c r="A5582" i="1"/>
  <c r="B5582" i="1"/>
  <c r="C5582" i="1"/>
  <c r="D5582" i="1"/>
  <c r="E5582" i="1"/>
  <c r="A5583" i="1"/>
  <c r="B5583" i="1"/>
  <c r="C5583" i="1"/>
  <c r="D5583" i="1"/>
  <c r="E5583" i="1"/>
  <c r="A5584" i="1"/>
  <c r="B5584" i="1"/>
  <c r="C5584" i="1"/>
  <c r="D5584" i="1"/>
  <c r="E5584" i="1"/>
  <c r="A5585" i="1"/>
  <c r="B5585" i="1"/>
  <c r="C5585" i="1"/>
  <c r="D5585" i="1"/>
  <c r="E5585" i="1"/>
  <c r="A5586" i="1"/>
  <c r="B5586" i="1"/>
  <c r="C5586" i="1"/>
  <c r="D5586" i="1"/>
  <c r="E5586" i="1"/>
  <c r="A5587" i="1"/>
  <c r="B5587" i="1"/>
  <c r="C5587" i="1"/>
  <c r="D5587" i="1"/>
  <c r="E5587" i="1"/>
  <c r="A5588" i="1"/>
  <c r="B5588" i="1"/>
  <c r="C5588" i="1"/>
  <c r="D5588" i="1"/>
  <c r="E5588" i="1"/>
  <c r="A5589" i="1"/>
  <c r="B5589" i="1"/>
  <c r="C5589" i="1"/>
  <c r="D5589" i="1"/>
  <c r="E5589" i="1"/>
  <c r="A5590" i="1"/>
  <c r="B5590" i="1"/>
  <c r="C5590" i="1"/>
  <c r="D5590" i="1"/>
  <c r="E5590" i="1"/>
  <c r="A5591" i="1"/>
  <c r="B5591" i="1"/>
  <c r="C5591" i="1"/>
  <c r="D5591" i="1"/>
  <c r="E5591" i="1"/>
  <c r="A5592" i="1"/>
  <c r="B5592" i="1"/>
  <c r="C5592" i="1"/>
  <c r="D5592" i="1"/>
  <c r="E5592" i="1"/>
  <c r="A5593" i="1"/>
  <c r="B5593" i="1"/>
  <c r="C5593" i="1"/>
  <c r="D5593" i="1"/>
  <c r="E5593" i="1"/>
  <c r="A5594" i="1"/>
  <c r="B5594" i="1"/>
  <c r="C5594" i="1"/>
  <c r="D5594" i="1"/>
  <c r="E5594" i="1"/>
  <c r="A5595" i="1"/>
  <c r="B5595" i="1"/>
  <c r="C5595" i="1"/>
  <c r="D5595" i="1"/>
  <c r="E5595" i="1"/>
  <c r="A5596" i="1"/>
  <c r="B5596" i="1"/>
  <c r="C5596" i="1"/>
  <c r="D5596" i="1"/>
  <c r="E5596" i="1"/>
  <c r="A5597" i="1"/>
  <c r="B5597" i="1"/>
  <c r="C5597" i="1"/>
  <c r="D5597" i="1"/>
  <c r="E5597" i="1"/>
  <c r="A5598" i="1"/>
  <c r="B5598" i="1"/>
  <c r="C5598" i="1"/>
  <c r="D5598" i="1"/>
  <c r="E5598" i="1"/>
  <c r="A5599" i="1"/>
  <c r="B5599" i="1"/>
  <c r="C5599" i="1"/>
  <c r="D5599" i="1"/>
  <c r="E5599" i="1"/>
  <c r="A5600" i="1"/>
  <c r="B5600" i="1"/>
  <c r="C5600" i="1"/>
  <c r="D5600" i="1"/>
  <c r="E5600" i="1"/>
  <c r="A5601" i="1"/>
  <c r="B5601" i="1"/>
  <c r="C5601" i="1"/>
  <c r="D5601" i="1"/>
  <c r="E5601" i="1"/>
  <c r="A5602" i="1"/>
  <c r="B5602" i="1"/>
  <c r="C5602" i="1"/>
  <c r="D5602" i="1"/>
  <c r="E5602" i="1"/>
  <c r="A5603" i="1"/>
  <c r="B5603" i="1"/>
  <c r="C5603" i="1"/>
  <c r="D5603" i="1"/>
  <c r="E5603" i="1"/>
  <c r="A5604" i="1"/>
  <c r="B5604" i="1"/>
  <c r="C5604" i="1"/>
  <c r="D5604" i="1"/>
  <c r="E5604" i="1"/>
  <c r="A5605" i="1"/>
  <c r="B5605" i="1"/>
  <c r="C5605" i="1"/>
  <c r="D5605" i="1"/>
  <c r="E5605" i="1"/>
  <c r="A5606" i="1"/>
  <c r="B5606" i="1"/>
  <c r="C5606" i="1"/>
  <c r="D5606" i="1"/>
  <c r="E5606" i="1"/>
  <c r="A5607" i="1"/>
  <c r="B5607" i="1"/>
  <c r="C5607" i="1"/>
  <c r="D5607" i="1"/>
  <c r="E5607" i="1"/>
  <c r="A5608" i="1"/>
  <c r="B5608" i="1"/>
  <c r="C5608" i="1"/>
  <c r="D5608" i="1"/>
  <c r="E5608" i="1"/>
  <c r="A5609" i="1"/>
  <c r="B5609" i="1"/>
  <c r="C5609" i="1"/>
  <c r="D5609" i="1"/>
  <c r="E5609" i="1"/>
  <c r="A5610" i="1"/>
  <c r="B5610" i="1"/>
  <c r="C5610" i="1"/>
  <c r="D5610" i="1"/>
  <c r="E5610" i="1"/>
  <c r="A5611" i="1"/>
  <c r="B5611" i="1"/>
  <c r="C5611" i="1"/>
  <c r="D5611" i="1"/>
  <c r="E5611" i="1"/>
  <c r="A5612" i="1"/>
  <c r="B5612" i="1"/>
  <c r="C5612" i="1"/>
  <c r="D5612" i="1"/>
  <c r="E5612" i="1"/>
  <c r="A5613" i="1"/>
  <c r="B5613" i="1"/>
  <c r="C5613" i="1"/>
  <c r="D5613" i="1"/>
  <c r="E5613" i="1"/>
  <c r="A5614" i="1"/>
  <c r="B5614" i="1"/>
  <c r="C5614" i="1"/>
  <c r="D5614" i="1"/>
  <c r="E5614" i="1"/>
  <c r="A5615" i="1"/>
  <c r="B5615" i="1"/>
  <c r="C5615" i="1"/>
  <c r="D5615" i="1"/>
  <c r="E5615" i="1"/>
  <c r="A5616" i="1"/>
  <c r="B5616" i="1"/>
  <c r="C5616" i="1"/>
  <c r="D5616" i="1"/>
  <c r="E5616" i="1"/>
  <c r="A5617" i="1"/>
  <c r="B5617" i="1"/>
  <c r="C5617" i="1"/>
  <c r="D5617" i="1"/>
  <c r="E5617" i="1"/>
  <c r="A5618" i="1"/>
  <c r="B5618" i="1"/>
  <c r="C5618" i="1"/>
  <c r="D5618" i="1"/>
  <c r="E5618" i="1"/>
  <c r="A5619" i="1"/>
  <c r="B5619" i="1"/>
  <c r="C5619" i="1"/>
  <c r="D5619" i="1"/>
  <c r="E5619" i="1"/>
  <c r="A5620" i="1"/>
  <c r="B5620" i="1"/>
  <c r="C5620" i="1"/>
  <c r="D5620" i="1"/>
  <c r="E5620" i="1"/>
  <c r="A5621" i="1"/>
  <c r="B5621" i="1"/>
  <c r="C5621" i="1"/>
  <c r="D5621" i="1"/>
  <c r="E5621" i="1"/>
  <c r="A5622" i="1"/>
  <c r="B5622" i="1"/>
  <c r="C5622" i="1"/>
  <c r="D5622" i="1"/>
  <c r="E5622" i="1"/>
  <c r="A5623" i="1"/>
  <c r="B5623" i="1"/>
  <c r="C5623" i="1"/>
  <c r="D5623" i="1"/>
  <c r="E5623" i="1"/>
  <c r="A5624" i="1"/>
  <c r="B5624" i="1"/>
  <c r="C5624" i="1"/>
  <c r="D5624" i="1"/>
  <c r="E5624" i="1"/>
  <c r="A5625" i="1"/>
  <c r="B5625" i="1"/>
  <c r="C5625" i="1"/>
  <c r="D5625" i="1"/>
  <c r="E5625" i="1"/>
  <c r="A5626" i="1"/>
  <c r="B5626" i="1"/>
  <c r="C5626" i="1"/>
  <c r="D5626" i="1"/>
  <c r="E5626" i="1"/>
  <c r="A5627" i="1"/>
  <c r="B5627" i="1"/>
  <c r="C5627" i="1"/>
  <c r="D5627" i="1"/>
  <c r="E5627" i="1"/>
  <c r="A5628" i="1"/>
  <c r="B5628" i="1"/>
  <c r="C5628" i="1"/>
  <c r="D5628" i="1"/>
  <c r="E5628" i="1"/>
  <c r="A5629" i="1"/>
  <c r="B5629" i="1"/>
  <c r="C5629" i="1"/>
  <c r="D5629" i="1"/>
  <c r="E5629" i="1"/>
  <c r="A5630" i="1"/>
  <c r="B5630" i="1"/>
  <c r="C5630" i="1"/>
  <c r="D5630" i="1"/>
  <c r="E5630" i="1"/>
  <c r="A5631" i="1"/>
  <c r="B5631" i="1"/>
  <c r="C5631" i="1"/>
  <c r="D5631" i="1"/>
  <c r="E5631" i="1"/>
  <c r="A5632" i="1"/>
  <c r="B5632" i="1"/>
  <c r="C5632" i="1"/>
  <c r="D5632" i="1"/>
  <c r="E5632" i="1"/>
  <c r="A5633" i="1"/>
  <c r="B5633" i="1"/>
  <c r="C5633" i="1"/>
  <c r="D5633" i="1"/>
  <c r="E5633" i="1"/>
  <c r="A5634" i="1"/>
  <c r="B5634" i="1"/>
  <c r="C5634" i="1"/>
  <c r="D5634" i="1"/>
  <c r="E5634" i="1"/>
  <c r="A5635" i="1"/>
  <c r="B5635" i="1"/>
  <c r="C5635" i="1"/>
  <c r="D5635" i="1"/>
  <c r="E5635" i="1"/>
  <c r="A5636" i="1"/>
  <c r="B5636" i="1"/>
  <c r="C5636" i="1"/>
  <c r="D5636" i="1"/>
  <c r="E5636" i="1"/>
  <c r="A5637" i="1"/>
  <c r="B5637" i="1"/>
  <c r="C5637" i="1"/>
  <c r="D5637" i="1"/>
  <c r="E5637" i="1"/>
  <c r="A5638" i="1"/>
  <c r="B5638" i="1"/>
  <c r="C5638" i="1"/>
  <c r="D5638" i="1"/>
  <c r="E5638" i="1"/>
  <c r="A5639" i="1"/>
  <c r="B5639" i="1"/>
  <c r="C5639" i="1"/>
  <c r="D5639" i="1"/>
  <c r="E5639" i="1"/>
  <c r="A5640" i="1"/>
  <c r="B5640" i="1"/>
  <c r="C5640" i="1"/>
  <c r="D5640" i="1"/>
  <c r="E5640" i="1"/>
  <c r="A5641" i="1"/>
  <c r="B5641" i="1"/>
  <c r="C5641" i="1"/>
  <c r="D5641" i="1"/>
  <c r="E5641" i="1"/>
  <c r="A5642" i="1"/>
  <c r="B5642" i="1"/>
  <c r="C5642" i="1"/>
  <c r="D5642" i="1"/>
  <c r="E5642" i="1"/>
  <c r="A5643" i="1"/>
  <c r="B5643" i="1"/>
  <c r="C5643" i="1"/>
  <c r="D5643" i="1"/>
  <c r="E5643" i="1"/>
  <c r="A5644" i="1"/>
  <c r="B5644" i="1"/>
  <c r="C5644" i="1"/>
  <c r="D5644" i="1"/>
  <c r="E5644" i="1"/>
  <c r="A5645" i="1"/>
  <c r="B5645" i="1"/>
  <c r="C5645" i="1"/>
  <c r="D5645" i="1"/>
  <c r="E5645" i="1"/>
  <c r="A5646" i="1"/>
  <c r="B5646" i="1"/>
  <c r="C5646" i="1"/>
  <c r="D5646" i="1"/>
  <c r="E5646" i="1"/>
  <c r="A5647" i="1"/>
  <c r="B5647" i="1"/>
  <c r="C5647" i="1"/>
  <c r="D5647" i="1"/>
  <c r="E5647" i="1"/>
  <c r="A5648" i="1"/>
  <c r="B5648" i="1"/>
  <c r="C5648" i="1"/>
  <c r="D5648" i="1"/>
  <c r="E5648" i="1"/>
  <c r="A5649" i="1"/>
  <c r="B5649" i="1"/>
  <c r="C5649" i="1"/>
  <c r="D5649" i="1"/>
  <c r="E5649" i="1"/>
  <c r="A5650" i="1"/>
  <c r="B5650" i="1"/>
  <c r="C5650" i="1"/>
  <c r="D5650" i="1"/>
  <c r="E5650" i="1"/>
  <c r="A5651" i="1"/>
  <c r="B5651" i="1"/>
  <c r="C5651" i="1"/>
  <c r="D5651" i="1"/>
  <c r="E5651" i="1"/>
  <c r="A5652" i="1"/>
  <c r="B5652" i="1"/>
  <c r="C5652" i="1"/>
  <c r="D5652" i="1"/>
  <c r="E5652" i="1"/>
  <c r="A5653" i="1"/>
  <c r="B5653" i="1"/>
  <c r="C5653" i="1"/>
  <c r="D5653" i="1"/>
  <c r="E5653" i="1"/>
  <c r="A5654" i="1"/>
  <c r="B5654" i="1"/>
  <c r="C5654" i="1"/>
  <c r="D5654" i="1"/>
  <c r="E5654" i="1"/>
  <c r="A5655" i="1"/>
  <c r="B5655" i="1"/>
  <c r="C5655" i="1"/>
  <c r="D5655" i="1"/>
  <c r="E5655" i="1"/>
  <c r="A5656" i="1"/>
  <c r="B5656" i="1"/>
  <c r="C5656" i="1"/>
  <c r="D5656" i="1"/>
  <c r="E5656" i="1"/>
  <c r="A5657" i="1"/>
  <c r="B5657" i="1"/>
  <c r="C5657" i="1"/>
  <c r="D5657" i="1"/>
  <c r="E5657" i="1"/>
  <c r="A5658" i="1"/>
  <c r="B5658" i="1"/>
  <c r="C5658" i="1"/>
  <c r="D5658" i="1"/>
  <c r="E5658" i="1"/>
  <c r="A5659" i="1"/>
  <c r="B5659" i="1"/>
  <c r="C5659" i="1"/>
  <c r="D5659" i="1"/>
  <c r="E5659" i="1"/>
  <c r="A5660" i="1"/>
  <c r="B5660" i="1"/>
  <c r="C5660" i="1"/>
  <c r="D5660" i="1"/>
  <c r="E5660" i="1"/>
  <c r="A5661" i="1"/>
  <c r="B5661" i="1"/>
  <c r="C5661" i="1"/>
  <c r="D5661" i="1"/>
  <c r="E5661" i="1"/>
  <c r="A5662" i="1"/>
  <c r="B5662" i="1"/>
  <c r="C5662" i="1"/>
  <c r="D5662" i="1"/>
  <c r="E5662" i="1"/>
  <c r="A5663" i="1"/>
  <c r="B5663" i="1"/>
  <c r="C5663" i="1"/>
  <c r="D5663" i="1"/>
  <c r="E5663" i="1"/>
  <c r="A5664" i="1"/>
  <c r="B5664" i="1"/>
  <c r="C5664" i="1"/>
  <c r="D5664" i="1"/>
  <c r="E5664" i="1"/>
  <c r="A5665" i="1"/>
  <c r="B5665" i="1"/>
  <c r="C5665" i="1"/>
  <c r="D5665" i="1"/>
  <c r="E5665" i="1"/>
  <c r="A5666" i="1"/>
  <c r="B5666" i="1"/>
  <c r="C5666" i="1"/>
  <c r="D5666" i="1"/>
  <c r="E5666" i="1"/>
  <c r="A5667" i="1"/>
  <c r="B5667" i="1"/>
  <c r="C5667" i="1"/>
  <c r="D5667" i="1"/>
  <c r="E5667" i="1"/>
  <c r="A5668" i="1"/>
  <c r="B5668" i="1"/>
  <c r="C5668" i="1"/>
  <c r="D5668" i="1"/>
  <c r="E5668" i="1"/>
  <c r="A5669" i="1"/>
  <c r="B5669" i="1"/>
  <c r="C5669" i="1"/>
  <c r="D5669" i="1"/>
  <c r="E5669" i="1"/>
  <c r="A5670" i="1"/>
  <c r="B5670" i="1"/>
  <c r="C5670" i="1"/>
  <c r="D5670" i="1"/>
  <c r="E5670" i="1"/>
  <c r="A5671" i="1"/>
  <c r="B5671" i="1"/>
  <c r="C5671" i="1"/>
  <c r="D5671" i="1"/>
  <c r="E5671" i="1"/>
  <c r="A5672" i="1"/>
  <c r="B5672" i="1"/>
  <c r="C5672" i="1"/>
  <c r="D5672" i="1"/>
  <c r="E5672" i="1"/>
  <c r="A5673" i="1"/>
  <c r="B5673" i="1"/>
  <c r="C5673" i="1"/>
  <c r="D5673" i="1"/>
  <c r="E5673" i="1"/>
  <c r="A5674" i="1"/>
  <c r="B5674" i="1"/>
  <c r="C5674" i="1"/>
  <c r="D5674" i="1"/>
  <c r="E5674" i="1"/>
  <c r="A5675" i="1"/>
  <c r="B5675" i="1"/>
  <c r="C5675" i="1"/>
  <c r="D5675" i="1"/>
  <c r="E5675" i="1"/>
  <c r="A5676" i="1"/>
  <c r="B5676" i="1"/>
  <c r="C5676" i="1"/>
  <c r="D5676" i="1"/>
  <c r="E5676" i="1"/>
  <c r="A5677" i="1"/>
  <c r="B5677" i="1"/>
  <c r="C5677" i="1"/>
  <c r="D5677" i="1"/>
  <c r="E5677" i="1"/>
  <c r="A5678" i="1"/>
  <c r="B5678" i="1"/>
  <c r="C5678" i="1"/>
  <c r="D5678" i="1"/>
  <c r="E5678" i="1"/>
  <c r="A5679" i="1"/>
  <c r="B5679" i="1"/>
  <c r="C5679" i="1"/>
  <c r="D5679" i="1"/>
  <c r="E5679" i="1"/>
  <c r="A5680" i="1"/>
  <c r="B5680" i="1"/>
  <c r="C5680" i="1"/>
  <c r="D5680" i="1"/>
  <c r="E5680" i="1"/>
  <c r="A5681" i="1"/>
  <c r="B5681" i="1"/>
  <c r="C5681" i="1"/>
  <c r="D5681" i="1"/>
  <c r="E5681" i="1"/>
  <c r="A5682" i="1"/>
  <c r="B5682" i="1"/>
  <c r="C5682" i="1"/>
  <c r="D5682" i="1"/>
  <c r="E5682" i="1"/>
  <c r="A5683" i="1"/>
  <c r="B5683" i="1"/>
  <c r="C5683" i="1"/>
  <c r="D5683" i="1"/>
  <c r="E5683" i="1"/>
  <c r="A5684" i="1"/>
  <c r="B5684" i="1"/>
  <c r="C5684" i="1"/>
  <c r="D5684" i="1"/>
  <c r="E5684" i="1"/>
  <c r="A5685" i="1"/>
  <c r="B5685" i="1"/>
  <c r="C5685" i="1"/>
  <c r="D5685" i="1"/>
  <c r="E5685" i="1"/>
  <c r="A5686" i="1"/>
  <c r="B5686" i="1"/>
  <c r="C5686" i="1"/>
  <c r="D5686" i="1"/>
  <c r="E5686" i="1"/>
  <c r="A5687" i="1"/>
  <c r="B5687" i="1"/>
  <c r="C5687" i="1"/>
  <c r="D5687" i="1"/>
  <c r="E5687" i="1"/>
  <c r="A5688" i="1"/>
  <c r="B5688" i="1"/>
  <c r="C5688" i="1"/>
  <c r="D5688" i="1"/>
  <c r="E5688" i="1"/>
  <c r="A5689" i="1"/>
  <c r="B5689" i="1"/>
  <c r="C5689" i="1"/>
  <c r="D5689" i="1"/>
  <c r="E5689" i="1"/>
  <c r="A5690" i="1"/>
  <c r="B5690" i="1"/>
  <c r="C5690" i="1"/>
  <c r="D5690" i="1"/>
  <c r="E5690" i="1"/>
  <c r="A5691" i="1"/>
  <c r="B5691" i="1"/>
  <c r="C5691" i="1"/>
  <c r="D5691" i="1"/>
  <c r="E5691" i="1"/>
  <c r="A5692" i="1"/>
  <c r="B5692" i="1"/>
  <c r="C5692" i="1"/>
  <c r="D5692" i="1"/>
  <c r="E5692" i="1"/>
  <c r="A5693" i="1"/>
  <c r="B5693" i="1"/>
  <c r="C5693" i="1"/>
  <c r="D5693" i="1"/>
  <c r="E5693" i="1"/>
  <c r="A5694" i="1"/>
  <c r="B5694" i="1"/>
  <c r="C5694" i="1"/>
  <c r="D5694" i="1"/>
  <c r="E5694" i="1"/>
  <c r="A5695" i="1"/>
  <c r="B5695" i="1"/>
  <c r="C5695" i="1"/>
  <c r="D5695" i="1"/>
  <c r="E5695" i="1"/>
  <c r="A5696" i="1"/>
  <c r="B5696" i="1"/>
  <c r="C5696" i="1"/>
  <c r="D5696" i="1"/>
  <c r="E5696" i="1"/>
  <c r="A5697" i="1"/>
  <c r="B5697" i="1"/>
  <c r="C5697" i="1"/>
  <c r="D5697" i="1"/>
  <c r="E5697" i="1"/>
  <c r="A5698" i="1"/>
  <c r="B5698" i="1"/>
  <c r="C5698" i="1"/>
  <c r="D5698" i="1"/>
  <c r="E5698" i="1"/>
  <c r="A5699" i="1"/>
  <c r="B5699" i="1"/>
  <c r="C5699" i="1"/>
  <c r="D5699" i="1"/>
  <c r="E5699" i="1"/>
  <c r="A5700" i="1"/>
  <c r="B5700" i="1"/>
  <c r="C5700" i="1"/>
  <c r="D5700" i="1"/>
  <c r="E5700" i="1"/>
  <c r="A5701" i="1"/>
  <c r="B5701" i="1"/>
  <c r="C5701" i="1"/>
  <c r="D5701" i="1"/>
  <c r="E5701" i="1"/>
  <c r="A5702" i="1"/>
  <c r="B5702" i="1"/>
  <c r="C5702" i="1"/>
  <c r="D5702" i="1"/>
  <c r="E5702" i="1"/>
  <c r="A5703" i="1"/>
  <c r="B5703" i="1"/>
  <c r="C5703" i="1"/>
  <c r="D5703" i="1"/>
  <c r="E5703" i="1"/>
  <c r="A5704" i="1"/>
  <c r="B5704" i="1"/>
  <c r="C5704" i="1"/>
  <c r="D5704" i="1"/>
  <c r="E5704" i="1"/>
  <c r="A5705" i="1"/>
  <c r="B5705" i="1"/>
  <c r="C5705" i="1"/>
  <c r="D5705" i="1"/>
  <c r="E5705" i="1"/>
  <c r="A5706" i="1"/>
  <c r="B5706" i="1"/>
  <c r="C5706" i="1"/>
  <c r="D5706" i="1"/>
  <c r="E5706" i="1"/>
  <c r="A5707" i="1"/>
  <c r="B5707" i="1"/>
  <c r="C5707" i="1"/>
  <c r="D5707" i="1"/>
  <c r="E5707" i="1"/>
  <c r="A5708" i="1"/>
  <c r="B5708" i="1"/>
  <c r="C5708" i="1"/>
  <c r="D5708" i="1"/>
  <c r="E5708" i="1"/>
  <c r="A5709" i="1"/>
  <c r="B5709" i="1"/>
  <c r="C5709" i="1"/>
  <c r="D5709" i="1"/>
  <c r="E5709" i="1"/>
  <c r="A5710" i="1"/>
  <c r="B5710" i="1"/>
  <c r="C5710" i="1"/>
  <c r="D5710" i="1"/>
  <c r="E5710" i="1"/>
  <c r="A5711" i="1"/>
  <c r="B5711" i="1"/>
  <c r="C5711" i="1"/>
  <c r="D5711" i="1"/>
  <c r="E5711" i="1"/>
  <c r="A5712" i="1"/>
  <c r="B5712" i="1"/>
  <c r="C5712" i="1"/>
  <c r="D5712" i="1"/>
  <c r="E5712" i="1"/>
  <c r="A5713" i="1"/>
  <c r="B5713" i="1"/>
  <c r="C5713" i="1"/>
  <c r="D5713" i="1"/>
  <c r="E5713" i="1"/>
  <c r="A5714" i="1"/>
  <c r="B5714" i="1"/>
  <c r="C5714" i="1"/>
  <c r="D5714" i="1"/>
  <c r="E5714" i="1"/>
  <c r="A5715" i="1"/>
  <c r="B5715" i="1"/>
  <c r="C5715" i="1"/>
  <c r="D5715" i="1"/>
  <c r="E5715" i="1"/>
  <c r="A5716" i="1"/>
  <c r="B5716" i="1"/>
  <c r="C5716" i="1"/>
  <c r="D5716" i="1"/>
  <c r="E5716" i="1"/>
  <c r="A5717" i="1"/>
  <c r="B5717" i="1"/>
  <c r="C5717" i="1"/>
  <c r="D5717" i="1"/>
  <c r="E5717" i="1"/>
  <c r="A5718" i="1"/>
  <c r="B5718" i="1"/>
  <c r="C5718" i="1"/>
  <c r="D5718" i="1"/>
  <c r="E5718" i="1"/>
  <c r="A5719" i="1"/>
  <c r="B5719" i="1"/>
  <c r="C5719" i="1"/>
  <c r="D5719" i="1"/>
  <c r="E5719" i="1"/>
  <c r="A5720" i="1"/>
  <c r="B5720" i="1"/>
  <c r="C5720" i="1"/>
  <c r="D5720" i="1"/>
  <c r="E5720" i="1"/>
  <c r="A5721" i="1"/>
  <c r="B5721" i="1"/>
  <c r="C5721" i="1"/>
  <c r="D5721" i="1"/>
  <c r="E5721" i="1"/>
  <c r="A5722" i="1"/>
  <c r="B5722" i="1"/>
  <c r="C5722" i="1"/>
  <c r="D5722" i="1"/>
  <c r="E5722" i="1"/>
  <c r="A5723" i="1"/>
  <c r="B5723" i="1"/>
  <c r="C5723" i="1"/>
  <c r="D5723" i="1"/>
  <c r="E5723" i="1"/>
  <c r="A5724" i="1"/>
  <c r="B5724" i="1"/>
  <c r="C5724" i="1"/>
  <c r="D5724" i="1"/>
  <c r="E5724" i="1"/>
  <c r="A5725" i="1"/>
  <c r="B5725" i="1"/>
  <c r="C5725" i="1"/>
  <c r="D5725" i="1"/>
  <c r="E5725" i="1"/>
  <c r="A5726" i="1"/>
  <c r="B5726" i="1"/>
  <c r="C5726" i="1"/>
  <c r="D5726" i="1"/>
  <c r="E5726" i="1"/>
  <c r="A5727" i="1"/>
  <c r="B5727" i="1"/>
  <c r="C5727" i="1"/>
  <c r="D5727" i="1"/>
  <c r="E5727" i="1"/>
  <c r="A5728" i="1"/>
  <c r="B5728" i="1"/>
  <c r="C5728" i="1"/>
  <c r="D5728" i="1"/>
  <c r="E5728" i="1"/>
  <c r="A5729" i="1"/>
  <c r="B5729" i="1"/>
  <c r="C5729" i="1"/>
  <c r="D5729" i="1"/>
  <c r="E5729" i="1"/>
  <c r="A5730" i="1"/>
  <c r="B5730" i="1"/>
  <c r="C5730" i="1"/>
  <c r="D5730" i="1"/>
  <c r="E5730" i="1"/>
  <c r="A5731" i="1"/>
  <c r="B5731" i="1"/>
  <c r="C5731" i="1"/>
  <c r="D5731" i="1"/>
  <c r="E5731" i="1"/>
  <c r="A5732" i="1"/>
  <c r="B5732" i="1"/>
  <c r="C5732" i="1"/>
  <c r="D5732" i="1"/>
  <c r="E5732" i="1"/>
  <c r="A5733" i="1"/>
  <c r="B5733" i="1"/>
  <c r="C5733" i="1"/>
  <c r="D5733" i="1"/>
  <c r="E5733" i="1"/>
  <c r="A5734" i="1"/>
  <c r="B5734" i="1"/>
  <c r="C5734" i="1"/>
  <c r="D5734" i="1"/>
  <c r="E5734" i="1"/>
  <c r="A5735" i="1"/>
  <c r="B5735" i="1"/>
  <c r="C5735" i="1"/>
  <c r="D5735" i="1"/>
  <c r="E5735" i="1"/>
  <c r="A5736" i="1"/>
  <c r="B5736" i="1"/>
  <c r="C5736" i="1"/>
  <c r="D5736" i="1"/>
  <c r="E5736" i="1"/>
  <c r="A5737" i="1"/>
  <c r="B5737" i="1"/>
  <c r="C5737" i="1"/>
  <c r="D5737" i="1"/>
  <c r="E5737" i="1"/>
  <c r="A5738" i="1"/>
  <c r="B5738" i="1"/>
  <c r="C5738" i="1"/>
  <c r="D5738" i="1"/>
  <c r="E5738" i="1"/>
  <c r="A5739" i="1"/>
  <c r="B5739" i="1"/>
  <c r="C5739" i="1"/>
  <c r="D5739" i="1"/>
  <c r="E5739" i="1"/>
  <c r="A5740" i="1"/>
  <c r="B5740" i="1"/>
  <c r="C5740" i="1"/>
  <c r="D5740" i="1"/>
  <c r="E5740" i="1"/>
  <c r="A5741" i="1"/>
  <c r="B5741" i="1"/>
  <c r="C5741" i="1"/>
  <c r="D5741" i="1"/>
  <c r="E5741" i="1"/>
  <c r="A5742" i="1"/>
  <c r="B5742" i="1"/>
  <c r="C5742" i="1"/>
  <c r="D5742" i="1"/>
  <c r="E5742" i="1"/>
  <c r="A5743" i="1"/>
  <c r="B5743" i="1"/>
  <c r="C5743" i="1"/>
  <c r="D5743" i="1"/>
  <c r="E5743" i="1"/>
  <c r="A5744" i="1"/>
  <c r="B5744" i="1"/>
  <c r="C5744" i="1"/>
  <c r="D5744" i="1"/>
  <c r="E5744" i="1"/>
  <c r="A5745" i="1"/>
  <c r="B5745" i="1"/>
  <c r="C5745" i="1"/>
  <c r="D5745" i="1"/>
  <c r="E5745" i="1"/>
  <c r="A5746" i="1"/>
  <c r="B5746" i="1"/>
  <c r="C5746" i="1"/>
  <c r="D5746" i="1"/>
  <c r="E5746" i="1"/>
  <c r="A5747" i="1"/>
  <c r="B5747" i="1"/>
  <c r="C5747" i="1"/>
  <c r="D5747" i="1"/>
  <c r="E5747" i="1"/>
  <c r="A5748" i="1"/>
  <c r="B5748" i="1"/>
  <c r="C5748" i="1"/>
  <c r="D5748" i="1"/>
  <c r="E5748" i="1"/>
  <c r="A5749" i="1"/>
  <c r="B5749" i="1"/>
  <c r="C5749" i="1"/>
  <c r="D5749" i="1"/>
  <c r="E5749" i="1"/>
  <c r="A5750" i="1"/>
  <c r="B5750" i="1"/>
  <c r="C5750" i="1"/>
  <c r="D5750" i="1"/>
  <c r="E5750" i="1"/>
  <c r="A5751" i="1"/>
  <c r="B5751" i="1"/>
  <c r="C5751" i="1"/>
  <c r="D5751" i="1"/>
  <c r="E5751" i="1"/>
  <c r="A5752" i="1"/>
  <c r="B5752" i="1"/>
  <c r="C5752" i="1"/>
  <c r="D5752" i="1"/>
  <c r="E5752" i="1"/>
  <c r="A5753" i="1"/>
  <c r="B5753" i="1"/>
  <c r="C5753" i="1"/>
  <c r="D5753" i="1"/>
  <c r="E5753" i="1"/>
  <c r="A5754" i="1"/>
  <c r="B5754" i="1"/>
  <c r="C5754" i="1"/>
  <c r="D5754" i="1"/>
  <c r="E5754" i="1"/>
  <c r="A5755" i="1"/>
  <c r="B5755" i="1"/>
  <c r="C5755" i="1"/>
  <c r="D5755" i="1"/>
  <c r="E5755" i="1"/>
  <c r="A5756" i="1"/>
  <c r="B5756" i="1"/>
  <c r="C5756" i="1"/>
  <c r="D5756" i="1"/>
  <c r="E5756" i="1"/>
  <c r="A5757" i="1"/>
  <c r="B5757" i="1"/>
  <c r="C5757" i="1"/>
  <c r="D5757" i="1"/>
  <c r="E5757" i="1"/>
  <c r="A5758" i="1"/>
  <c r="B5758" i="1"/>
  <c r="C5758" i="1"/>
  <c r="D5758" i="1"/>
  <c r="E5758" i="1"/>
  <c r="A5759" i="1"/>
  <c r="B5759" i="1"/>
  <c r="C5759" i="1"/>
  <c r="D5759" i="1"/>
  <c r="E5759" i="1"/>
  <c r="A5760" i="1"/>
  <c r="B5760" i="1"/>
  <c r="C5760" i="1"/>
  <c r="D5760" i="1"/>
  <c r="E5760" i="1"/>
  <c r="A5761" i="1"/>
  <c r="B5761" i="1"/>
  <c r="C5761" i="1"/>
  <c r="D5761" i="1"/>
  <c r="E5761" i="1"/>
  <c r="A5762" i="1"/>
  <c r="B5762" i="1"/>
  <c r="C5762" i="1"/>
  <c r="D5762" i="1"/>
  <c r="E5762" i="1"/>
  <c r="A5763" i="1"/>
  <c r="B5763" i="1"/>
  <c r="C5763" i="1"/>
  <c r="D5763" i="1"/>
  <c r="E5763" i="1"/>
  <c r="A5764" i="1"/>
  <c r="B5764" i="1"/>
  <c r="C5764" i="1"/>
  <c r="D5764" i="1"/>
  <c r="E5764" i="1"/>
  <c r="A5765" i="1"/>
  <c r="B5765" i="1"/>
  <c r="C5765" i="1"/>
  <c r="D5765" i="1"/>
  <c r="E5765" i="1"/>
  <c r="A5766" i="1"/>
  <c r="B5766" i="1"/>
  <c r="C5766" i="1"/>
  <c r="D5766" i="1"/>
  <c r="E5766" i="1"/>
  <c r="A5767" i="1"/>
  <c r="B5767" i="1"/>
  <c r="C5767" i="1"/>
  <c r="D5767" i="1"/>
  <c r="E5767" i="1"/>
  <c r="A5768" i="1"/>
  <c r="B5768" i="1"/>
  <c r="C5768" i="1"/>
  <c r="D5768" i="1"/>
  <c r="E5768" i="1"/>
  <c r="A5769" i="1"/>
  <c r="B5769" i="1"/>
  <c r="C5769" i="1"/>
  <c r="D5769" i="1"/>
  <c r="E5769" i="1"/>
  <c r="A5770" i="1"/>
  <c r="B5770" i="1"/>
  <c r="C5770" i="1"/>
  <c r="D5770" i="1"/>
  <c r="E5770" i="1"/>
  <c r="A5771" i="1"/>
  <c r="B5771" i="1"/>
  <c r="C5771" i="1"/>
  <c r="D5771" i="1"/>
  <c r="E5771" i="1"/>
  <c r="A5772" i="1"/>
  <c r="B5772" i="1"/>
  <c r="C5772" i="1"/>
  <c r="D5772" i="1"/>
  <c r="E5772" i="1"/>
  <c r="A5773" i="1"/>
  <c r="B5773" i="1"/>
  <c r="C5773" i="1"/>
  <c r="D5773" i="1"/>
  <c r="E5773" i="1"/>
  <c r="A5774" i="1"/>
  <c r="B5774" i="1"/>
  <c r="C5774" i="1"/>
  <c r="D5774" i="1"/>
  <c r="E5774" i="1"/>
  <c r="A5775" i="1"/>
  <c r="B5775" i="1"/>
  <c r="C5775" i="1"/>
  <c r="D5775" i="1"/>
  <c r="E5775" i="1"/>
  <c r="A5776" i="1"/>
  <c r="B5776" i="1"/>
  <c r="C5776" i="1"/>
  <c r="D5776" i="1"/>
  <c r="E5776" i="1"/>
  <c r="A5777" i="1"/>
  <c r="B5777" i="1"/>
  <c r="C5777" i="1"/>
  <c r="D5777" i="1"/>
  <c r="E5777" i="1"/>
  <c r="A5778" i="1"/>
  <c r="B5778" i="1"/>
  <c r="C5778" i="1"/>
  <c r="D5778" i="1"/>
  <c r="E5778" i="1"/>
  <c r="A5779" i="1"/>
  <c r="B5779" i="1"/>
  <c r="C5779" i="1"/>
  <c r="D5779" i="1"/>
  <c r="E5779" i="1"/>
  <c r="A5780" i="1"/>
  <c r="B5780" i="1"/>
  <c r="C5780" i="1"/>
  <c r="D5780" i="1"/>
  <c r="E5780" i="1"/>
  <c r="A5781" i="1"/>
  <c r="B5781" i="1"/>
  <c r="C5781" i="1"/>
  <c r="D5781" i="1"/>
  <c r="E5781" i="1"/>
  <c r="A5782" i="1"/>
  <c r="B5782" i="1"/>
  <c r="C5782" i="1"/>
  <c r="D5782" i="1"/>
  <c r="E5782" i="1"/>
  <c r="A5783" i="1"/>
  <c r="B5783" i="1"/>
  <c r="C5783" i="1"/>
  <c r="D5783" i="1"/>
  <c r="E5783" i="1"/>
  <c r="A5784" i="1"/>
  <c r="B5784" i="1"/>
  <c r="C5784" i="1"/>
  <c r="D5784" i="1"/>
  <c r="E5784" i="1"/>
  <c r="A5785" i="1"/>
  <c r="B5785" i="1"/>
  <c r="C5785" i="1"/>
  <c r="D5785" i="1"/>
  <c r="E5785" i="1"/>
  <c r="A5786" i="1"/>
  <c r="B5786" i="1"/>
  <c r="C5786" i="1"/>
  <c r="D5786" i="1"/>
  <c r="E5786" i="1"/>
  <c r="A5787" i="1"/>
  <c r="B5787" i="1"/>
  <c r="C5787" i="1"/>
  <c r="D5787" i="1"/>
  <c r="E5787" i="1"/>
  <c r="A5788" i="1"/>
  <c r="B5788" i="1"/>
  <c r="C5788" i="1"/>
  <c r="D5788" i="1"/>
  <c r="E5788" i="1"/>
  <c r="A5789" i="1"/>
  <c r="B5789" i="1"/>
  <c r="C5789" i="1"/>
  <c r="D5789" i="1"/>
  <c r="E5789" i="1"/>
  <c r="A5790" i="1"/>
  <c r="B5790" i="1"/>
  <c r="C5790" i="1"/>
  <c r="D5790" i="1"/>
  <c r="E5790" i="1"/>
  <c r="A5791" i="1"/>
  <c r="B5791" i="1"/>
  <c r="C5791" i="1"/>
  <c r="D5791" i="1"/>
  <c r="E5791" i="1"/>
  <c r="A5792" i="1"/>
  <c r="B5792" i="1"/>
  <c r="C5792" i="1"/>
  <c r="D5792" i="1"/>
  <c r="E5792" i="1"/>
  <c r="A5793" i="1"/>
  <c r="B5793" i="1"/>
  <c r="C5793" i="1"/>
  <c r="D5793" i="1"/>
  <c r="E5793" i="1"/>
  <c r="A5794" i="1"/>
  <c r="B5794" i="1"/>
  <c r="C5794" i="1"/>
  <c r="D5794" i="1"/>
  <c r="E5794" i="1"/>
  <c r="A5795" i="1"/>
  <c r="B5795" i="1"/>
  <c r="C5795" i="1"/>
  <c r="D5795" i="1"/>
  <c r="E5795" i="1"/>
  <c r="A5796" i="1"/>
  <c r="B5796" i="1"/>
  <c r="C5796" i="1"/>
  <c r="D5796" i="1"/>
  <c r="E5796" i="1"/>
  <c r="A5797" i="1"/>
  <c r="B5797" i="1"/>
  <c r="C5797" i="1"/>
  <c r="D5797" i="1"/>
  <c r="E5797" i="1"/>
  <c r="A5798" i="1"/>
  <c r="B5798" i="1"/>
  <c r="C5798" i="1"/>
  <c r="D5798" i="1"/>
  <c r="E5798" i="1"/>
  <c r="A5799" i="1"/>
  <c r="B5799" i="1"/>
  <c r="C5799" i="1"/>
  <c r="D5799" i="1"/>
  <c r="E5799" i="1"/>
  <c r="A5800" i="1"/>
  <c r="B5800" i="1"/>
  <c r="C5800" i="1"/>
  <c r="D5800" i="1"/>
  <c r="E5800" i="1"/>
  <c r="A5801" i="1"/>
  <c r="B5801" i="1"/>
  <c r="C5801" i="1"/>
  <c r="D5801" i="1"/>
  <c r="E5801" i="1"/>
  <c r="A5802" i="1"/>
  <c r="B5802" i="1"/>
  <c r="C5802" i="1"/>
  <c r="D5802" i="1"/>
  <c r="E5802" i="1"/>
  <c r="A5803" i="1"/>
  <c r="B5803" i="1"/>
  <c r="C5803" i="1"/>
  <c r="D5803" i="1"/>
  <c r="E5803" i="1"/>
  <c r="A5804" i="1"/>
  <c r="B5804" i="1"/>
  <c r="C5804" i="1"/>
  <c r="D5804" i="1"/>
  <c r="E5804" i="1"/>
  <c r="A5805" i="1"/>
  <c r="B5805" i="1"/>
  <c r="C5805" i="1"/>
  <c r="D5805" i="1"/>
  <c r="E5805" i="1"/>
  <c r="A5806" i="1"/>
  <c r="B5806" i="1"/>
  <c r="C5806" i="1"/>
  <c r="D5806" i="1"/>
  <c r="E5806" i="1"/>
  <c r="A5807" i="1"/>
  <c r="B5807" i="1"/>
  <c r="C5807" i="1"/>
  <c r="D5807" i="1"/>
  <c r="E5807" i="1"/>
  <c r="A5808" i="1"/>
  <c r="B5808" i="1"/>
  <c r="C5808" i="1"/>
  <c r="D5808" i="1"/>
  <c r="E5808" i="1"/>
  <c r="A5809" i="1"/>
  <c r="B5809" i="1"/>
  <c r="C5809" i="1"/>
  <c r="D5809" i="1"/>
  <c r="E5809" i="1"/>
  <c r="A5810" i="1"/>
  <c r="B5810" i="1"/>
  <c r="C5810" i="1"/>
  <c r="D5810" i="1"/>
  <c r="E5810" i="1"/>
  <c r="A5811" i="1"/>
  <c r="B5811" i="1"/>
  <c r="C5811" i="1"/>
  <c r="D5811" i="1"/>
  <c r="E5811" i="1"/>
  <c r="A5812" i="1"/>
  <c r="B5812" i="1"/>
  <c r="C5812" i="1"/>
  <c r="D5812" i="1"/>
  <c r="E5812" i="1"/>
  <c r="A5813" i="1"/>
  <c r="B5813" i="1"/>
  <c r="C5813" i="1"/>
  <c r="D5813" i="1"/>
  <c r="E5813" i="1"/>
  <c r="A5814" i="1"/>
  <c r="B5814" i="1"/>
  <c r="C5814" i="1"/>
  <c r="D5814" i="1"/>
  <c r="E5814" i="1"/>
  <c r="A5815" i="1"/>
  <c r="B5815" i="1"/>
  <c r="C5815" i="1"/>
  <c r="D5815" i="1"/>
  <c r="E5815" i="1"/>
  <c r="A5816" i="1"/>
  <c r="B5816" i="1"/>
  <c r="C5816" i="1"/>
  <c r="D5816" i="1"/>
  <c r="E5816" i="1"/>
  <c r="A5817" i="1"/>
  <c r="B5817" i="1"/>
  <c r="C5817" i="1"/>
  <c r="D5817" i="1"/>
  <c r="E5817" i="1"/>
  <c r="A5818" i="1"/>
  <c r="B5818" i="1"/>
  <c r="C5818" i="1"/>
  <c r="D5818" i="1"/>
  <c r="E5818" i="1"/>
  <c r="A5819" i="1"/>
  <c r="B5819" i="1"/>
  <c r="C5819" i="1"/>
  <c r="D5819" i="1"/>
  <c r="E5819" i="1"/>
  <c r="A5820" i="1"/>
  <c r="B5820" i="1"/>
  <c r="C5820" i="1"/>
  <c r="D5820" i="1"/>
  <c r="E5820" i="1"/>
  <c r="A5821" i="1"/>
  <c r="B5821" i="1"/>
  <c r="C5821" i="1"/>
  <c r="D5821" i="1"/>
  <c r="E5821" i="1"/>
  <c r="A5822" i="1"/>
  <c r="B5822" i="1"/>
  <c r="C5822" i="1"/>
  <c r="D5822" i="1"/>
  <c r="E5822" i="1"/>
  <c r="A5823" i="1"/>
  <c r="B5823" i="1"/>
  <c r="C5823" i="1"/>
  <c r="D5823" i="1"/>
  <c r="E5823" i="1"/>
  <c r="A5824" i="1"/>
  <c r="B5824" i="1"/>
  <c r="C5824" i="1"/>
  <c r="D5824" i="1"/>
  <c r="E5824" i="1"/>
  <c r="A5825" i="1"/>
  <c r="B5825" i="1"/>
  <c r="C5825" i="1"/>
  <c r="D5825" i="1"/>
  <c r="E5825" i="1"/>
  <c r="A5826" i="1"/>
  <c r="B5826" i="1"/>
  <c r="C5826" i="1"/>
  <c r="D5826" i="1"/>
  <c r="E5826" i="1"/>
  <c r="A5827" i="1"/>
  <c r="B5827" i="1"/>
  <c r="C5827" i="1"/>
  <c r="D5827" i="1"/>
  <c r="E5827" i="1"/>
  <c r="A5828" i="1"/>
  <c r="B5828" i="1"/>
  <c r="C5828" i="1"/>
  <c r="D5828" i="1"/>
  <c r="E5828" i="1"/>
  <c r="A5829" i="1"/>
  <c r="B5829" i="1"/>
  <c r="C5829" i="1"/>
  <c r="D5829" i="1"/>
  <c r="E5829" i="1"/>
  <c r="A5830" i="1"/>
  <c r="B5830" i="1"/>
  <c r="C5830" i="1"/>
  <c r="D5830" i="1"/>
  <c r="E5830" i="1"/>
  <c r="A5831" i="1"/>
  <c r="B5831" i="1"/>
  <c r="C5831" i="1"/>
  <c r="D5831" i="1"/>
  <c r="E5831" i="1"/>
  <c r="A5832" i="1"/>
  <c r="B5832" i="1"/>
  <c r="C5832" i="1"/>
  <c r="D5832" i="1"/>
  <c r="E5832" i="1"/>
  <c r="A5833" i="1"/>
  <c r="B5833" i="1"/>
  <c r="C5833" i="1"/>
  <c r="D5833" i="1"/>
  <c r="E5833" i="1"/>
  <c r="A5834" i="1"/>
  <c r="B5834" i="1"/>
  <c r="C5834" i="1"/>
  <c r="D5834" i="1"/>
  <c r="E5834" i="1"/>
  <c r="A5835" i="1"/>
  <c r="B5835" i="1"/>
  <c r="C5835" i="1"/>
  <c r="D5835" i="1"/>
  <c r="E5835" i="1"/>
  <c r="A5836" i="1"/>
  <c r="B5836" i="1"/>
  <c r="C5836" i="1"/>
  <c r="D5836" i="1"/>
  <c r="E5836" i="1"/>
  <c r="A5837" i="1"/>
  <c r="B5837" i="1"/>
  <c r="C5837" i="1"/>
  <c r="D5837" i="1"/>
  <c r="E5837" i="1"/>
  <c r="A5838" i="1"/>
  <c r="B5838" i="1"/>
  <c r="C5838" i="1"/>
  <c r="D5838" i="1"/>
  <c r="E5838" i="1"/>
  <c r="A5839" i="1"/>
  <c r="B5839" i="1"/>
  <c r="C5839" i="1"/>
  <c r="D5839" i="1"/>
  <c r="E5839" i="1"/>
  <c r="A5840" i="1"/>
  <c r="B5840" i="1"/>
  <c r="C5840" i="1"/>
  <c r="D5840" i="1"/>
  <c r="E5840" i="1"/>
  <c r="A5841" i="1"/>
  <c r="B5841" i="1"/>
  <c r="C5841" i="1"/>
  <c r="D5841" i="1"/>
  <c r="E5841" i="1"/>
  <c r="A5842" i="1"/>
  <c r="B5842" i="1"/>
  <c r="C5842" i="1"/>
  <c r="D5842" i="1"/>
  <c r="E5842" i="1"/>
  <c r="A5843" i="1"/>
  <c r="B5843" i="1"/>
  <c r="C5843" i="1"/>
  <c r="D5843" i="1"/>
  <c r="E5843" i="1"/>
  <c r="A5844" i="1"/>
  <c r="B5844" i="1"/>
  <c r="C5844" i="1"/>
  <c r="D5844" i="1"/>
  <c r="E5844" i="1"/>
  <c r="A5845" i="1"/>
  <c r="B5845" i="1"/>
  <c r="C5845" i="1"/>
  <c r="D5845" i="1"/>
  <c r="E5845" i="1"/>
  <c r="A5846" i="1"/>
  <c r="B5846" i="1"/>
  <c r="C5846" i="1"/>
  <c r="D5846" i="1"/>
  <c r="E5846" i="1"/>
  <c r="A5847" i="1"/>
  <c r="B5847" i="1"/>
  <c r="C5847" i="1"/>
  <c r="D5847" i="1"/>
  <c r="E5847" i="1"/>
  <c r="A5848" i="1"/>
  <c r="B5848" i="1"/>
  <c r="C5848" i="1"/>
  <c r="D5848" i="1"/>
  <c r="E5848" i="1"/>
  <c r="A5849" i="1"/>
  <c r="B5849" i="1"/>
  <c r="C5849" i="1"/>
  <c r="D5849" i="1"/>
  <c r="E5849" i="1"/>
  <c r="A5850" i="1"/>
  <c r="B5850" i="1"/>
  <c r="C5850" i="1"/>
  <c r="D5850" i="1"/>
  <c r="E5850" i="1"/>
  <c r="A5851" i="1"/>
  <c r="B5851" i="1"/>
  <c r="C5851" i="1"/>
  <c r="D5851" i="1"/>
  <c r="E5851" i="1"/>
  <c r="A5852" i="1"/>
  <c r="B5852" i="1"/>
  <c r="C5852" i="1"/>
  <c r="D5852" i="1"/>
  <c r="E5852" i="1"/>
  <c r="A5853" i="1"/>
  <c r="B5853" i="1"/>
  <c r="C5853" i="1"/>
  <c r="D5853" i="1"/>
  <c r="E5853" i="1"/>
  <c r="A5854" i="1"/>
  <c r="B5854" i="1"/>
  <c r="C5854" i="1"/>
  <c r="D5854" i="1"/>
  <c r="E5854" i="1"/>
  <c r="A5855" i="1"/>
  <c r="B5855" i="1"/>
  <c r="C5855" i="1"/>
  <c r="D5855" i="1"/>
  <c r="E5855" i="1"/>
  <c r="A5856" i="1"/>
  <c r="B5856" i="1"/>
  <c r="C5856" i="1"/>
  <c r="D5856" i="1"/>
  <c r="E5856" i="1"/>
  <c r="A5857" i="1"/>
  <c r="B5857" i="1"/>
  <c r="C5857" i="1"/>
  <c r="D5857" i="1"/>
  <c r="E5857" i="1"/>
  <c r="A5858" i="1"/>
  <c r="B5858" i="1"/>
  <c r="C5858" i="1"/>
  <c r="D5858" i="1"/>
  <c r="E5858" i="1"/>
  <c r="A5859" i="1"/>
  <c r="B5859" i="1"/>
  <c r="C5859" i="1"/>
  <c r="D5859" i="1"/>
  <c r="E5859" i="1"/>
  <c r="A5860" i="1"/>
  <c r="B5860" i="1"/>
  <c r="C5860" i="1"/>
  <c r="D5860" i="1"/>
  <c r="E5860" i="1"/>
  <c r="A5861" i="1"/>
  <c r="B5861" i="1"/>
  <c r="C5861" i="1"/>
  <c r="D5861" i="1"/>
  <c r="E5861" i="1"/>
  <c r="A5862" i="1"/>
  <c r="B5862" i="1"/>
  <c r="C5862" i="1"/>
  <c r="D5862" i="1"/>
  <c r="E5862" i="1"/>
  <c r="A5863" i="1"/>
  <c r="B5863" i="1"/>
  <c r="C5863" i="1"/>
  <c r="D5863" i="1"/>
  <c r="E5863" i="1"/>
  <c r="A5864" i="1"/>
  <c r="B5864" i="1"/>
  <c r="C5864" i="1"/>
  <c r="D5864" i="1"/>
  <c r="E5864" i="1"/>
  <c r="A5865" i="1"/>
  <c r="B5865" i="1"/>
  <c r="C5865" i="1"/>
  <c r="D5865" i="1"/>
  <c r="E5865" i="1"/>
  <c r="A5866" i="1"/>
  <c r="B5866" i="1"/>
  <c r="C5866" i="1"/>
  <c r="D5866" i="1"/>
  <c r="E5866" i="1"/>
  <c r="A5867" i="1"/>
  <c r="B5867" i="1"/>
  <c r="C5867" i="1"/>
  <c r="D5867" i="1"/>
  <c r="E5867" i="1"/>
  <c r="A5868" i="1"/>
  <c r="B5868" i="1"/>
  <c r="C5868" i="1"/>
  <c r="D5868" i="1"/>
  <c r="E5868" i="1"/>
  <c r="A5869" i="1"/>
  <c r="B5869" i="1"/>
  <c r="C5869" i="1"/>
  <c r="D5869" i="1"/>
  <c r="E5869" i="1"/>
  <c r="A5870" i="1"/>
  <c r="B5870" i="1"/>
  <c r="C5870" i="1"/>
  <c r="D5870" i="1"/>
  <c r="E5870" i="1"/>
  <c r="A5871" i="1"/>
  <c r="B5871" i="1"/>
  <c r="C5871" i="1"/>
  <c r="D5871" i="1"/>
  <c r="E5871" i="1"/>
  <c r="A5872" i="1"/>
  <c r="B5872" i="1"/>
  <c r="C5872" i="1"/>
  <c r="D5872" i="1"/>
  <c r="E5872" i="1"/>
  <c r="A5873" i="1"/>
  <c r="B5873" i="1"/>
  <c r="C5873" i="1"/>
  <c r="D5873" i="1"/>
  <c r="E5873" i="1"/>
  <c r="A5874" i="1"/>
  <c r="B5874" i="1"/>
  <c r="C5874" i="1"/>
  <c r="D5874" i="1"/>
  <c r="E5874" i="1"/>
  <c r="A5875" i="1"/>
  <c r="B5875" i="1"/>
  <c r="C5875" i="1"/>
  <c r="D5875" i="1"/>
  <c r="E5875" i="1"/>
  <c r="A5876" i="1"/>
  <c r="B5876" i="1"/>
  <c r="C5876" i="1"/>
  <c r="D5876" i="1"/>
  <c r="E5876" i="1"/>
  <c r="A5877" i="1"/>
  <c r="B5877" i="1"/>
  <c r="C5877" i="1"/>
  <c r="D5877" i="1"/>
  <c r="E5877" i="1"/>
  <c r="A5878" i="1"/>
  <c r="B5878" i="1"/>
  <c r="C5878" i="1"/>
  <c r="D5878" i="1"/>
  <c r="E5878" i="1"/>
  <c r="A5879" i="1"/>
  <c r="B5879" i="1"/>
  <c r="C5879" i="1"/>
  <c r="D5879" i="1"/>
  <c r="E5879" i="1"/>
  <c r="A5880" i="1"/>
  <c r="B5880" i="1"/>
  <c r="C5880" i="1"/>
  <c r="D5880" i="1"/>
  <c r="E5880" i="1"/>
  <c r="A5881" i="1"/>
  <c r="B5881" i="1"/>
  <c r="C5881" i="1"/>
  <c r="D5881" i="1"/>
  <c r="E5881" i="1"/>
  <c r="A5882" i="1"/>
  <c r="B5882" i="1"/>
  <c r="C5882" i="1"/>
  <c r="D5882" i="1"/>
  <c r="E5882" i="1"/>
  <c r="A5883" i="1"/>
  <c r="B5883" i="1"/>
  <c r="C5883" i="1"/>
  <c r="D5883" i="1"/>
  <c r="E5883" i="1"/>
  <c r="A5884" i="1"/>
  <c r="B5884" i="1"/>
  <c r="C5884" i="1"/>
  <c r="D5884" i="1"/>
  <c r="E5884" i="1"/>
  <c r="A5885" i="1"/>
  <c r="B5885" i="1"/>
  <c r="C5885" i="1"/>
  <c r="D5885" i="1"/>
  <c r="E5885" i="1"/>
  <c r="A5886" i="1"/>
  <c r="B5886" i="1"/>
  <c r="C5886" i="1"/>
  <c r="D5886" i="1"/>
  <c r="E5886" i="1"/>
  <c r="A5887" i="1"/>
  <c r="B5887" i="1"/>
  <c r="C5887" i="1"/>
  <c r="D5887" i="1"/>
  <c r="E5887" i="1"/>
  <c r="A5888" i="1"/>
  <c r="B5888" i="1"/>
  <c r="C5888" i="1"/>
  <c r="D5888" i="1"/>
  <c r="E5888" i="1"/>
  <c r="A5889" i="1"/>
  <c r="B5889" i="1"/>
  <c r="C5889" i="1"/>
  <c r="D5889" i="1"/>
  <c r="E5889" i="1"/>
  <c r="A5890" i="1"/>
  <c r="B5890" i="1"/>
  <c r="C5890" i="1"/>
  <c r="D5890" i="1"/>
  <c r="E5890" i="1"/>
  <c r="A5891" i="1"/>
  <c r="B5891" i="1"/>
  <c r="C5891" i="1"/>
  <c r="D5891" i="1"/>
  <c r="E5891" i="1"/>
  <c r="A5892" i="1"/>
  <c r="B5892" i="1"/>
  <c r="C5892" i="1"/>
  <c r="D5892" i="1"/>
  <c r="E5892" i="1"/>
  <c r="A5893" i="1"/>
  <c r="B5893" i="1"/>
  <c r="C5893" i="1"/>
  <c r="D5893" i="1"/>
  <c r="E5893" i="1"/>
  <c r="A5894" i="1"/>
  <c r="B5894" i="1"/>
  <c r="C5894" i="1"/>
  <c r="D5894" i="1"/>
  <c r="E5894" i="1"/>
  <c r="A5895" i="1"/>
  <c r="B5895" i="1"/>
  <c r="C5895" i="1"/>
  <c r="D5895" i="1"/>
  <c r="E5895" i="1"/>
  <c r="A5896" i="1"/>
  <c r="B5896" i="1"/>
  <c r="C5896" i="1"/>
  <c r="D5896" i="1"/>
  <c r="E5896" i="1"/>
  <c r="A5897" i="1"/>
  <c r="B5897" i="1"/>
  <c r="C5897" i="1"/>
  <c r="D5897" i="1"/>
  <c r="E5897" i="1"/>
  <c r="A5898" i="1"/>
  <c r="B5898" i="1"/>
  <c r="C5898" i="1"/>
  <c r="D5898" i="1"/>
  <c r="E5898" i="1"/>
  <c r="A5899" i="1"/>
  <c r="B5899" i="1"/>
  <c r="C5899" i="1"/>
  <c r="D5899" i="1"/>
  <c r="E5899" i="1"/>
  <c r="A5900" i="1"/>
  <c r="B5900" i="1"/>
  <c r="C5900" i="1"/>
  <c r="D5900" i="1"/>
  <c r="E5900" i="1"/>
  <c r="A5901" i="1"/>
  <c r="B5901" i="1"/>
  <c r="C5901" i="1"/>
  <c r="D5901" i="1"/>
  <c r="E5901" i="1"/>
  <c r="A5902" i="1"/>
  <c r="B5902" i="1"/>
  <c r="C5902" i="1"/>
  <c r="D5902" i="1"/>
  <c r="E5902" i="1"/>
  <c r="A5903" i="1"/>
  <c r="B5903" i="1"/>
  <c r="C5903" i="1"/>
  <c r="D5903" i="1"/>
  <c r="E5903" i="1"/>
  <c r="A5904" i="1"/>
  <c r="B5904" i="1"/>
  <c r="C5904" i="1"/>
  <c r="D5904" i="1"/>
  <c r="E5904" i="1"/>
  <c r="A5905" i="1"/>
  <c r="B5905" i="1"/>
  <c r="C5905" i="1"/>
  <c r="D5905" i="1"/>
  <c r="E5905" i="1"/>
  <c r="A5906" i="1"/>
  <c r="B5906" i="1"/>
  <c r="C5906" i="1"/>
  <c r="D5906" i="1"/>
  <c r="E5906" i="1"/>
  <c r="A5907" i="1"/>
  <c r="B5907" i="1"/>
  <c r="C5907" i="1"/>
  <c r="D5907" i="1"/>
  <c r="E5907" i="1"/>
  <c r="A5908" i="1"/>
  <c r="B5908" i="1"/>
  <c r="C5908" i="1"/>
  <c r="D5908" i="1"/>
  <c r="E5908" i="1"/>
  <c r="A5909" i="1"/>
  <c r="B5909" i="1"/>
  <c r="C5909" i="1"/>
  <c r="D5909" i="1"/>
  <c r="E5909" i="1"/>
  <c r="A5910" i="1"/>
  <c r="B5910" i="1"/>
  <c r="C5910" i="1"/>
  <c r="D5910" i="1"/>
  <c r="E5910" i="1"/>
  <c r="A5911" i="1"/>
  <c r="B5911" i="1"/>
  <c r="C5911" i="1"/>
  <c r="D5911" i="1"/>
  <c r="E5911" i="1"/>
  <c r="A5912" i="1"/>
  <c r="B5912" i="1"/>
  <c r="C5912" i="1"/>
  <c r="D5912" i="1"/>
  <c r="E5912" i="1"/>
  <c r="A5913" i="1"/>
  <c r="B5913" i="1"/>
  <c r="C5913" i="1"/>
  <c r="D5913" i="1"/>
  <c r="E5913" i="1"/>
  <c r="A5914" i="1"/>
  <c r="B5914" i="1"/>
  <c r="C5914" i="1"/>
  <c r="D5914" i="1"/>
  <c r="E5914" i="1"/>
  <c r="A5915" i="1"/>
  <c r="B5915" i="1"/>
  <c r="C5915" i="1"/>
  <c r="D5915" i="1"/>
  <c r="E5915" i="1"/>
  <c r="A5916" i="1"/>
  <c r="B5916" i="1"/>
  <c r="C5916" i="1"/>
  <c r="D5916" i="1"/>
  <c r="E5916" i="1"/>
  <c r="A5917" i="1"/>
  <c r="B5917" i="1"/>
  <c r="C5917" i="1"/>
  <c r="D5917" i="1"/>
  <c r="E5917" i="1"/>
  <c r="A5918" i="1"/>
  <c r="B5918" i="1"/>
  <c r="C5918" i="1"/>
  <c r="D5918" i="1"/>
  <c r="E5918" i="1"/>
  <c r="A5919" i="1"/>
  <c r="B5919" i="1"/>
  <c r="C5919" i="1"/>
  <c r="D5919" i="1"/>
  <c r="E5919" i="1"/>
  <c r="A5920" i="1"/>
  <c r="B5920" i="1"/>
  <c r="C5920" i="1"/>
  <c r="D5920" i="1"/>
  <c r="E5920" i="1"/>
  <c r="A5921" i="1"/>
  <c r="B5921" i="1"/>
  <c r="C5921" i="1"/>
  <c r="D5921" i="1"/>
  <c r="E5921" i="1"/>
  <c r="A5922" i="1"/>
  <c r="B5922" i="1"/>
  <c r="C5922" i="1"/>
  <c r="D5922" i="1"/>
  <c r="E5922" i="1"/>
  <c r="A5923" i="1"/>
  <c r="B5923" i="1"/>
  <c r="C5923" i="1"/>
  <c r="D5923" i="1"/>
  <c r="E5923" i="1"/>
  <c r="A5924" i="1"/>
  <c r="B5924" i="1"/>
  <c r="C5924" i="1"/>
  <c r="D5924" i="1"/>
  <c r="E5924" i="1"/>
  <c r="A5925" i="1"/>
  <c r="B5925" i="1"/>
  <c r="C5925" i="1"/>
  <c r="D5925" i="1"/>
  <c r="E5925" i="1"/>
  <c r="A5926" i="1"/>
  <c r="B5926" i="1"/>
  <c r="C5926" i="1"/>
  <c r="D5926" i="1"/>
  <c r="E5926" i="1"/>
  <c r="A5927" i="1"/>
  <c r="B5927" i="1"/>
  <c r="C5927" i="1"/>
  <c r="D5927" i="1"/>
  <c r="E5927" i="1"/>
  <c r="A5928" i="1"/>
  <c r="B5928" i="1"/>
  <c r="C5928" i="1"/>
  <c r="D5928" i="1"/>
  <c r="E5928" i="1"/>
  <c r="A5929" i="1"/>
  <c r="B5929" i="1"/>
  <c r="C5929" i="1"/>
  <c r="D5929" i="1"/>
  <c r="E5929" i="1"/>
  <c r="A5930" i="1"/>
  <c r="B5930" i="1"/>
  <c r="C5930" i="1"/>
  <c r="D5930" i="1"/>
  <c r="E5930" i="1"/>
  <c r="A5931" i="1"/>
  <c r="B5931" i="1"/>
  <c r="C5931" i="1"/>
  <c r="D5931" i="1"/>
  <c r="E5931" i="1"/>
  <c r="A5932" i="1"/>
  <c r="B5932" i="1"/>
  <c r="C5932" i="1"/>
  <c r="D5932" i="1"/>
  <c r="E5932" i="1"/>
  <c r="A5933" i="1"/>
  <c r="B5933" i="1"/>
  <c r="C5933" i="1"/>
  <c r="D5933" i="1"/>
  <c r="E5933" i="1"/>
  <c r="A5934" i="1"/>
  <c r="B5934" i="1"/>
  <c r="C5934" i="1"/>
  <c r="D5934" i="1"/>
  <c r="E5934" i="1"/>
  <c r="A5935" i="1"/>
  <c r="B5935" i="1"/>
  <c r="C5935" i="1"/>
  <c r="D5935" i="1"/>
  <c r="E5935" i="1"/>
  <c r="A5936" i="1"/>
  <c r="B5936" i="1"/>
  <c r="C5936" i="1"/>
  <c r="D5936" i="1"/>
  <c r="E5936" i="1"/>
  <c r="A5937" i="1"/>
  <c r="B5937" i="1"/>
  <c r="C5937" i="1"/>
  <c r="D5937" i="1"/>
  <c r="E5937" i="1"/>
  <c r="A5938" i="1"/>
  <c r="B5938" i="1"/>
  <c r="C5938" i="1"/>
  <c r="D5938" i="1"/>
  <c r="E5938" i="1"/>
  <c r="A5939" i="1"/>
  <c r="B5939" i="1"/>
  <c r="C5939" i="1"/>
  <c r="D5939" i="1"/>
  <c r="E5939" i="1"/>
  <c r="A5940" i="1"/>
  <c r="B5940" i="1"/>
  <c r="C5940" i="1"/>
  <c r="D5940" i="1"/>
  <c r="E5940" i="1"/>
  <c r="A5941" i="1"/>
  <c r="B5941" i="1"/>
  <c r="C5941" i="1"/>
  <c r="D5941" i="1"/>
  <c r="E5941" i="1"/>
  <c r="A5942" i="1"/>
  <c r="B5942" i="1"/>
  <c r="C5942" i="1"/>
  <c r="D5942" i="1"/>
  <c r="E5942" i="1"/>
  <c r="A5943" i="1"/>
  <c r="B5943" i="1"/>
  <c r="C5943" i="1"/>
  <c r="D5943" i="1"/>
  <c r="E5943" i="1"/>
  <c r="A5944" i="1"/>
  <c r="B5944" i="1"/>
  <c r="C5944" i="1"/>
  <c r="D5944" i="1"/>
  <c r="E5944" i="1"/>
  <c r="A5945" i="1"/>
  <c r="B5945" i="1"/>
  <c r="C5945" i="1"/>
  <c r="D5945" i="1"/>
  <c r="E5945" i="1"/>
  <c r="A5946" i="1"/>
  <c r="B5946" i="1"/>
  <c r="C5946" i="1"/>
  <c r="D5946" i="1"/>
  <c r="E5946" i="1"/>
  <c r="A5947" i="1"/>
  <c r="B5947" i="1"/>
  <c r="C5947" i="1"/>
  <c r="D5947" i="1"/>
  <c r="E5947" i="1"/>
  <c r="A5948" i="1"/>
  <c r="B5948" i="1"/>
  <c r="C5948" i="1"/>
  <c r="D5948" i="1"/>
  <c r="E5948" i="1"/>
  <c r="A5949" i="1"/>
  <c r="B5949" i="1"/>
  <c r="C5949" i="1"/>
  <c r="D5949" i="1"/>
  <c r="E5949" i="1"/>
  <c r="A5950" i="1"/>
  <c r="B5950" i="1"/>
  <c r="C5950" i="1"/>
  <c r="D5950" i="1"/>
  <c r="E5950" i="1"/>
  <c r="A5951" i="1"/>
  <c r="B5951" i="1"/>
  <c r="C5951" i="1"/>
  <c r="D5951" i="1"/>
  <c r="E5951" i="1"/>
  <c r="A5952" i="1"/>
  <c r="B5952" i="1"/>
  <c r="C5952" i="1"/>
  <c r="D5952" i="1"/>
  <c r="E5952" i="1"/>
  <c r="A5953" i="1"/>
  <c r="B5953" i="1"/>
  <c r="C5953" i="1"/>
  <c r="D5953" i="1"/>
  <c r="E5953" i="1"/>
  <c r="A5954" i="1"/>
  <c r="B5954" i="1"/>
  <c r="C5954" i="1"/>
  <c r="D5954" i="1"/>
  <c r="E5954" i="1"/>
  <c r="A5955" i="1"/>
  <c r="B5955" i="1"/>
  <c r="C5955" i="1"/>
  <c r="D5955" i="1"/>
  <c r="E5955" i="1"/>
  <c r="A5956" i="1"/>
  <c r="B5956" i="1"/>
  <c r="C5956" i="1"/>
  <c r="D5956" i="1"/>
  <c r="E5956" i="1"/>
  <c r="A5957" i="1"/>
  <c r="B5957" i="1"/>
  <c r="C5957" i="1"/>
  <c r="D5957" i="1"/>
  <c r="E5957" i="1"/>
  <c r="A5958" i="1"/>
  <c r="B5958" i="1"/>
  <c r="C5958" i="1"/>
  <c r="D5958" i="1"/>
  <c r="E5958" i="1"/>
  <c r="A5959" i="1"/>
  <c r="B5959" i="1"/>
  <c r="C5959" i="1"/>
  <c r="D5959" i="1"/>
  <c r="E5959" i="1"/>
  <c r="A5960" i="1"/>
  <c r="B5960" i="1"/>
  <c r="C5960" i="1"/>
  <c r="D5960" i="1"/>
  <c r="E5960" i="1"/>
  <c r="A5961" i="1"/>
  <c r="B5961" i="1"/>
  <c r="C5961" i="1"/>
  <c r="D5961" i="1"/>
  <c r="E5961" i="1"/>
  <c r="A5962" i="1"/>
  <c r="B5962" i="1"/>
  <c r="C5962" i="1"/>
  <c r="D5962" i="1"/>
  <c r="E5962" i="1"/>
  <c r="A5963" i="1"/>
  <c r="B5963" i="1"/>
  <c r="C5963" i="1"/>
  <c r="D5963" i="1"/>
  <c r="E5963" i="1"/>
  <c r="A5964" i="1"/>
  <c r="B5964" i="1"/>
  <c r="C5964" i="1"/>
  <c r="D5964" i="1"/>
  <c r="E5964" i="1"/>
  <c r="A5965" i="1"/>
  <c r="B5965" i="1"/>
  <c r="C5965" i="1"/>
  <c r="D5965" i="1"/>
  <c r="E5965" i="1"/>
  <c r="A5966" i="1"/>
  <c r="B5966" i="1"/>
  <c r="C5966" i="1"/>
  <c r="D5966" i="1"/>
  <c r="E5966" i="1"/>
  <c r="A5967" i="1"/>
  <c r="B5967" i="1"/>
  <c r="C5967" i="1"/>
  <c r="D5967" i="1"/>
  <c r="E5967" i="1"/>
  <c r="A5968" i="1"/>
  <c r="B5968" i="1"/>
  <c r="C5968" i="1"/>
  <c r="D5968" i="1"/>
  <c r="E5968" i="1"/>
  <c r="A5969" i="1"/>
  <c r="B5969" i="1"/>
  <c r="C5969" i="1"/>
  <c r="D5969" i="1"/>
  <c r="E5969" i="1"/>
  <c r="A5970" i="1"/>
  <c r="B5970" i="1"/>
  <c r="C5970" i="1"/>
  <c r="D5970" i="1"/>
  <c r="E5970" i="1"/>
  <c r="A5971" i="1"/>
  <c r="B5971" i="1"/>
  <c r="C5971" i="1"/>
  <c r="D5971" i="1"/>
  <c r="E5971" i="1"/>
  <c r="A5972" i="1"/>
  <c r="B5972" i="1"/>
  <c r="C5972" i="1"/>
  <c r="D5972" i="1"/>
  <c r="E5972" i="1"/>
  <c r="A5973" i="1"/>
  <c r="B5973" i="1"/>
  <c r="C5973" i="1"/>
  <c r="D5973" i="1"/>
  <c r="E5973" i="1"/>
  <c r="A5974" i="1"/>
  <c r="B5974" i="1"/>
  <c r="C5974" i="1"/>
  <c r="D5974" i="1"/>
  <c r="E5974" i="1"/>
  <c r="A5975" i="1"/>
  <c r="B5975" i="1"/>
  <c r="C5975" i="1"/>
  <c r="D5975" i="1"/>
  <c r="E5975" i="1"/>
  <c r="A5976" i="1"/>
  <c r="B5976" i="1"/>
  <c r="C5976" i="1"/>
  <c r="D5976" i="1"/>
  <c r="E5976" i="1"/>
  <c r="A5977" i="1"/>
  <c r="B5977" i="1"/>
  <c r="C5977" i="1"/>
  <c r="D5977" i="1"/>
  <c r="E5977" i="1"/>
  <c r="A5978" i="1"/>
  <c r="B5978" i="1"/>
  <c r="C5978" i="1"/>
  <c r="D5978" i="1"/>
  <c r="E5978" i="1"/>
  <c r="A5979" i="1"/>
  <c r="B5979" i="1"/>
  <c r="C5979" i="1"/>
  <c r="D5979" i="1"/>
  <c r="E5979" i="1"/>
  <c r="A5980" i="1"/>
  <c r="B5980" i="1"/>
  <c r="C5980" i="1"/>
  <c r="D5980" i="1"/>
  <c r="E5980" i="1"/>
  <c r="A5981" i="1"/>
  <c r="B5981" i="1"/>
  <c r="C5981" i="1"/>
  <c r="D5981" i="1"/>
  <c r="E5981" i="1"/>
  <c r="A5982" i="1"/>
  <c r="B5982" i="1"/>
  <c r="C5982" i="1"/>
  <c r="D5982" i="1"/>
  <c r="E5982" i="1"/>
  <c r="A5983" i="1"/>
  <c r="B5983" i="1"/>
  <c r="C5983" i="1"/>
  <c r="D5983" i="1"/>
  <c r="E5983" i="1"/>
  <c r="A5984" i="1"/>
  <c r="B5984" i="1"/>
  <c r="C5984" i="1"/>
  <c r="D5984" i="1"/>
  <c r="E5984" i="1"/>
  <c r="A5985" i="1"/>
  <c r="B5985" i="1"/>
  <c r="C5985" i="1"/>
  <c r="D5985" i="1"/>
  <c r="E5985" i="1"/>
  <c r="A5986" i="1"/>
  <c r="B5986" i="1"/>
  <c r="C5986" i="1"/>
  <c r="D5986" i="1"/>
  <c r="E5986" i="1"/>
  <c r="A5987" i="1"/>
  <c r="B5987" i="1"/>
  <c r="C5987" i="1"/>
  <c r="D5987" i="1"/>
  <c r="E5987" i="1"/>
  <c r="A5988" i="1"/>
  <c r="B5988" i="1"/>
  <c r="C5988" i="1"/>
  <c r="D5988" i="1"/>
  <c r="E5988" i="1"/>
  <c r="A5989" i="1"/>
  <c r="B5989" i="1"/>
  <c r="C5989" i="1"/>
  <c r="D5989" i="1"/>
  <c r="E5989" i="1"/>
  <c r="A5990" i="1"/>
  <c r="B5990" i="1"/>
  <c r="C5990" i="1"/>
  <c r="D5990" i="1"/>
  <c r="E5990" i="1"/>
  <c r="A5991" i="1"/>
  <c r="B5991" i="1"/>
  <c r="C5991" i="1"/>
  <c r="D5991" i="1"/>
  <c r="E5991" i="1"/>
  <c r="A5992" i="1"/>
  <c r="B5992" i="1"/>
  <c r="C5992" i="1"/>
  <c r="D5992" i="1"/>
  <c r="E5992" i="1"/>
  <c r="A5993" i="1"/>
  <c r="B5993" i="1"/>
  <c r="C5993" i="1"/>
  <c r="D5993" i="1"/>
  <c r="E5993" i="1"/>
  <c r="A5994" i="1"/>
  <c r="B5994" i="1"/>
  <c r="C5994" i="1"/>
  <c r="D5994" i="1"/>
  <c r="E5994" i="1"/>
  <c r="A5995" i="1"/>
  <c r="B5995" i="1"/>
  <c r="C5995" i="1"/>
  <c r="D5995" i="1"/>
  <c r="E5995" i="1"/>
  <c r="A5996" i="1"/>
  <c r="B5996" i="1"/>
  <c r="C5996" i="1"/>
  <c r="D5996" i="1"/>
  <c r="E5996" i="1"/>
  <c r="A5997" i="1"/>
  <c r="B5997" i="1"/>
  <c r="C5997" i="1"/>
  <c r="D5997" i="1"/>
  <c r="E5997" i="1"/>
  <c r="A5998" i="1"/>
  <c r="B5998" i="1"/>
  <c r="C5998" i="1"/>
  <c r="D5998" i="1"/>
  <c r="E5998" i="1"/>
  <c r="A5999" i="1"/>
  <c r="B5999" i="1"/>
  <c r="C5999" i="1"/>
  <c r="D5999" i="1"/>
  <c r="E5999" i="1"/>
  <c r="A6000" i="1"/>
  <c r="B6000" i="1"/>
  <c r="C6000" i="1"/>
  <c r="D6000" i="1"/>
  <c r="E6000" i="1"/>
  <c r="A6001" i="1"/>
  <c r="B6001" i="1"/>
  <c r="C6001" i="1"/>
  <c r="D6001" i="1"/>
  <c r="E6001" i="1"/>
  <c r="A6002" i="1"/>
  <c r="B6002" i="1"/>
  <c r="C6002" i="1"/>
  <c r="D6002" i="1"/>
  <c r="E6002" i="1"/>
  <c r="A6003" i="1"/>
  <c r="B6003" i="1"/>
  <c r="C6003" i="1"/>
  <c r="D6003" i="1"/>
  <c r="E6003" i="1"/>
  <c r="A6004" i="1"/>
  <c r="B6004" i="1"/>
  <c r="C6004" i="1"/>
  <c r="D6004" i="1"/>
  <c r="E6004" i="1"/>
  <c r="A6005" i="1"/>
  <c r="B6005" i="1"/>
  <c r="C6005" i="1"/>
  <c r="D6005" i="1"/>
  <c r="E6005" i="1"/>
  <c r="A6006" i="1"/>
  <c r="B6006" i="1"/>
  <c r="C6006" i="1"/>
  <c r="D6006" i="1"/>
  <c r="E6006" i="1"/>
  <c r="A6007" i="1"/>
  <c r="B6007" i="1"/>
  <c r="C6007" i="1"/>
  <c r="D6007" i="1"/>
  <c r="E6007" i="1"/>
  <c r="A6008" i="1"/>
  <c r="B6008" i="1"/>
  <c r="C6008" i="1"/>
  <c r="D6008" i="1"/>
  <c r="E6008" i="1"/>
  <c r="A6009" i="1"/>
  <c r="B6009" i="1"/>
  <c r="C6009" i="1"/>
  <c r="D6009" i="1"/>
  <c r="E6009" i="1"/>
  <c r="A6010" i="1"/>
  <c r="B6010" i="1"/>
  <c r="C6010" i="1"/>
  <c r="D6010" i="1"/>
  <c r="E6010" i="1"/>
  <c r="A6011" i="1"/>
  <c r="B6011" i="1"/>
  <c r="C6011" i="1"/>
  <c r="D6011" i="1"/>
  <c r="E6011" i="1"/>
  <c r="A6012" i="1"/>
  <c r="B6012" i="1"/>
  <c r="C6012" i="1"/>
  <c r="D6012" i="1"/>
  <c r="E6012" i="1"/>
  <c r="A6013" i="1"/>
  <c r="B6013" i="1"/>
  <c r="C6013" i="1"/>
  <c r="D6013" i="1"/>
  <c r="E6013" i="1"/>
  <c r="A6014" i="1"/>
  <c r="B6014" i="1"/>
  <c r="C6014" i="1"/>
  <c r="D6014" i="1"/>
  <c r="E6014" i="1"/>
  <c r="A6015" i="1"/>
  <c r="B6015" i="1"/>
  <c r="C6015" i="1"/>
  <c r="D6015" i="1"/>
  <c r="E6015" i="1"/>
  <c r="A6016" i="1"/>
  <c r="B6016" i="1"/>
  <c r="C6016" i="1"/>
  <c r="D6016" i="1"/>
  <c r="E6016" i="1"/>
  <c r="A6017" i="1"/>
  <c r="B6017" i="1"/>
  <c r="C6017" i="1"/>
  <c r="D6017" i="1"/>
  <c r="E6017" i="1"/>
  <c r="A6018" i="1"/>
  <c r="B6018" i="1"/>
  <c r="C6018" i="1"/>
  <c r="D6018" i="1"/>
  <c r="E6018" i="1"/>
  <c r="A6019" i="1"/>
  <c r="B6019" i="1"/>
  <c r="C6019" i="1"/>
  <c r="D6019" i="1"/>
  <c r="E6019" i="1"/>
  <c r="A6020" i="1"/>
  <c r="B6020" i="1"/>
  <c r="C6020" i="1"/>
  <c r="D6020" i="1"/>
  <c r="E6020" i="1"/>
  <c r="A6021" i="1"/>
  <c r="B6021" i="1"/>
  <c r="C6021" i="1"/>
  <c r="D6021" i="1"/>
  <c r="E6021" i="1"/>
  <c r="A6022" i="1"/>
  <c r="B6022" i="1"/>
  <c r="C6022" i="1"/>
  <c r="D6022" i="1"/>
  <c r="E6022" i="1"/>
  <c r="A6023" i="1"/>
  <c r="B6023" i="1"/>
  <c r="C6023" i="1"/>
  <c r="D6023" i="1"/>
  <c r="E6023" i="1"/>
  <c r="A6024" i="1"/>
  <c r="B6024" i="1"/>
  <c r="C6024" i="1"/>
  <c r="D6024" i="1"/>
  <c r="E6024" i="1"/>
  <c r="A6025" i="1"/>
  <c r="B6025" i="1"/>
  <c r="C6025" i="1"/>
  <c r="D6025" i="1"/>
  <c r="E6025" i="1"/>
  <c r="A6026" i="1"/>
  <c r="B6026" i="1"/>
  <c r="C6026" i="1"/>
  <c r="D6026" i="1"/>
  <c r="E6026" i="1"/>
  <c r="A6027" i="1"/>
  <c r="B6027" i="1"/>
  <c r="C6027" i="1"/>
  <c r="D6027" i="1"/>
  <c r="E6027" i="1"/>
  <c r="A6028" i="1"/>
  <c r="B6028" i="1"/>
  <c r="C6028" i="1"/>
  <c r="D6028" i="1"/>
  <c r="E6028" i="1"/>
  <c r="A6029" i="1"/>
  <c r="B6029" i="1"/>
  <c r="C6029" i="1"/>
  <c r="D6029" i="1"/>
  <c r="E6029" i="1"/>
  <c r="A6030" i="1"/>
  <c r="B6030" i="1"/>
  <c r="C6030" i="1"/>
  <c r="D6030" i="1"/>
  <c r="E6030" i="1"/>
  <c r="A6031" i="1"/>
  <c r="B6031" i="1"/>
  <c r="C6031" i="1"/>
  <c r="D6031" i="1"/>
  <c r="E6031" i="1"/>
  <c r="A6032" i="1"/>
  <c r="B6032" i="1"/>
  <c r="C6032" i="1"/>
  <c r="D6032" i="1"/>
  <c r="E6032" i="1"/>
  <c r="A6033" i="1"/>
  <c r="B6033" i="1"/>
  <c r="C6033" i="1"/>
  <c r="D6033" i="1"/>
  <c r="E6033" i="1"/>
  <c r="A6034" i="1"/>
  <c r="B6034" i="1"/>
  <c r="C6034" i="1"/>
  <c r="D6034" i="1"/>
  <c r="E6034" i="1"/>
  <c r="A6035" i="1"/>
  <c r="B6035" i="1"/>
  <c r="C6035" i="1"/>
  <c r="D6035" i="1"/>
  <c r="E6035" i="1"/>
  <c r="A6036" i="1"/>
  <c r="B6036" i="1"/>
  <c r="C6036" i="1"/>
  <c r="D6036" i="1"/>
  <c r="E6036" i="1"/>
  <c r="A6037" i="1"/>
  <c r="B6037" i="1"/>
  <c r="C6037" i="1"/>
  <c r="D6037" i="1"/>
  <c r="E6037" i="1"/>
  <c r="A6038" i="1"/>
  <c r="B6038" i="1"/>
  <c r="C6038" i="1"/>
  <c r="D6038" i="1"/>
  <c r="E6038" i="1"/>
  <c r="A6039" i="1"/>
  <c r="B6039" i="1"/>
  <c r="C6039" i="1"/>
  <c r="D6039" i="1"/>
  <c r="E6039" i="1"/>
  <c r="A6040" i="1"/>
  <c r="B6040" i="1"/>
  <c r="C6040" i="1"/>
  <c r="D6040" i="1"/>
  <c r="E6040" i="1"/>
  <c r="A6041" i="1"/>
  <c r="B6041" i="1"/>
  <c r="C6041" i="1"/>
  <c r="D6041" i="1"/>
  <c r="E6041" i="1"/>
  <c r="A6042" i="1"/>
  <c r="B6042" i="1"/>
  <c r="C6042" i="1"/>
  <c r="D6042" i="1"/>
  <c r="E6042" i="1"/>
  <c r="A6043" i="1"/>
  <c r="B6043" i="1"/>
  <c r="C6043" i="1"/>
  <c r="D6043" i="1"/>
  <c r="E6043" i="1"/>
  <c r="A6044" i="1"/>
  <c r="B6044" i="1"/>
  <c r="C6044" i="1"/>
  <c r="D6044" i="1"/>
  <c r="E6044" i="1"/>
  <c r="A6045" i="1"/>
  <c r="B6045" i="1"/>
  <c r="C6045" i="1"/>
  <c r="D6045" i="1"/>
  <c r="E6045" i="1"/>
  <c r="A6046" i="1"/>
  <c r="B6046" i="1"/>
  <c r="C6046" i="1"/>
  <c r="D6046" i="1"/>
  <c r="E6046" i="1"/>
  <c r="A6047" i="1"/>
  <c r="B6047" i="1"/>
  <c r="C6047" i="1"/>
  <c r="D6047" i="1"/>
  <c r="E6047" i="1"/>
  <c r="A6048" i="1"/>
  <c r="B6048" i="1"/>
  <c r="C6048" i="1"/>
  <c r="D6048" i="1"/>
  <c r="E6048" i="1"/>
  <c r="A6049" i="1"/>
  <c r="B6049" i="1"/>
  <c r="C6049" i="1"/>
  <c r="D6049" i="1"/>
  <c r="E6049" i="1"/>
  <c r="A6050" i="1"/>
  <c r="B6050" i="1"/>
  <c r="C6050" i="1"/>
  <c r="D6050" i="1"/>
  <c r="E6050" i="1"/>
  <c r="A6051" i="1"/>
  <c r="B6051" i="1"/>
  <c r="C6051" i="1"/>
  <c r="D6051" i="1"/>
  <c r="E6051" i="1"/>
  <c r="A6052" i="1"/>
  <c r="B6052" i="1"/>
  <c r="C6052" i="1"/>
  <c r="D6052" i="1"/>
  <c r="E6052" i="1"/>
  <c r="A6053" i="1"/>
  <c r="B6053" i="1"/>
  <c r="C6053" i="1"/>
  <c r="D6053" i="1"/>
  <c r="E6053" i="1"/>
  <c r="A6054" i="1"/>
  <c r="B6054" i="1"/>
  <c r="C6054" i="1"/>
  <c r="D6054" i="1"/>
  <c r="E6054" i="1"/>
  <c r="A6055" i="1"/>
  <c r="B6055" i="1"/>
  <c r="C6055" i="1"/>
  <c r="D6055" i="1"/>
  <c r="E6055" i="1"/>
  <c r="A6056" i="1"/>
  <c r="B6056" i="1"/>
  <c r="C6056" i="1"/>
  <c r="D6056" i="1"/>
  <c r="E6056" i="1"/>
  <c r="A6057" i="1"/>
  <c r="B6057" i="1"/>
  <c r="C6057" i="1"/>
  <c r="D6057" i="1"/>
  <c r="E6057" i="1"/>
  <c r="A6058" i="1"/>
  <c r="B6058" i="1"/>
  <c r="C6058" i="1"/>
  <c r="D6058" i="1"/>
  <c r="E6058" i="1"/>
  <c r="A6059" i="1"/>
  <c r="B6059" i="1"/>
  <c r="C6059" i="1"/>
  <c r="D6059" i="1"/>
  <c r="E6059" i="1"/>
  <c r="A6060" i="1"/>
  <c r="B6060" i="1"/>
  <c r="C6060" i="1"/>
  <c r="D6060" i="1"/>
  <c r="E6060" i="1"/>
  <c r="A6061" i="1"/>
  <c r="B6061" i="1"/>
  <c r="C6061" i="1"/>
  <c r="D6061" i="1"/>
  <c r="E6061" i="1"/>
  <c r="A6062" i="1"/>
  <c r="B6062" i="1"/>
  <c r="C6062" i="1"/>
  <c r="D6062" i="1"/>
  <c r="E6062" i="1"/>
  <c r="A6063" i="1"/>
  <c r="B6063" i="1"/>
  <c r="C6063" i="1"/>
  <c r="D6063" i="1"/>
  <c r="E6063" i="1"/>
  <c r="A6064" i="1"/>
  <c r="B6064" i="1"/>
  <c r="C6064" i="1"/>
  <c r="D6064" i="1"/>
  <c r="E6064" i="1"/>
  <c r="A6065" i="1"/>
  <c r="B6065" i="1"/>
  <c r="C6065" i="1"/>
  <c r="D6065" i="1"/>
  <c r="E6065" i="1"/>
  <c r="A6066" i="1"/>
  <c r="B6066" i="1"/>
  <c r="C6066" i="1"/>
  <c r="D6066" i="1"/>
  <c r="E6066" i="1"/>
  <c r="A6067" i="1"/>
  <c r="B6067" i="1"/>
  <c r="C6067" i="1"/>
  <c r="D6067" i="1"/>
  <c r="E6067" i="1"/>
  <c r="A6068" i="1"/>
  <c r="B6068" i="1"/>
  <c r="C6068" i="1"/>
  <c r="D6068" i="1"/>
  <c r="E6068" i="1"/>
  <c r="A6069" i="1"/>
  <c r="B6069" i="1"/>
  <c r="C6069" i="1"/>
  <c r="D6069" i="1"/>
  <c r="E6069" i="1"/>
  <c r="A6070" i="1"/>
  <c r="B6070" i="1"/>
  <c r="C6070" i="1"/>
  <c r="D6070" i="1"/>
  <c r="E6070" i="1"/>
  <c r="A6071" i="1"/>
  <c r="B6071" i="1"/>
  <c r="C6071" i="1"/>
  <c r="D6071" i="1"/>
  <c r="E6071" i="1"/>
  <c r="A6072" i="1"/>
  <c r="B6072" i="1"/>
  <c r="C6072" i="1"/>
  <c r="D6072" i="1"/>
  <c r="E6072" i="1"/>
  <c r="A6073" i="1"/>
  <c r="B6073" i="1"/>
  <c r="C6073" i="1"/>
  <c r="D6073" i="1"/>
  <c r="E6073" i="1"/>
  <c r="A6074" i="1"/>
  <c r="B6074" i="1"/>
  <c r="C6074" i="1"/>
  <c r="D6074" i="1"/>
  <c r="E6074" i="1"/>
  <c r="A6075" i="1"/>
  <c r="B6075" i="1"/>
  <c r="C6075" i="1"/>
  <c r="D6075" i="1"/>
  <c r="E6075" i="1"/>
  <c r="A6076" i="1"/>
  <c r="B6076" i="1"/>
  <c r="C6076" i="1"/>
  <c r="D6076" i="1"/>
  <c r="E6076" i="1"/>
  <c r="A6077" i="1"/>
  <c r="B6077" i="1"/>
  <c r="C6077" i="1"/>
  <c r="D6077" i="1"/>
  <c r="E6077" i="1"/>
  <c r="A6078" i="1"/>
  <c r="B6078" i="1"/>
  <c r="C6078" i="1"/>
  <c r="D6078" i="1"/>
  <c r="E6078" i="1"/>
  <c r="A6079" i="1"/>
  <c r="B6079" i="1"/>
  <c r="C6079" i="1"/>
  <c r="D6079" i="1"/>
  <c r="E6079" i="1"/>
  <c r="A6080" i="1"/>
  <c r="B6080" i="1"/>
  <c r="C6080" i="1"/>
  <c r="D6080" i="1"/>
  <c r="E6080" i="1"/>
  <c r="A6081" i="1"/>
  <c r="B6081" i="1"/>
  <c r="C6081" i="1"/>
  <c r="D6081" i="1"/>
  <c r="E6081" i="1"/>
  <c r="A6082" i="1"/>
  <c r="B6082" i="1"/>
  <c r="C6082" i="1"/>
  <c r="D6082" i="1"/>
  <c r="E6082" i="1"/>
  <c r="A6083" i="1"/>
  <c r="B6083" i="1"/>
  <c r="C6083" i="1"/>
  <c r="D6083" i="1"/>
  <c r="E6083" i="1"/>
  <c r="A6084" i="1"/>
  <c r="B6084" i="1"/>
  <c r="C6084" i="1"/>
  <c r="D6084" i="1"/>
  <c r="E6084" i="1"/>
  <c r="A6085" i="1"/>
  <c r="B6085" i="1"/>
  <c r="C6085" i="1"/>
  <c r="D6085" i="1"/>
  <c r="E6085" i="1"/>
  <c r="A6086" i="1"/>
  <c r="B6086" i="1"/>
  <c r="C6086" i="1"/>
  <c r="D6086" i="1"/>
  <c r="E6086" i="1"/>
  <c r="A6087" i="1"/>
  <c r="B6087" i="1"/>
  <c r="C6087" i="1"/>
  <c r="D6087" i="1"/>
  <c r="E6087" i="1"/>
  <c r="A6088" i="1"/>
  <c r="B6088" i="1"/>
  <c r="C6088" i="1"/>
  <c r="D6088" i="1"/>
  <c r="E6088" i="1"/>
  <c r="A6089" i="1"/>
  <c r="B6089" i="1"/>
  <c r="C6089" i="1"/>
  <c r="D6089" i="1"/>
  <c r="E6089" i="1"/>
  <c r="A6090" i="1"/>
  <c r="B6090" i="1"/>
  <c r="C6090" i="1"/>
  <c r="D6090" i="1"/>
  <c r="E6090" i="1"/>
  <c r="A6091" i="1"/>
  <c r="B6091" i="1"/>
  <c r="C6091" i="1"/>
  <c r="D6091" i="1"/>
  <c r="E6091" i="1"/>
  <c r="A6092" i="1"/>
  <c r="B6092" i="1"/>
  <c r="C6092" i="1"/>
  <c r="D6092" i="1"/>
  <c r="E6092" i="1"/>
  <c r="A6093" i="1"/>
  <c r="B6093" i="1"/>
  <c r="C6093" i="1"/>
  <c r="D6093" i="1"/>
  <c r="E6093" i="1"/>
  <c r="A6094" i="1"/>
  <c r="B6094" i="1"/>
  <c r="C6094" i="1"/>
  <c r="D6094" i="1"/>
  <c r="E6094" i="1"/>
  <c r="A6095" i="1"/>
  <c r="B6095" i="1"/>
  <c r="C6095" i="1"/>
  <c r="D6095" i="1"/>
  <c r="E6095" i="1"/>
  <c r="A6096" i="1"/>
  <c r="B6096" i="1"/>
  <c r="C6096" i="1"/>
  <c r="D6096" i="1"/>
  <c r="E6096" i="1"/>
  <c r="A6097" i="1"/>
  <c r="B6097" i="1"/>
  <c r="C6097" i="1"/>
  <c r="D6097" i="1"/>
  <c r="E6097" i="1"/>
  <c r="A6098" i="1"/>
  <c r="B6098" i="1"/>
  <c r="C6098" i="1"/>
  <c r="D6098" i="1"/>
  <c r="E6098" i="1"/>
  <c r="A6099" i="1"/>
  <c r="B6099" i="1"/>
  <c r="C6099" i="1"/>
  <c r="D6099" i="1"/>
  <c r="E6099" i="1"/>
  <c r="A6100" i="1"/>
  <c r="B6100" i="1"/>
  <c r="C6100" i="1"/>
  <c r="D6100" i="1"/>
  <c r="E6100" i="1"/>
  <c r="A6101" i="1"/>
  <c r="B6101" i="1"/>
  <c r="C6101" i="1"/>
  <c r="D6101" i="1"/>
  <c r="E6101" i="1"/>
  <c r="A6102" i="1"/>
  <c r="B6102" i="1"/>
  <c r="C6102" i="1"/>
  <c r="D6102" i="1"/>
  <c r="E6102" i="1"/>
  <c r="A6103" i="1"/>
  <c r="B6103" i="1"/>
  <c r="C6103" i="1"/>
  <c r="D6103" i="1"/>
  <c r="E6103" i="1"/>
  <c r="A6104" i="1"/>
  <c r="B6104" i="1"/>
  <c r="C6104" i="1"/>
  <c r="D6104" i="1"/>
  <c r="E6104" i="1"/>
  <c r="A6105" i="1"/>
  <c r="B6105" i="1"/>
  <c r="C6105" i="1"/>
  <c r="D6105" i="1"/>
  <c r="E6105" i="1"/>
  <c r="A6106" i="1"/>
  <c r="B6106" i="1"/>
  <c r="C6106" i="1"/>
  <c r="D6106" i="1"/>
  <c r="E6106" i="1"/>
  <c r="A6107" i="1"/>
  <c r="B6107" i="1"/>
  <c r="C6107" i="1"/>
  <c r="D6107" i="1"/>
  <c r="E6107" i="1"/>
  <c r="A6108" i="1"/>
  <c r="B6108" i="1"/>
  <c r="C6108" i="1"/>
  <c r="D6108" i="1"/>
  <c r="E6108" i="1"/>
  <c r="A6109" i="1"/>
  <c r="B6109" i="1"/>
  <c r="C6109" i="1"/>
  <c r="D6109" i="1"/>
  <c r="E6109" i="1"/>
  <c r="A6110" i="1"/>
  <c r="B6110" i="1"/>
  <c r="C6110" i="1"/>
  <c r="D6110" i="1"/>
  <c r="E6110" i="1"/>
  <c r="A6111" i="1"/>
  <c r="B6111" i="1"/>
  <c r="C6111" i="1"/>
  <c r="D6111" i="1"/>
  <c r="E6111" i="1"/>
  <c r="A6112" i="1"/>
  <c r="B6112" i="1"/>
  <c r="C6112" i="1"/>
  <c r="D6112" i="1"/>
  <c r="E6112" i="1"/>
  <c r="A6113" i="1"/>
  <c r="B6113" i="1"/>
  <c r="C6113" i="1"/>
  <c r="D6113" i="1"/>
  <c r="E6113" i="1"/>
  <c r="A6114" i="1"/>
  <c r="B6114" i="1"/>
  <c r="C6114" i="1"/>
  <c r="D6114" i="1"/>
  <c r="E6114" i="1"/>
  <c r="A6115" i="1"/>
  <c r="B6115" i="1"/>
  <c r="C6115" i="1"/>
  <c r="D6115" i="1"/>
  <c r="E6115" i="1"/>
  <c r="A6116" i="1"/>
  <c r="B6116" i="1"/>
  <c r="C6116" i="1"/>
  <c r="D6116" i="1"/>
  <c r="E6116" i="1"/>
  <c r="A6117" i="1"/>
  <c r="B6117" i="1"/>
  <c r="C6117" i="1"/>
  <c r="D6117" i="1"/>
  <c r="E6117" i="1"/>
  <c r="A6118" i="1"/>
  <c r="B6118" i="1"/>
  <c r="C6118" i="1"/>
  <c r="D6118" i="1"/>
  <c r="E6118" i="1"/>
  <c r="A6119" i="1"/>
  <c r="B6119" i="1"/>
  <c r="C6119" i="1"/>
  <c r="D6119" i="1"/>
  <c r="E6119" i="1"/>
  <c r="A6120" i="1"/>
  <c r="B6120" i="1"/>
  <c r="C6120" i="1"/>
  <c r="D6120" i="1"/>
  <c r="E6120" i="1"/>
  <c r="A6121" i="1"/>
  <c r="B6121" i="1"/>
  <c r="C6121" i="1"/>
  <c r="D6121" i="1"/>
  <c r="E6121" i="1"/>
  <c r="A6122" i="1"/>
  <c r="B6122" i="1"/>
  <c r="C6122" i="1"/>
  <c r="D6122" i="1"/>
  <c r="E6122" i="1"/>
  <c r="A6123" i="1"/>
  <c r="B6123" i="1"/>
  <c r="C6123" i="1"/>
  <c r="D6123" i="1"/>
  <c r="E6123" i="1"/>
  <c r="A6124" i="1"/>
  <c r="B6124" i="1"/>
  <c r="C6124" i="1"/>
  <c r="D6124" i="1"/>
  <c r="E6124" i="1"/>
  <c r="A6125" i="1"/>
  <c r="B6125" i="1"/>
  <c r="C6125" i="1"/>
  <c r="D6125" i="1"/>
  <c r="E6125" i="1"/>
  <c r="A6126" i="1"/>
  <c r="B6126" i="1"/>
  <c r="C6126" i="1"/>
  <c r="D6126" i="1"/>
  <c r="E6126" i="1"/>
  <c r="A6127" i="1"/>
  <c r="B6127" i="1"/>
  <c r="C6127" i="1"/>
  <c r="D6127" i="1"/>
  <c r="E6127" i="1"/>
  <c r="A6128" i="1"/>
  <c r="B6128" i="1"/>
  <c r="C6128" i="1"/>
  <c r="D6128" i="1"/>
  <c r="E6128" i="1"/>
  <c r="A6129" i="1"/>
  <c r="B6129" i="1"/>
  <c r="C6129" i="1"/>
  <c r="D6129" i="1"/>
  <c r="E6129" i="1"/>
  <c r="A6130" i="1"/>
  <c r="B6130" i="1"/>
  <c r="C6130" i="1"/>
  <c r="D6130" i="1"/>
  <c r="E6130" i="1"/>
  <c r="A6131" i="1"/>
  <c r="B6131" i="1"/>
  <c r="C6131" i="1"/>
  <c r="D6131" i="1"/>
  <c r="E6131" i="1"/>
  <c r="A6132" i="1"/>
  <c r="B6132" i="1"/>
  <c r="C6132" i="1"/>
  <c r="D6132" i="1"/>
  <c r="E6132" i="1"/>
  <c r="A6133" i="1"/>
  <c r="B6133" i="1"/>
  <c r="C6133" i="1"/>
  <c r="D6133" i="1"/>
  <c r="E6133" i="1"/>
  <c r="A6134" i="1"/>
  <c r="B6134" i="1"/>
  <c r="C6134" i="1"/>
  <c r="D6134" i="1"/>
  <c r="E6134" i="1"/>
  <c r="A6135" i="1"/>
  <c r="B6135" i="1"/>
  <c r="C6135" i="1"/>
  <c r="D6135" i="1"/>
  <c r="E6135" i="1"/>
  <c r="A6136" i="1"/>
  <c r="B6136" i="1"/>
  <c r="C6136" i="1"/>
  <c r="D6136" i="1"/>
  <c r="E6136" i="1"/>
  <c r="A6137" i="1"/>
  <c r="B6137" i="1"/>
  <c r="C6137" i="1"/>
  <c r="D6137" i="1"/>
  <c r="E6137" i="1"/>
  <c r="A6138" i="1"/>
  <c r="B6138" i="1"/>
  <c r="C6138" i="1"/>
  <c r="D6138" i="1"/>
  <c r="E6138" i="1"/>
  <c r="A6139" i="1"/>
  <c r="B6139" i="1"/>
  <c r="C6139" i="1"/>
  <c r="D6139" i="1"/>
  <c r="E6139" i="1"/>
  <c r="A6140" i="1"/>
  <c r="B6140" i="1"/>
  <c r="C6140" i="1"/>
  <c r="D6140" i="1"/>
  <c r="E6140" i="1"/>
  <c r="A6141" i="1"/>
  <c r="B6141" i="1"/>
  <c r="C6141" i="1"/>
  <c r="D6141" i="1"/>
  <c r="E6141" i="1"/>
  <c r="A6142" i="1"/>
  <c r="B6142" i="1"/>
  <c r="C6142" i="1"/>
  <c r="D6142" i="1"/>
  <c r="E6142" i="1"/>
  <c r="A6143" i="1"/>
  <c r="B6143" i="1"/>
  <c r="C6143" i="1"/>
  <c r="D6143" i="1"/>
  <c r="E6143" i="1"/>
  <c r="A6144" i="1"/>
  <c r="B6144" i="1"/>
  <c r="C6144" i="1"/>
  <c r="D6144" i="1"/>
  <c r="E6144" i="1"/>
  <c r="A6145" i="1"/>
  <c r="B6145" i="1"/>
  <c r="C6145" i="1"/>
  <c r="D6145" i="1"/>
  <c r="E6145" i="1"/>
  <c r="A6146" i="1"/>
  <c r="B6146" i="1"/>
  <c r="C6146" i="1"/>
  <c r="D6146" i="1"/>
  <c r="E6146" i="1"/>
  <c r="A6147" i="1"/>
  <c r="B6147" i="1"/>
  <c r="C6147" i="1"/>
  <c r="D6147" i="1"/>
  <c r="E6147" i="1"/>
  <c r="A6148" i="1"/>
  <c r="B6148" i="1"/>
  <c r="C6148" i="1"/>
  <c r="D6148" i="1"/>
  <c r="E6148" i="1"/>
  <c r="A6149" i="1"/>
  <c r="B6149" i="1"/>
  <c r="C6149" i="1"/>
  <c r="D6149" i="1"/>
  <c r="E6149" i="1"/>
  <c r="A6150" i="1"/>
  <c r="B6150" i="1"/>
  <c r="C6150" i="1"/>
  <c r="D6150" i="1"/>
  <c r="E6150" i="1"/>
  <c r="A6151" i="1"/>
  <c r="B6151" i="1"/>
  <c r="C6151" i="1"/>
  <c r="D6151" i="1"/>
  <c r="E6151" i="1"/>
  <c r="A6152" i="1"/>
  <c r="B6152" i="1"/>
  <c r="C6152" i="1"/>
  <c r="D6152" i="1"/>
  <c r="E6152" i="1"/>
  <c r="A6153" i="1"/>
  <c r="B6153" i="1"/>
  <c r="C6153" i="1"/>
  <c r="D6153" i="1"/>
  <c r="E6153" i="1"/>
  <c r="A6154" i="1"/>
  <c r="B6154" i="1"/>
  <c r="C6154" i="1"/>
  <c r="D6154" i="1"/>
  <c r="E6154" i="1"/>
  <c r="A6155" i="1"/>
  <c r="B6155" i="1"/>
  <c r="C6155" i="1"/>
  <c r="D6155" i="1"/>
  <c r="E6155" i="1"/>
  <c r="A6156" i="1"/>
  <c r="B6156" i="1"/>
  <c r="C6156" i="1"/>
  <c r="D6156" i="1"/>
  <c r="E6156" i="1"/>
  <c r="A6157" i="1"/>
  <c r="B6157" i="1"/>
  <c r="C6157" i="1"/>
  <c r="D6157" i="1"/>
  <c r="E6157" i="1"/>
  <c r="A6158" i="1"/>
  <c r="B6158" i="1"/>
  <c r="C6158" i="1"/>
  <c r="D6158" i="1"/>
  <c r="E6158" i="1"/>
  <c r="A6159" i="1"/>
  <c r="B6159" i="1"/>
  <c r="C6159" i="1"/>
  <c r="D6159" i="1"/>
  <c r="E6159" i="1"/>
  <c r="A6160" i="1"/>
  <c r="B6160" i="1"/>
  <c r="C6160" i="1"/>
  <c r="D6160" i="1"/>
  <c r="E6160" i="1"/>
  <c r="A6161" i="1"/>
  <c r="B6161" i="1"/>
  <c r="C6161" i="1"/>
  <c r="D6161" i="1"/>
  <c r="E6161" i="1"/>
  <c r="A6162" i="1"/>
  <c r="B6162" i="1"/>
  <c r="C6162" i="1"/>
  <c r="D6162" i="1"/>
  <c r="E6162" i="1"/>
  <c r="A6163" i="1"/>
  <c r="B6163" i="1"/>
  <c r="C6163" i="1"/>
  <c r="D6163" i="1"/>
  <c r="E6163" i="1"/>
  <c r="A6164" i="1"/>
  <c r="B6164" i="1"/>
  <c r="C6164" i="1"/>
  <c r="D6164" i="1"/>
  <c r="E6164" i="1"/>
  <c r="A6165" i="1"/>
  <c r="B6165" i="1"/>
  <c r="C6165" i="1"/>
  <c r="D6165" i="1"/>
  <c r="E6165" i="1"/>
  <c r="A6166" i="1"/>
  <c r="B6166" i="1"/>
  <c r="C6166" i="1"/>
  <c r="D6166" i="1"/>
  <c r="E6166" i="1"/>
  <c r="A6167" i="1"/>
  <c r="B6167" i="1"/>
  <c r="C6167" i="1"/>
  <c r="D6167" i="1"/>
  <c r="E6167" i="1"/>
  <c r="A6168" i="1"/>
  <c r="B6168" i="1"/>
  <c r="C6168" i="1"/>
  <c r="D6168" i="1"/>
  <c r="E6168" i="1"/>
  <c r="A6169" i="1"/>
  <c r="B6169" i="1"/>
  <c r="C6169" i="1"/>
  <c r="D6169" i="1"/>
  <c r="E6169" i="1"/>
  <c r="A6170" i="1"/>
  <c r="B6170" i="1"/>
  <c r="C6170" i="1"/>
  <c r="D6170" i="1"/>
  <c r="E6170" i="1"/>
  <c r="A6171" i="1"/>
  <c r="B6171" i="1"/>
  <c r="C6171" i="1"/>
  <c r="D6171" i="1"/>
  <c r="E6171" i="1"/>
  <c r="A6172" i="1"/>
  <c r="B6172" i="1"/>
  <c r="C6172" i="1"/>
  <c r="D6172" i="1"/>
  <c r="E6172" i="1"/>
  <c r="A6173" i="1"/>
  <c r="B6173" i="1"/>
  <c r="C6173" i="1"/>
  <c r="D6173" i="1"/>
  <c r="E6173" i="1"/>
  <c r="A6174" i="1"/>
  <c r="B6174" i="1"/>
  <c r="C6174" i="1"/>
  <c r="D6174" i="1"/>
  <c r="E6174" i="1"/>
  <c r="A6175" i="1"/>
  <c r="B6175" i="1"/>
  <c r="C6175" i="1"/>
  <c r="D6175" i="1"/>
  <c r="E6175" i="1"/>
  <c r="A6176" i="1"/>
  <c r="B6176" i="1"/>
  <c r="C6176" i="1"/>
  <c r="D6176" i="1"/>
  <c r="E6176" i="1"/>
  <c r="A6177" i="1"/>
  <c r="B6177" i="1"/>
  <c r="C6177" i="1"/>
  <c r="D6177" i="1"/>
  <c r="E6177" i="1"/>
  <c r="A6178" i="1"/>
  <c r="B6178" i="1"/>
  <c r="C6178" i="1"/>
  <c r="D6178" i="1"/>
  <c r="E6178" i="1"/>
  <c r="A6179" i="1"/>
  <c r="B6179" i="1"/>
  <c r="C6179" i="1"/>
  <c r="D6179" i="1"/>
  <c r="E6179" i="1"/>
  <c r="A6180" i="1"/>
  <c r="B6180" i="1"/>
  <c r="C6180" i="1"/>
  <c r="D6180" i="1"/>
  <c r="E6180" i="1"/>
  <c r="A6181" i="1"/>
  <c r="B6181" i="1"/>
  <c r="C6181" i="1"/>
  <c r="D6181" i="1"/>
  <c r="E6181" i="1"/>
  <c r="A6182" i="1"/>
  <c r="B6182" i="1"/>
  <c r="C6182" i="1"/>
  <c r="D6182" i="1"/>
  <c r="E6182" i="1"/>
  <c r="A6183" i="1"/>
  <c r="B6183" i="1"/>
  <c r="C6183" i="1"/>
  <c r="D6183" i="1"/>
  <c r="E6183" i="1"/>
  <c r="A6184" i="1"/>
  <c r="B6184" i="1"/>
  <c r="C6184" i="1"/>
  <c r="D6184" i="1"/>
  <c r="E6184" i="1"/>
  <c r="A6185" i="1"/>
  <c r="B6185" i="1"/>
  <c r="C6185" i="1"/>
  <c r="D6185" i="1"/>
  <c r="E6185" i="1"/>
  <c r="A6186" i="1"/>
  <c r="B6186" i="1"/>
  <c r="C6186" i="1"/>
  <c r="D6186" i="1"/>
  <c r="E6186" i="1"/>
  <c r="A6187" i="1"/>
  <c r="B6187" i="1"/>
  <c r="C6187" i="1"/>
  <c r="D6187" i="1"/>
  <c r="E6187" i="1"/>
  <c r="A6188" i="1"/>
  <c r="B6188" i="1"/>
  <c r="C6188" i="1"/>
  <c r="D6188" i="1"/>
  <c r="E6188" i="1"/>
  <c r="A6189" i="1"/>
  <c r="B6189" i="1"/>
  <c r="C6189" i="1"/>
  <c r="D6189" i="1"/>
  <c r="E6189" i="1"/>
  <c r="A6190" i="1"/>
  <c r="B6190" i="1"/>
  <c r="C6190" i="1"/>
  <c r="D6190" i="1"/>
  <c r="E6190" i="1"/>
  <c r="A6191" i="1"/>
  <c r="B6191" i="1"/>
  <c r="C6191" i="1"/>
  <c r="D6191" i="1"/>
  <c r="E6191" i="1"/>
  <c r="A6192" i="1"/>
  <c r="B6192" i="1"/>
  <c r="C6192" i="1"/>
  <c r="D6192" i="1"/>
  <c r="E6192" i="1"/>
  <c r="A6193" i="1"/>
  <c r="B6193" i="1"/>
  <c r="C6193" i="1"/>
  <c r="D6193" i="1"/>
  <c r="E6193" i="1"/>
  <c r="A6194" i="1"/>
  <c r="B6194" i="1"/>
  <c r="C6194" i="1"/>
  <c r="D6194" i="1"/>
  <c r="E6194" i="1"/>
  <c r="A6195" i="1"/>
  <c r="B6195" i="1"/>
  <c r="C6195" i="1"/>
  <c r="D6195" i="1"/>
  <c r="E6195" i="1"/>
  <c r="A6196" i="1"/>
  <c r="B6196" i="1"/>
  <c r="C6196" i="1"/>
  <c r="D6196" i="1"/>
  <c r="E6196" i="1"/>
  <c r="A6197" i="1"/>
  <c r="B6197" i="1"/>
  <c r="C6197" i="1"/>
  <c r="D6197" i="1"/>
  <c r="E6197" i="1"/>
  <c r="A6198" i="1"/>
  <c r="B6198" i="1"/>
  <c r="C6198" i="1"/>
  <c r="D6198" i="1"/>
  <c r="E6198" i="1"/>
  <c r="A6199" i="1"/>
  <c r="B6199" i="1"/>
  <c r="C6199" i="1"/>
  <c r="D6199" i="1"/>
  <c r="E6199" i="1"/>
  <c r="A6200" i="1"/>
  <c r="B6200" i="1"/>
  <c r="C6200" i="1"/>
  <c r="D6200" i="1"/>
  <c r="E6200" i="1"/>
  <c r="A6201" i="1"/>
  <c r="B6201" i="1"/>
  <c r="C6201" i="1"/>
  <c r="D6201" i="1"/>
  <c r="E6201" i="1"/>
  <c r="A6202" i="1"/>
  <c r="B6202" i="1"/>
  <c r="C6202" i="1"/>
  <c r="D6202" i="1"/>
  <c r="E6202" i="1"/>
  <c r="A6203" i="1"/>
  <c r="B6203" i="1"/>
  <c r="C6203" i="1"/>
  <c r="D6203" i="1"/>
  <c r="E6203" i="1"/>
  <c r="A6204" i="1"/>
  <c r="B6204" i="1"/>
  <c r="C6204" i="1"/>
  <c r="D6204" i="1"/>
  <c r="E6204" i="1"/>
  <c r="A6205" i="1"/>
  <c r="B6205" i="1"/>
  <c r="C6205" i="1"/>
  <c r="D6205" i="1"/>
  <c r="E6205" i="1"/>
  <c r="A6206" i="1"/>
  <c r="B6206" i="1"/>
  <c r="C6206" i="1"/>
  <c r="D6206" i="1"/>
  <c r="E6206" i="1"/>
  <c r="A6207" i="1"/>
  <c r="B6207" i="1"/>
  <c r="C6207" i="1"/>
  <c r="D6207" i="1"/>
  <c r="E6207" i="1"/>
  <c r="A6208" i="1"/>
  <c r="B6208" i="1"/>
  <c r="C6208" i="1"/>
  <c r="D6208" i="1"/>
  <c r="E6208" i="1"/>
  <c r="A6209" i="1"/>
  <c r="B6209" i="1"/>
  <c r="C6209" i="1"/>
  <c r="D6209" i="1"/>
  <c r="E6209" i="1"/>
  <c r="A6210" i="1"/>
  <c r="B6210" i="1"/>
  <c r="C6210" i="1"/>
  <c r="D6210" i="1"/>
  <c r="E6210" i="1"/>
  <c r="A6211" i="1"/>
  <c r="B6211" i="1"/>
  <c r="C6211" i="1"/>
  <c r="D6211" i="1"/>
  <c r="E6211" i="1"/>
  <c r="A6212" i="1"/>
  <c r="B6212" i="1"/>
  <c r="C6212" i="1"/>
  <c r="D6212" i="1"/>
  <c r="E6212" i="1"/>
  <c r="A6213" i="1"/>
  <c r="B6213" i="1"/>
  <c r="C6213" i="1"/>
  <c r="D6213" i="1"/>
  <c r="E6213" i="1"/>
  <c r="A6214" i="1"/>
  <c r="B6214" i="1"/>
  <c r="C6214" i="1"/>
  <c r="D6214" i="1"/>
  <c r="E6214" i="1"/>
  <c r="A6215" i="1"/>
  <c r="B6215" i="1"/>
  <c r="C6215" i="1"/>
  <c r="D6215" i="1"/>
  <c r="E6215" i="1"/>
  <c r="A6216" i="1"/>
  <c r="B6216" i="1"/>
  <c r="C6216" i="1"/>
  <c r="D6216" i="1"/>
  <c r="E6216" i="1"/>
  <c r="A6217" i="1"/>
  <c r="B6217" i="1"/>
  <c r="C6217" i="1"/>
  <c r="D6217" i="1"/>
  <c r="E6217" i="1"/>
  <c r="A6218" i="1"/>
  <c r="B6218" i="1"/>
  <c r="C6218" i="1"/>
  <c r="D6218" i="1"/>
  <c r="E6218" i="1"/>
  <c r="A6219" i="1"/>
  <c r="B6219" i="1"/>
  <c r="C6219" i="1"/>
  <c r="D6219" i="1"/>
  <c r="E6219" i="1"/>
  <c r="A6220" i="1"/>
  <c r="B6220" i="1"/>
  <c r="C6220" i="1"/>
  <c r="D6220" i="1"/>
  <c r="E6220" i="1"/>
  <c r="A6221" i="1"/>
  <c r="B6221" i="1"/>
  <c r="C6221" i="1"/>
  <c r="D6221" i="1"/>
  <c r="E6221" i="1"/>
  <c r="A6222" i="1"/>
  <c r="B6222" i="1"/>
  <c r="C6222" i="1"/>
  <c r="D6222" i="1"/>
  <c r="E6222" i="1"/>
  <c r="A6223" i="1"/>
  <c r="B6223" i="1"/>
  <c r="C6223" i="1"/>
  <c r="D6223" i="1"/>
  <c r="E6223" i="1"/>
  <c r="A6224" i="1"/>
  <c r="B6224" i="1"/>
  <c r="C6224" i="1"/>
  <c r="D6224" i="1"/>
  <c r="E6224" i="1"/>
  <c r="A6225" i="1"/>
  <c r="B6225" i="1"/>
  <c r="C6225" i="1"/>
  <c r="D6225" i="1"/>
  <c r="E6225" i="1"/>
  <c r="A6226" i="1"/>
  <c r="B6226" i="1"/>
  <c r="C6226" i="1"/>
  <c r="D6226" i="1"/>
  <c r="E6226" i="1"/>
  <c r="A6227" i="1"/>
  <c r="B6227" i="1"/>
  <c r="C6227" i="1"/>
  <c r="D6227" i="1"/>
  <c r="E6227" i="1"/>
  <c r="A6228" i="1"/>
  <c r="B6228" i="1"/>
  <c r="C6228" i="1"/>
  <c r="D6228" i="1"/>
  <c r="E6228" i="1"/>
  <c r="A6229" i="1"/>
  <c r="B6229" i="1"/>
  <c r="C6229" i="1"/>
  <c r="D6229" i="1"/>
  <c r="E6229" i="1"/>
  <c r="A6230" i="1"/>
  <c r="B6230" i="1"/>
  <c r="C6230" i="1"/>
  <c r="D6230" i="1"/>
  <c r="E6230" i="1"/>
  <c r="A6231" i="1"/>
  <c r="B6231" i="1"/>
  <c r="C6231" i="1"/>
  <c r="D6231" i="1"/>
  <c r="E6231" i="1"/>
  <c r="A6232" i="1"/>
  <c r="B6232" i="1"/>
  <c r="C6232" i="1"/>
  <c r="D6232" i="1"/>
  <c r="E6232" i="1"/>
  <c r="A6233" i="1"/>
  <c r="B6233" i="1"/>
  <c r="C6233" i="1"/>
  <c r="D6233" i="1"/>
  <c r="E6233" i="1"/>
  <c r="A6234" i="1"/>
  <c r="B6234" i="1"/>
  <c r="C6234" i="1"/>
  <c r="D6234" i="1"/>
  <c r="E6234" i="1"/>
  <c r="A6235" i="1"/>
  <c r="B6235" i="1"/>
  <c r="C6235" i="1"/>
  <c r="D6235" i="1"/>
  <c r="E6235" i="1"/>
  <c r="A6236" i="1"/>
  <c r="B6236" i="1"/>
  <c r="C6236" i="1"/>
  <c r="D6236" i="1"/>
  <c r="E6236" i="1"/>
  <c r="A6237" i="1"/>
  <c r="B6237" i="1"/>
  <c r="C6237" i="1"/>
  <c r="D6237" i="1"/>
  <c r="E6237" i="1"/>
  <c r="A6238" i="1"/>
  <c r="B6238" i="1"/>
  <c r="C6238" i="1"/>
  <c r="D6238" i="1"/>
  <c r="E6238" i="1"/>
  <c r="A6239" i="1"/>
  <c r="B6239" i="1"/>
  <c r="C6239" i="1"/>
  <c r="D6239" i="1"/>
  <c r="E6239" i="1"/>
  <c r="A6240" i="1"/>
  <c r="B6240" i="1"/>
  <c r="C6240" i="1"/>
  <c r="D6240" i="1"/>
  <c r="E6240" i="1"/>
  <c r="A6241" i="1"/>
  <c r="B6241" i="1"/>
  <c r="C6241" i="1"/>
  <c r="D6241" i="1"/>
  <c r="E6241" i="1"/>
  <c r="A6242" i="1"/>
  <c r="B6242" i="1"/>
  <c r="C6242" i="1"/>
  <c r="D6242" i="1"/>
  <c r="E6242" i="1"/>
  <c r="A6243" i="1"/>
  <c r="B6243" i="1"/>
  <c r="C6243" i="1"/>
  <c r="D6243" i="1"/>
  <c r="E6243" i="1"/>
  <c r="A6244" i="1"/>
  <c r="B6244" i="1"/>
  <c r="C6244" i="1"/>
  <c r="D6244" i="1"/>
  <c r="E6244" i="1"/>
  <c r="A6245" i="1"/>
  <c r="B6245" i="1"/>
  <c r="C6245" i="1"/>
  <c r="D6245" i="1"/>
  <c r="E6245" i="1"/>
  <c r="A6246" i="1"/>
  <c r="B6246" i="1"/>
  <c r="C6246" i="1"/>
  <c r="D6246" i="1"/>
  <c r="E6246" i="1"/>
  <c r="A6247" i="1"/>
  <c r="B6247" i="1"/>
  <c r="C6247" i="1"/>
  <c r="D6247" i="1"/>
  <c r="E6247" i="1"/>
  <c r="A6248" i="1"/>
  <c r="B6248" i="1"/>
  <c r="C6248" i="1"/>
  <c r="D6248" i="1"/>
  <c r="E6248" i="1"/>
  <c r="A6249" i="1"/>
  <c r="B6249" i="1"/>
  <c r="C6249" i="1"/>
  <c r="D6249" i="1"/>
  <c r="E6249" i="1"/>
  <c r="A6250" i="1"/>
  <c r="B6250" i="1"/>
  <c r="C6250" i="1"/>
  <c r="D6250" i="1"/>
  <c r="E6250" i="1"/>
  <c r="A6251" i="1"/>
  <c r="B6251" i="1"/>
  <c r="C6251" i="1"/>
  <c r="D6251" i="1"/>
  <c r="E6251" i="1"/>
  <c r="A6252" i="1"/>
  <c r="B6252" i="1"/>
  <c r="C6252" i="1"/>
  <c r="D6252" i="1"/>
  <c r="E6252" i="1"/>
  <c r="A6253" i="1"/>
  <c r="B6253" i="1"/>
  <c r="C6253" i="1"/>
  <c r="D6253" i="1"/>
  <c r="E6253" i="1"/>
  <c r="A6254" i="1"/>
  <c r="B6254" i="1"/>
  <c r="C6254" i="1"/>
  <c r="D6254" i="1"/>
  <c r="E6254" i="1"/>
  <c r="A6255" i="1"/>
  <c r="B6255" i="1"/>
  <c r="C6255" i="1"/>
  <c r="D6255" i="1"/>
  <c r="E6255" i="1"/>
  <c r="A6256" i="1"/>
  <c r="B6256" i="1"/>
  <c r="C6256" i="1"/>
  <c r="D6256" i="1"/>
  <c r="E6256" i="1"/>
  <c r="A6257" i="1"/>
  <c r="B6257" i="1"/>
  <c r="C6257" i="1"/>
  <c r="D6257" i="1"/>
  <c r="E6257" i="1"/>
  <c r="A6258" i="1"/>
  <c r="B6258" i="1"/>
  <c r="C6258" i="1"/>
  <c r="D6258" i="1"/>
  <c r="E6258" i="1"/>
  <c r="A6259" i="1"/>
  <c r="B6259" i="1"/>
  <c r="C6259" i="1"/>
  <c r="D6259" i="1"/>
  <c r="E6259" i="1"/>
  <c r="A6260" i="1"/>
  <c r="B6260" i="1"/>
  <c r="C6260" i="1"/>
  <c r="D6260" i="1"/>
  <c r="E6260" i="1"/>
  <c r="A6261" i="1"/>
  <c r="B6261" i="1"/>
  <c r="C6261" i="1"/>
  <c r="D6261" i="1"/>
  <c r="E6261" i="1"/>
  <c r="A6262" i="1"/>
  <c r="B6262" i="1"/>
  <c r="C6262" i="1"/>
  <c r="D6262" i="1"/>
  <c r="E6262" i="1"/>
  <c r="A6263" i="1"/>
  <c r="B6263" i="1"/>
  <c r="C6263" i="1"/>
  <c r="D6263" i="1"/>
  <c r="E6263" i="1"/>
  <c r="A6264" i="1"/>
  <c r="B6264" i="1"/>
  <c r="C6264" i="1"/>
  <c r="D6264" i="1"/>
  <c r="E6264" i="1"/>
  <c r="A6265" i="1"/>
  <c r="B6265" i="1"/>
  <c r="C6265" i="1"/>
  <c r="D6265" i="1"/>
  <c r="E6265" i="1"/>
  <c r="A6266" i="1"/>
  <c r="B6266" i="1"/>
  <c r="C6266" i="1"/>
  <c r="D6266" i="1"/>
  <c r="E6266" i="1"/>
  <c r="A6267" i="1"/>
  <c r="B6267" i="1"/>
  <c r="C6267" i="1"/>
  <c r="D6267" i="1"/>
  <c r="E6267" i="1"/>
  <c r="A6268" i="1"/>
  <c r="B6268" i="1"/>
  <c r="C6268" i="1"/>
  <c r="D6268" i="1"/>
  <c r="E6268" i="1"/>
  <c r="A6269" i="1"/>
  <c r="B6269" i="1"/>
  <c r="C6269" i="1"/>
  <c r="D6269" i="1"/>
  <c r="E6269" i="1"/>
  <c r="A6270" i="1"/>
  <c r="B6270" i="1"/>
  <c r="C6270" i="1"/>
  <c r="D6270" i="1"/>
  <c r="E6270" i="1"/>
  <c r="A6271" i="1"/>
  <c r="B6271" i="1"/>
  <c r="C6271" i="1"/>
  <c r="D6271" i="1"/>
  <c r="E6271" i="1"/>
  <c r="A6272" i="1"/>
  <c r="B6272" i="1"/>
  <c r="C6272" i="1"/>
  <c r="D6272" i="1"/>
  <c r="E6272" i="1"/>
  <c r="A6273" i="1"/>
  <c r="B6273" i="1"/>
  <c r="C6273" i="1"/>
  <c r="D6273" i="1"/>
  <c r="E6273" i="1"/>
  <c r="A6274" i="1"/>
  <c r="B6274" i="1"/>
  <c r="C6274" i="1"/>
  <c r="D6274" i="1"/>
  <c r="E6274" i="1"/>
  <c r="A6275" i="1"/>
  <c r="B6275" i="1"/>
  <c r="C6275" i="1"/>
  <c r="D6275" i="1"/>
  <c r="E6275" i="1"/>
  <c r="A6276" i="1"/>
  <c r="B6276" i="1"/>
  <c r="C6276" i="1"/>
  <c r="D6276" i="1"/>
  <c r="E6276" i="1"/>
  <c r="A6277" i="1"/>
  <c r="B6277" i="1"/>
  <c r="C6277" i="1"/>
  <c r="D6277" i="1"/>
  <c r="E6277" i="1"/>
  <c r="A6278" i="1"/>
  <c r="B6278" i="1"/>
  <c r="C6278" i="1"/>
  <c r="D6278" i="1"/>
  <c r="E6278" i="1"/>
  <c r="A6279" i="1"/>
  <c r="B6279" i="1"/>
  <c r="C6279" i="1"/>
  <c r="D6279" i="1"/>
  <c r="E6279" i="1"/>
  <c r="A6280" i="1"/>
  <c r="B6280" i="1"/>
  <c r="C6280" i="1"/>
  <c r="D6280" i="1"/>
  <c r="E6280" i="1"/>
  <c r="A6281" i="1"/>
  <c r="B6281" i="1"/>
  <c r="C6281" i="1"/>
  <c r="D6281" i="1"/>
  <c r="E6281" i="1"/>
  <c r="A6282" i="1"/>
  <c r="B6282" i="1"/>
  <c r="C6282" i="1"/>
  <c r="D6282" i="1"/>
  <c r="E6282" i="1"/>
  <c r="A6283" i="1"/>
  <c r="B6283" i="1"/>
  <c r="C6283" i="1"/>
  <c r="D6283" i="1"/>
  <c r="E6283" i="1"/>
  <c r="A6284" i="1"/>
  <c r="B6284" i="1"/>
  <c r="C6284" i="1"/>
  <c r="D6284" i="1"/>
  <c r="E6284" i="1"/>
  <c r="A6285" i="1"/>
  <c r="B6285" i="1"/>
  <c r="C6285" i="1"/>
  <c r="D6285" i="1"/>
  <c r="E6285" i="1"/>
  <c r="A6286" i="1"/>
  <c r="B6286" i="1"/>
  <c r="C6286" i="1"/>
  <c r="D6286" i="1"/>
  <c r="E6286" i="1"/>
  <c r="A6287" i="1"/>
  <c r="B6287" i="1"/>
  <c r="C6287" i="1"/>
  <c r="D6287" i="1"/>
  <c r="E6287" i="1"/>
  <c r="A6288" i="1"/>
  <c r="B6288" i="1"/>
  <c r="C6288" i="1"/>
  <c r="D6288" i="1"/>
  <c r="E6288" i="1"/>
  <c r="A6289" i="1"/>
  <c r="B6289" i="1"/>
  <c r="C6289" i="1"/>
  <c r="D6289" i="1"/>
  <c r="E6289" i="1"/>
  <c r="A6290" i="1"/>
  <c r="B6290" i="1"/>
  <c r="C6290" i="1"/>
  <c r="D6290" i="1"/>
  <c r="E6290" i="1"/>
  <c r="A6291" i="1"/>
  <c r="B6291" i="1"/>
  <c r="C6291" i="1"/>
  <c r="D6291" i="1"/>
  <c r="E6291" i="1"/>
  <c r="A6292" i="1"/>
  <c r="B6292" i="1"/>
  <c r="C6292" i="1"/>
  <c r="D6292" i="1"/>
  <c r="E6292" i="1"/>
  <c r="A6293" i="1"/>
  <c r="B6293" i="1"/>
  <c r="C6293" i="1"/>
  <c r="D6293" i="1"/>
  <c r="E6293" i="1"/>
  <c r="A6294" i="1"/>
  <c r="B6294" i="1"/>
  <c r="C6294" i="1"/>
  <c r="D6294" i="1"/>
  <c r="E6294" i="1"/>
  <c r="A6295" i="1"/>
  <c r="B6295" i="1"/>
  <c r="C6295" i="1"/>
  <c r="D6295" i="1"/>
  <c r="E6295" i="1"/>
  <c r="A6296" i="1"/>
  <c r="B6296" i="1"/>
  <c r="C6296" i="1"/>
  <c r="D6296" i="1"/>
  <c r="E6296" i="1"/>
  <c r="A6297" i="1"/>
  <c r="B6297" i="1"/>
  <c r="C6297" i="1"/>
  <c r="D6297" i="1"/>
  <c r="E6297" i="1"/>
  <c r="A6298" i="1"/>
  <c r="B6298" i="1"/>
  <c r="C6298" i="1"/>
  <c r="D6298" i="1"/>
  <c r="E6298" i="1"/>
  <c r="A6299" i="1"/>
  <c r="B6299" i="1"/>
  <c r="C6299" i="1"/>
  <c r="D6299" i="1"/>
  <c r="E6299" i="1"/>
  <c r="A6300" i="1"/>
  <c r="B6300" i="1"/>
  <c r="C6300" i="1"/>
  <c r="D6300" i="1"/>
  <c r="E6300" i="1"/>
  <c r="A6301" i="1"/>
  <c r="B6301" i="1"/>
  <c r="C6301" i="1"/>
  <c r="D6301" i="1"/>
  <c r="E6301" i="1"/>
  <c r="A6302" i="1"/>
  <c r="B6302" i="1"/>
  <c r="C6302" i="1"/>
  <c r="D6302" i="1"/>
  <c r="E6302" i="1"/>
  <c r="A6303" i="1"/>
  <c r="B6303" i="1"/>
  <c r="C6303" i="1"/>
  <c r="D6303" i="1"/>
  <c r="E6303" i="1"/>
  <c r="A6304" i="1"/>
  <c r="B6304" i="1"/>
  <c r="C6304" i="1"/>
  <c r="D6304" i="1"/>
  <c r="E6304" i="1"/>
  <c r="A6305" i="1"/>
  <c r="B6305" i="1"/>
  <c r="C6305" i="1"/>
  <c r="D6305" i="1"/>
  <c r="E6305" i="1"/>
  <c r="A6306" i="1"/>
  <c r="B6306" i="1"/>
  <c r="C6306" i="1"/>
  <c r="D6306" i="1"/>
  <c r="E6306" i="1"/>
  <c r="A6307" i="1"/>
  <c r="B6307" i="1"/>
  <c r="C6307" i="1"/>
  <c r="D6307" i="1"/>
  <c r="E6307" i="1"/>
  <c r="A6308" i="1"/>
  <c r="B6308" i="1"/>
  <c r="C6308" i="1"/>
  <c r="D6308" i="1"/>
  <c r="E6308" i="1"/>
  <c r="A6309" i="1"/>
  <c r="B6309" i="1"/>
  <c r="C6309" i="1"/>
  <c r="D6309" i="1"/>
  <c r="E6309" i="1"/>
  <c r="A6310" i="1"/>
  <c r="B6310" i="1"/>
  <c r="C6310" i="1"/>
  <c r="D6310" i="1"/>
  <c r="E6310" i="1"/>
  <c r="A6311" i="1"/>
  <c r="B6311" i="1"/>
  <c r="C6311" i="1"/>
  <c r="D6311" i="1"/>
  <c r="E6311" i="1"/>
  <c r="A6312" i="1"/>
  <c r="B6312" i="1"/>
  <c r="C6312" i="1"/>
  <c r="D6312" i="1"/>
  <c r="E6312" i="1"/>
  <c r="A6313" i="1"/>
  <c r="B6313" i="1"/>
  <c r="C6313" i="1"/>
  <c r="D6313" i="1"/>
  <c r="E6313" i="1"/>
  <c r="A6314" i="1"/>
  <c r="B6314" i="1"/>
  <c r="C6314" i="1"/>
  <c r="D6314" i="1"/>
  <c r="E6314" i="1"/>
  <c r="A6315" i="1"/>
  <c r="B6315" i="1"/>
  <c r="C6315" i="1"/>
  <c r="D6315" i="1"/>
  <c r="E6315" i="1"/>
  <c r="A6316" i="1"/>
  <c r="B6316" i="1"/>
  <c r="C6316" i="1"/>
  <c r="D6316" i="1"/>
  <c r="E6316" i="1"/>
  <c r="A6317" i="1"/>
  <c r="B6317" i="1"/>
  <c r="C6317" i="1"/>
  <c r="D6317" i="1"/>
  <c r="E6317" i="1"/>
  <c r="A6318" i="1"/>
  <c r="B6318" i="1"/>
  <c r="C6318" i="1"/>
  <c r="D6318" i="1"/>
  <c r="E6318" i="1"/>
  <c r="A6319" i="1"/>
  <c r="B6319" i="1"/>
  <c r="C6319" i="1"/>
  <c r="D6319" i="1"/>
  <c r="E6319" i="1"/>
  <c r="A6320" i="1"/>
  <c r="B6320" i="1"/>
  <c r="C6320" i="1"/>
  <c r="D6320" i="1"/>
  <c r="E6320" i="1"/>
  <c r="A6321" i="1"/>
  <c r="B6321" i="1"/>
  <c r="C6321" i="1"/>
  <c r="D6321" i="1"/>
  <c r="E6321" i="1"/>
  <c r="A6322" i="1"/>
  <c r="B6322" i="1"/>
  <c r="C6322" i="1"/>
  <c r="D6322" i="1"/>
  <c r="E6322" i="1"/>
  <c r="A6323" i="1"/>
  <c r="B6323" i="1"/>
  <c r="C6323" i="1"/>
  <c r="D6323" i="1"/>
  <c r="E6323" i="1"/>
  <c r="A6324" i="1"/>
  <c r="B6324" i="1"/>
  <c r="C6324" i="1"/>
  <c r="D6324" i="1"/>
  <c r="E6324" i="1"/>
  <c r="A6325" i="1"/>
  <c r="B6325" i="1"/>
  <c r="C6325" i="1"/>
  <c r="D6325" i="1"/>
  <c r="E6325" i="1"/>
  <c r="A6326" i="1"/>
  <c r="B6326" i="1"/>
  <c r="C6326" i="1"/>
  <c r="D6326" i="1"/>
  <c r="E6326" i="1"/>
  <c r="A6327" i="1"/>
  <c r="B6327" i="1"/>
  <c r="C6327" i="1"/>
  <c r="D6327" i="1"/>
  <c r="E6327" i="1"/>
  <c r="A6328" i="1"/>
  <c r="B6328" i="1"/>
  <c r="C6328" i="1"/>
  <c r="D6328" i="1"/>
  <c r="E6328" i="1"/>
  <c r="A6329" i="1"/>
  <c r="B6329" i="1"/>
  <c r="C6329" i="1"/>
  <c r="D6329" i="1"/>
  <c r="E6329" i="1"/>
  <c r="A6330" i="1"/>
  <c r="B6330" i="1"/>
  <c r="C6330" i="1"/>
  <c r="D6330" i="1"/>
  <c r="E6330" i="1"/>
  <c r="A6331" i="1"/>
  <c r="B6331" i="1"/>
  <c r="C6331" i="1"/>
  <c r="D6331" i="1"/>
  <c r="E6331" i="1"/>
  <c r="A6332" i="1"/>
  <c r="B6332" i="1"/>
  <c r="C6332" i="1"/>
  <c r="D6332" i="1"/>
  <c r="E6332" i="1"/>
  <c r="A6333" i="1"/>
  <c r="B6333" i="1"/>
  <c r="C6333" i="1"/>
  <c r="D6333" i="1"/>
  <c r="E6333" i="1"/>
  <c r="A6334" i="1"/>
  <c r="B6334" i="1"/>
  <c r="C6334" i="1"/>
  <c r="D6334" i="1"/>
  <c r="E6334" i="1"/>
  <c r="A6335" i="1"/>
  <c r="B6335" i="1"/>
  <c r="C6335" i="1"/>
  <c r="D6335" i="1"/>
  <c r="E6335" i="1"/>
  <c r="A6336" i="1"/>
  <c r="B6336" i="1"/>
  <c r="C6336" i="1"/>
  <c r="D6336" i="1"/>
  <c r="E6336" i="1"/>
  <c r="A6337" i="1"/>
  <c r="B6337" i="1"/>
  <c r="C6337" i="1"/>
  <c r="D6337" i="1"/>
  <c r="E6337" i="1"/>
  <c r="A6338" i="1"/>
  <c r="B6338" i="1"/>
  <c r="C6338" i="1"/>
  <c r="D6338" i="1"/>
  <c r="E6338" i="1"/>
  <c r="A6339" i="1"/>
  <c r="B6339" i="1"/>
  <c r="C6339" i="1"/>
  <c r="D6339" i="1"/>
  <c r="E6339" i="1"/>
  <c r="A6340" i="1"/>
  <c r="B6340" i="1"/>
  <c r="C6340" i="1"/>
  <c r="D6340" i="1"/>
  <c r="E6340" i="1"/>
  <c r="A6341" i="1"/>
  <c r="B6341" i="1"/>
  <c r="C6341" i="1"/>
  <c r="D6341" i="1"/>
  <c r="E6341" i="1"/>
  <c r="A6342" i="1"/>
  <c r="B6342" i="1"/>
  <c r="C6342" i="1"/>
  <c r="D6342" i="1"/>
  <c r="E6342" i="1"/>
  <c r="A6343" i="1"/>
  <c r="B6343" i="1"/>
  <c r="C6343" i="1"/>
  <c r="D6343" i="1"/>
  <c r="E6343" i="1"/>
  <c r="A6344" i="1"/>
  <c r="B6344" i="1"/>
  <c r="C6344" i="1"/>
  <c r="D6344" i="1"/>
  <c r="E6344" i="1"/>
  <c r="A6345" i="1"/>
  <c r="B6345" i="1"/>
  <c r="C6345" i="1"/>
  <c r="D6345" i="1"/>
  <c r="E6345" i="1"/>
  <c r="A6346" i="1"/>
  <c r="B6346" i="1"/>
  <c r="C6346" i="1"/>
  <c r="D6346" i="1"/>
  <c r="E6346" i="1"/>
  <c r="A6347" i="1"/>
  <c r="B6347" i="1"/>
  <c r="C6347" i="1"/>
  <c r="D6347" i="1"/>
  <c r="E6347" i="1"/>
  <c r="A6348" i="1"/>
  <c r="B6348" i="1"/>
  <c r="C6348" i="1"/>
  <c r="D6348" i="1"/>
  <c r="E6348" i="1"/>
  <c r="A6349" i="1"/>
  <c r="B6349" i="1"/>
  <c r="C6349" i="1"/>
  <c r="D6349" i="1"/>
  <c r="E6349" i="1"/>
  <c r="A6350" i="1"/>
  <c r="B6350" i="1"/>
  <c r="C6350" i="1"/>
  <c r="D6350" i="1"/>
  <c r="E6350" i="1"/>
  <c r="A6351" i="1"/>
  <c r="B6351" i="1"/>
  <c r="C6351" i="1"/>
  <c r="D6351" i="1"/>
  <c r="E6351" i="1"/>
  <c r="A6352" i="1"/>
  <c r="B6352" i="1"/>
  <c r="C6352" i="1"/>
  <c r="D6352" i="1"/>
  <c r="E6352" i="1"/>
  <c r="A6353" i="1"/>
  <c r="B6353" i="1"/>
  <c r="C6353" i="1"/>
  <c r="D6353" i="1"/>
  <c r="E6353" i="1"/>
  <c r="A6354" i="1"/>
  <c r="B6354" i="1"/>
  <c r="C6354" i="1"/>
  <c r="D6354" i="1"/>
  <c r="E6354" i="1"/>
  <c r="A6355" i="1"/>
  <c r="B6355" i="1"/>
  <c r="C6355" i="1"/>
  <c r="D6355" i="1"/>
  <c r="E6355" i="1"/>
  <c r="A6356" i="1"/>
  <c r="B6356" i="1"/>
  <c r="C6356" i="1"/>
  <c r="D6356" i="1"/>
  <c r="E6356" i="1"/>
  <c r="A6357" i="1"/>
  <c r="B6357" i="1"/>
  <c r="C6357" i="1"/>
  <c r="D6357" i="1"/>
  <c r="E6357" i="1"/>
  <c r="A6358" i="1"/>
  <c r="B6358" i="1"/>
  <c r="C6358" i="1"/>
  <c r="D6358" i="1"/>
  <c r="E6358" i="1"/>
  <c r="A6359" i="1"/>
  <c r="B6359" i="1"/>
  <c r="C6359" i="1"/>
  <c r="D6359" i="1"/>
  <c r="E6359" i="1"/>
  <c r="A6360" i="1"/>
  <c r="B6360" i="1"/>
  <c r="C6360" i="1"/>
  <c r="D6360" i="1"/>
  <c r="E6360" i="1"/>
  <c r="A6361" i="1"/>
  <c r="B6361" i="1"/>
  <c r="C6361" i="1"/>
  <c r="D6361" i="1"/>
  <c r="E6361" i="1"/>
  <c r="A6362" i="1"/>
  <c r="B6362" i="1"/>
  <c r="C6362" i="1"/>
  <c r="D6362" i="1"/>
  <c r="E6362" i="1"/>
  <c r="A6363" i="1"/>
  <c r="B6363" i="1"/>
  <c r="C6363" i="1"/>
  <c r="D6363" i="1"/>
  <c r="E6363" i="1"/>
  <c r="A6364" i="1"/>
  <c r="B6364" i="1"/>
  <c r="C6364" i="1"/>
  <c r="D6364" i="1"/>
  <c r="E6364" i="1"/>
  <c r="A6365" i="1"/>
  <c r="B6365" i="1"/>
  <c r="C6365" i="1"/>
  <c r="D6365" i="1"/>
  <c r="E6365" i="1"/>
  <c r="A6366" i="1"/>
  <c r="B6366" i="1"/>
  <c r="C6366" i="1"/>
  <c r="D6366" i="1"/>
  <c r="E6366" i="1"/>
  <c r="A6367" i="1"/>
  <c r="B6367" i="1"/>
  <c r="C6367" i="1"/>
  <c r="D6367" i="1"/>
  <c r="E6367" i="1"/>
  <c r="A6368" i="1"/>
  <c r="B6368" i="1"/>
  <c r="C6368" i="1"/>
  <c r="D6368" i="1"/>
  <c r="E6368" i="1"/>
  <c r="A6369" i="1"/>
  <c r="B6369" i="1"/>
  <c r="C6369" i="1"/>
  <c r="D6369" i="1"/>
  <c r="E6369" i="1"/>
  <c r="A6370" i="1"/>
  <c r="B6370" i="1"/>
  <c r="C6370" i="1"/>
  <c r="D6370" i="1"/>
  <c r="E6370" i="1"/>
  <c r="A6371" i="1"/>
  <c r="B6371" i="1"/>
  <c r="C6371" i="1"/>
  <c r="D6371" i="1"/>
  <c r="E6371" i="1"/>
  <c r="A6372" i="1"/>
  <c r="B6372" i="1"/>
  <c r="C6372" i="1"/>
  <c r="D6372" i="1"/>
  <c r="E6372" i="1"/>
  <c r="A6373" i="1"/>
  <c r="B6373" i="1"/>
  <c r="C6373" i="1"/>
  <c r="D6373" i="1"/>
  <c r="E6373" i="1"/>
  <c r="A6374" i="1"/>
  <c r="B6374" i="1"/>
  <c r="C6374" i="1"/>
  <c r="D6374" i="1"/>
  <c r="E6374" i="1"/>
  <c r="A6375" i="1"/>
  <c r="B6375" i="1"/>
  <c r="C6375" i="1"/>
  <c r="D6375" i="1"/>
  <c r="E6375" i="1"/>
  <c r="A6376" i="1"/>
  <c r="B6376" i="1"/>
  <c r="C6376" i="1"/>
  <c r="D6376" i="1"/>
  <c r="E6376" i="1"/>
  <c r="A6377" i="1"/>
  <c r="B6377" i="1"/>
  <c r="C6377" i="1"/>
  <c r="D6377" i="1"/>
  <c r="E6377" i="1"/>
  <c r="A6378" i="1"/>
  <c r="B6378" i="1"/>
  <c r="C6378" i="1"/>
  <c r="D6378" i="1"/>
  <c r="E6378" i="1"/>
  <c r="A6379" i="1"/>
  <c r="B6379" i="1"/>
  <c r="C6379" i="1"/>
  <c r="D6379" i="1"/>
  <c r="E6379" i="1"/>
  <c r="A6380" i="1"/>
  <c r="B6380" i="1"/>
  <c r="C6380" i="1"/>
  <c r="D6380" i="1"/>
  <c r="E6380" i="1"/>
  <c r="A6381" i="1"/>
  <c r="B6381" i="1"/>
  <c r="C6381" i="1"/>
  <c r="D6381" i="1"/>
  <c r="E6381" i="1"/>
  <c r="A6382" i="1"/>
  <c r="B6382" i="1"/>
  <c r="C6382" i="1"/>
  <c r="D6382" i="1"/>
  <c r="E6382" i="1"/>
  <c r="A6383" i="1"/>
  <c r="B6383" i="1"/>
  <c r="C6383" i="1"/>
  <c r="D6383" i="1"/>
  <c r="E6383" i="1"/>
  <c r="A6384" i="1"/>
  <c r="B6384" i="1"/>
  <c r="C6384" i="1"/>
  <c r="D6384" i="1"/>
  <c r="E6384" i="1"/>
  <c r="A6385" i="1"/>
  <c r="B6385" i="1"/>
  <c r="C6385" i="1"/>
  <c r="D6385" i="1"/>
  <c r="E6385" i="1"/>
  <c r="A6386" i="1"/>
  <c r="B6386" i="1"/>
  <c r="C6386" i="1"/>
  <c r="D6386" i="1"/>
  <c r="E6386" i="1"/>
  <c r="A6387" i="1"/>
  <c r="B6387" i="1"/>
  <c r="C6387" i="1"/>
  <c r="D6387" i="1"/>
  <c r="E6387" i="1"/>
  <c r="A6388" i="1"/>
  <c r="B6388" i="1"/>
  <c r="C6388" i="1"/>
  <c r="D6388" i="1"/>
  <c r="E6388" i="1"/>
  <c r="A6389" i="1"/>
  <c r="B6389" i="1"/>
  <c r="C6389" i="1"/>
  <c r="D6389" i="1"/>
  <c r="E6389" i="1"/>
  <c r="A6390" i="1"/>
  <c r="B6390" i="1"/>
  <c r="C6390" i="1"/>
  <c r="D6390" i="1"/>
  <c r="E6390" i="1"/>
  <c r="A6391" i="1"/>
  <c r="B6391" i="1"/>
  <c r="C6391" i="1"/>
  <c r="D6391" i="1"/>
  <c r="E6391" i="1"/>
  <c r="A6392" i="1"/>
  <c r="B6392" i="1"/>
  <c r="C6392" i="1"/>
  <c r="D6392" i="1"/>
  <c r="E6392" i="1"/>
  <c r="A6393" i="1"/>
  <c r="B6393" i="1"/>
  <c r="C6393" i="1"/>
  <c r="D6393" i="1"/>
  <c r="E6393" i="1"/>
  <c r="A6394" i="1"/>
  <c r="B6394" i="1"/>
  <c r="C6394" i="1"/>
  <c r="D6394" i="1"/>
  <c r="E6394" i="1"/>
  <c r="A6395" i="1"/>
  <c r="B6395" i="1"/>
  <c r="C6395" i="1"/>
  <c r="D6395" i="1"/>
  <c r="E6395" i="1"/>
  <c r="A6396" i="1"/>
  <c r="B6396" i="1"/>
  <c r="C6396" i="1"/>
  <c r="D6396" i="1"/>
  <c r="E6396" i="1"/>
  <c r="A6397" i="1"/>
  <c r="B6397" i="1"/>
  <c r="C6397" i="1"/>
  <c r="D6397" i="1"/>
  <c r="E6397" i="1"/>
  <c r="A6398" i="1"/>
  <c r="B6398" i="1"/>
  <c r="C6398" i="1"/>
  <c r="D6398" i="1"/>
  <c r="E6398" i="1"/>
  <c r="A6399" i="1"/>
  <c r="B6399" i="1"/>
  <c r="C6399" i="1"/>
  <c r="D6399" i="1"/>
  <c r="E6399" i="1"/>
  <c r="A6400" i="1"/>
  <c r="B6400" i="1"/>
  <c r="C6400" i="1"/>
  <c r="D6400" i="1"/>
  <c r="E6400" i="1"/>
  <c r="A6401" i="1"/>
  <c r="B6401" i="1"/>
  <c r="C6401" i="1"/>
  <c r="D6401" i="1"/>
  <c r="E6401" i="1"/>
  <c r="A6402" i="1"/>
  <c r="B6402" i="1"/>
  <c r="C6402" i="1"/>
  <c r="D6402" i="1"/>
  <c r="E6402" i="1"/>
  <c r="A6403" i="1"/>
  <c r="B6403" i="1"/>
  <c r="C6403" i="1"/>
  <c r="D6403" i="1"/>
  <c r="E6403" i="1"/>
  <c r="A6404" i="1"/>
  <c r="B6404" i="1"/>
  <c r="C6404" i="1"/>
  <c r="D6404" i="1"/>
  <c r="E6404" i="1"/>
  <c r="A6405" i="1"/>
  <c r="B6405" i="1"/>
  <c r="C6405" i="1"/>
  <c r="D6405" i="1"/>
  <c r="E6405" i="1"/>
  <c r="A6406" i="1"/>
  <c r="B6406" i="1"/>
  <c r="C6406" i="1"/>
  <c r="D6406" i="1"/>
  <c r="E6406" i="1"/>
  <c r="A6407" i="1"/>
  <c r="B6407" i="1"/>
  <c r="C6407" i="1"/>
  <c r="D6407" i="1"/>
  <c r="E6407" i="1"/>
  <c r="A6408" i="1"/>
  <c r="B6408" i="1"/>
  <c r="C6408" i="1"/>
  <c r="D6408" i="1"/>
  <c r="E6408" i="1"/>
  <c r="A6409" i="1"/>
  <c r="B6409" i="1"/>
  <c r="C6409" i="1"/>
  <c r="D6409" i="1"/>
  <c r="E6409" i="1"/>
  <c r="A6410" i="1"/>
  <c r="B6410" i="1"/>
  <c r="C6410" i="1"/>
  <c r="D6410" i="1"/>
  <c r="E6410" i="1"/>
  <c r="A6411" i="1"/>
  <c r="B6411" i="1"/>
  <c r="C6411" i="1"/>
  <c r="D6411" i="1"/>
  <c r="E6411" i="1"/>
  <c r="A6412" i="1"/>
  <c r="B6412" i="1"/>
  <c r="C6412" i="1"/>
  <c r="D6412" i="1"/>
  <c r="E6412" i="1"/>
  <c r="A6413" i="1"/>
  <c r="B6413" i="1"/>
  <c r="C6413" i="1"/>
  <c r="D6413" i="1"/>
  <c r="E6413" i="1"/>
  <c r="A6414" i="1"/>
  <c r="B6414" i="1"/>
  <c r="C6414" i="1"/>
  <c r="D6414" i="1"/>
  <c r="E6414" i="1"/>
  <c r="A6415" i="1"/>
  <c r="B6415" i="1"/>
  <c r="C6415" i="1"/>
  <c r="D6415" i="1"/>
  <c r="E6415" i="1"/>
  <c r="A6416" i="1"/>
  <c r="B6416" i="1"/>
  <c r="C6416" i="1"/>
  <c r="D6416" i="1"/>
  <c r="E6416" i="1"/>
  <c r="A6417" i="1"/>
  <c r="B6417" i="1"/>
  <c r="C6417" i="1"/>
  <c r="D6417" i="1"/>
  <c r="E6417" i="1"/>
  <c r="A6418" i="1"/>
  <c r="B6418" i="1"/>
  <c r="C6418" i="1"/>
  <c r="D6418" i="1"/>
  <c r="E6418" i="1"/>
  <c r="A6419" i="1"/>
  <c r="B6419" i="1"/>
  <c r="C6419" i="1"/>
  <c r="D6419" i="1"/>
  <c r="E6419" i="1"/>
  <c r="A6420" i="1"/>
  <c r="B6420" i="1"/>
  <c r="C6420" i="1"/>
  <c r="D6420" i="1"/>
  <c r="E6420" i="1"/>
  <c r="A6421" i="1"/>
  <c r="B6421" i="1"/>
  <c r="C6421" i="1"/>
  <c r="D6421" i="1"/>
  <c r="E6421" i="1"/>
  <c r="A6422" i="1"/>
  <c r="B6422" i="1"/>
  <c r="C6422" i="1"/>
  <c r="D6422" i="1"/>
  <c r="E6422" i="1"/>
  <c r="A6423" i="1"/>
  <c r="B6423" i="1"/>
  <c r="C6423" i="1"/>
  <c r="D6423" i="1"/>
  <c r="E6423" i="1"/>
  <c r="A6424" i="1"/>
  <c r="B6424" i="1"/>
  <c r="C6424" i="1"/>
  <c r="D6424" i="1"/>
  <c r="E6424" i="1"/>
  <c r="A6425" i="1"/>
  <c r="B6425" i="1"/>
  <c r="C6425" i="1"/>
  <c r="D6425" i="1"/>
  <c r="E6425" i="1"/>
  <c r="A6426" i="1"/>
  <c r="B6426" i="1"/>
  <c r="C6426" i="1"/>
  <c r="D6426" i="1"/>
  <c r="E6426" i="1"/>
  <c r="A6427" i="1"/>
  <c r="B6427" i="1"/>
  <c r="C6427" i="1"/>
  <c r="D6427" i="1"/>
  <c r="E6427" i="1"/>
  <c r="A6428" i="1"/>
  <c r="B6428" i="1"/>
  <c r="C6428" i="1"/>
  <c r="D6428" i="1"/>
  <c r="E6428" i="1"/>
  <c r="A6429" i="1"/>
  <c r="B6429" i="1"/>
  <c r="C6429" i="1"/>
  <c r="D6429" i="1"/>
  <c r="E6429" i="1"/>
  <c r="A6430" i="1"/>
  <c r="B6430" i="1"/>
  <c r="C6430" i="1"/>
  <c r="D6430" i="1"/>
  <c r="E6430" i="1"/>
  <c r="A6431" i="1"/>
  <c r="B6431" i="1"/>
  <c r="C6431" i="1"/>
  <c r="D6431" i="1"/>
  <c r="E6431" i="1"/>
  <c r="A6432" i="1"/>
  <c r="B6432" i="1"/>
  <c r="C6432" i="1"/>
  <c r="D6432" i="1"/>
  <c r="E6432" i="1"/>
  <c r="A6433" i="1"/>
  <c r="B6433" i="1"/>
  <c r="C6433" i="1"/>
  <c r="D6433" i="1"/>
  <c r="E6433" i="1"/>
  <c r="A6434" i="1"/>
  <c r="B6434" i="1"/>
  <c r="C6434" i="1"/>
  <c r="D6434" i="1"/>
  <c r="E6434" i="1"/>
  <c r="A6435" i="1"/>
  <c r="B6435" i="1"/>
  <c r="C6435" i="1"/>
  <c r="D6435" i="1"/>
  <c r="E6435" i="1"/>
  <c r="A6436" i="1"/>
  <c r="B6436" i="1"/>
  <c r="C6436" i="1"/>
  <c r="D6436" i="1"/>
  <c r="E6436" i="1"/>
  <c r="A6437" i="1"/>
  <c r="B6437" i="1"/>
  <c r="C6437" i="1"/>
  <c r="D6437" i="1"/>
  <c r="E6437" i="1"/>
  <c r="A6438" i="1"/>
  <c r="B6438" i="1"/>
  <c r="C6438" i="1"/>
  <c r="D6438" i="1"/>
  <c r="E6438" i="1"/>
  <c r="A6439" i="1"/>
  <c r="B6439" i="1"/>
  <c r="C6439" i="1"/>
  <c r="D6439" i="1"/>
  <c r="E6439" i="1"/>
  <c r="A6440" i="1"/>
  <c r="B6440" i="1"/>
  <c r="C6440" i="1"/>
  <c r="D6440" i="1"/>
  <c r="E6440" i="1"/>
  <c r="A6441" i="1"/>
  <c r="B6441" i="1"/>
  <c r="C6441" i="1"/>
  <c r="D6441" i="1"/>
  <c r="E6441" i="1"/>
  <c r="A6442" i="1"/>
  <c r="B6442" i="1"/>
  <c r="C6442" i="1"/>
  <c r="D6442" i="1"/>
  <c r="E6442" i="1"/>
  <c r="A6443" i="1"/>
  <c r="B6443" i="1"/>
  <c r="C6443" i="1"/>
  <c r="D6443" i="1"/>
  <c r="E6443" i="1"/>
  <c r="A6444" i="1"/>
  <c r="B6444" i="1"/>
  <c r="C6444" i="1"/>
  <c r="D6444" i="1"/>
  <c r="E6444" i="1"/>
  <c r="A6445" i="1"/>
  <c r="B6445" i="1"/>
  <c r="C6445" i="1"/>
  <c r="D6445" i="1"/>
  <c r="E6445" i="1"/>
  <c r="A6446" i="1"/>
  <c r="B6446" i="1"/>
  <c r="C6446" i="1"/>
  <c r="D6446" i="1"/>
  <c r="E6446" i="1"/>
  <c r="A6447" i="1"/>
  <c r="B6447" i="1"/>
  <c r="C6447" i="1"/>
  <c r="D6447" i="1"/>
  <c r="E6447" i="1"/>
  <c r="A6448" i="1"/>
  <c r="B6448" i="1"/>
  <c r="C6448" i="1"/>
  <c r="D6448" i="1"/>
  <c r="E6448" i="1"/>
  <c r="A6449" i="1"/>
  <c r="B6449" i="1"/>
  <c r="C6449" i="1"/>
  <c r="D6449" i="1"/>
  <c r="E6449" i="1"/>
  <c r="A6450" i="1"/>
  <c r="B6450" i="1"/>
  <c r="C6450" i="1"/>
  <c r="D6450" i="1"/>
  <c r="E6450" i="1"/>
  <c r="A6451" i="1"/>
  <c r="B6451" i="1"/>
  <c r="C6451" i="1"/>
  <c r="D6451" i="1"/>
  <c r="E6451" i="1"/>
  <c r="A6452" i="1"/>
  <c r="B6452" i="1"/>
  <c r="C6452" i="1"/>
  <c r="D6452" i="1"/>
  <c r="E6452" i="1"/>
  <c r="A6453" i="1"/>
  <c r="B6453" i="1"/>
  <c r="C6453" i="1"/>
  <c r="D6453" i="1"/>
  <c r="E6453" i="1"/>
  <c r="A6454" i="1"/>
  <c r="B6454" i="1"/>
  <c r="C6454" i="1"/>
  <c r="D6454" i="1"/>
  <c r="E6454" i="1"/>
  <c r="A6455" i="1"/>
  <c r="B6455" i="1"/>
  <c r="C6455" i="1"/>
  <c r="D6455" i="1"/>
  <c r="E6455" i="1"/>
  <c r="A6456" i="1"/>
  <c r="B6456" i="1"/>
  <c r="C6456" i="1"/>
  <c r="D6456" i="1"/>
  <c r="E6456" i="1"/>
  <c r="A6457" i="1"/>
  <c r="B6457" i="1"/>
  <c r="C6457" i="1"/>
  <c r="D6457" i="1"/>
  <c r="E6457" i="1"/>
  <c r="A6458" i="1"/>
  <c r="B6458" i="1"/>
  <c r="C6458" i="1"/>
  <c r="D6458" i="1"/>
  <c r="E6458" i="1"/>
  <c r="A6459" i="1"/>
  <c r="B6459" i="1"/>
  <c r="C6459" i="1"/>
  <c r="D6459" i="1"/>
  <c r="E6459" i="1"/>
  <c r="A6460" i="1"/>
  <c r="B6460" i="1"/>
  <c r="C6460" i="1"/>
  <c r="D6460" i="1"/>
  <c r="E6460" i="1"/>
  <c r="A6461" i="1"/>
  <c r="B6461" i="1"/>
  <c r="C6461" i="1"/>
  <c r="D6461" i="1"/>
  <c r="E6461" i="1"/>
  <c r="A6462" i="1"/>
  <c r="B6462" i="1"/>
  <c r="C6462" i="1"/>
  <c r="D6462" i="1"/>
  <c r="E6462" i="1"/>
  <c r="A6463" i="1"/>
  <c r="B6463" i="1"/>
  <c r="C6463" i="1"/>
  <c r="D6463" i="1"/>
  <c r="E6463" i="1"/>
  <c r="A6464" i="1"/>
  <c r="B6464" i="1"/>
  <c r="C6464" i="1"/>
  <c r="D6464" i="1"/>
  <c r="E6464" i="1"/>
  <c r="A6465" i="1"/>
  <c r="B6465" i="1"/>
  <c r="C6465" i="1"/>
  <c r="D6465" i="1"/>
  <c r="E6465" i="1"/>
  <c r="A6466" i="1"/>
  <c r="B6466" i="1"/>
  <c r="C6466" i="1"/>
  <c r="D6466" i="1"/>
  <c r="E6466" i="1"/>
  <c r="A6467" i="1"/>
  <c r="B6467" i="1"/>
  <c r="C6467" i="1"/>
  <c r="D6467" i="1"/>
  <c r="E6467" i="1"/>
  <c r="A6468" i="1"/>
  <c r="B6468" i="1"/>
  <c r="C6468" i="1"/>
  <c r="D6468" i="1"/>
  <c r="E6468" i="1"/>
  <c r="A6469" i="1"/>
  <c r="B6469" i="1"/>
  <c r="C6469" i="1"/>
  <c r="D6469" i="1"/>
  <c r="E6469" i="1"/>
  <c r="A6470" i="1"/>
  <c r="B6470" i="1"/>
  <c r="C6470" i="1"/>
  <c r="D6470" i="1"/>
  <c r="E6470" i="1"/>
  <c r="A6471" i="1"/>
  <c r="B6471" i="1"/>
  <c r="C6471" i="1"/>
  <c r="D6471" i="1"/>
  <c r="E6471" i="1"/>
  <c r="A6472" i="1"/>
  <c r="B6472" i="1"/>
  <c r="C6472" i="1"/>
  <c r="D6472" i="1"/>
  <c r="E6472" i="1"/>
  <c r="A6473" i="1"/>
  <c r="B6473" i="1"/>
  <c r="C6473" i="1"/>
  <c r="D6473" i="1"/>
  <c r="E6473" i="1"/>
  <c r="A6474" i="1"/>
  <c r="B6474" i="1"/>
  <c r="C6474" i="1"/>
  <c r="D6474" i="1"/>
  <c r="E6474" i="1"/>
  <c r="A6475" i="1"/>
  <c r="B6475" i="1"/>
  <c r="C6475" i="1"/>
  <c r="D6475" i="1"/>
  <c r="E6475" i="1"/>
  <c r="A6476" i="1"/>
  <c r="B6476" i="1"/>
  <c r="C6476" i="1"/>
  <c r="D6476" i="1"/>
  <c r="E6476" i="1"/>
  <c r="A6477" i="1"/>
  <c r="B6477" i="1"/>
  <c r="C6477" i="1"/>
  <c r="D6477" i="1"/>
  <c r="E6477" i="1"/>
  <c r="A6478" i="1"/>
  <c r="B6478" i="1"/>
  <c r="C6478" i="1"/>
  <c r="D6478" i="1"/>
  <c r="E6478" i="1"/>
  <c r="A6479" i="1"/>
  <c r="B6479" i="1"/>
  <c r="C6479" i="1"/>
  <c r="D6479" i="1"/>
  <c r="E6479" i="1"/>
  <c r="A6480" i="1"/>
  <c r="B6480" i="1"/>
  <c r="C6480" i="1"/>
  <c r="D6480" i="1"/>
  <c r="E6480" i="1"/>
  <c r="A6481" i="1"/>
  <c r="B6481" i="1"/>
  <c r="C6481" i="1"/>
  <c r="D6481" i="1"/>
  <c r="E6481" i="1"/>
  <c r="A6482" i="1"/>
  <c r="B6482" i="1"/>
  <c r="C6482" i="1"/>
  <c r="D6482" i="1"/>
  <c r="E6482" i="1"/>
  <c r="A6483" i="1"/>
  <c r="B6483" i="1"/>
  <c r="C6483" i="1"/>
  <c r="D6483" i="1"/>
  <c r="E6483" i="1"/>
  <c r="A6484" i="1"/>
  <c r="B6484" i="1"/>
  <c r="C6484" i="1"/>
  <c r="D6484" i="1"/>
  <c r="E6484" i="1"/>
  <c r="A6485" i="1"/>
  <c r="B6485" i="1"/>
  <c r="C6485" i="1"/>
  <c r="D6485" i="1"/>
  <c r="E6485" i="1"/>
  <c r="A6486" i="1"/>
  <c r="B6486" i="1"/>
  <c r="C6486" i="1"/>
  <c r="D6486" i="1"/>
  <c r="E6486" i="1"/>
  <c r="A6487" i="1"/>
  <c r="B6487" i="1"/>
  <c r="C6487" i="1"/>
  <c r="D6487" i="1"/>
  <c r="E6487" i="1"/>
  <c r="A6488" i="1"/>
  <c r="B6488" i="1"/>
  <c r="C6488" i="1"/>
  <c r="D6488" i="1"/>
  <c r="E6488" i="1"/>
  <c r="A6489" i="1"/>
  <c r="B6489" i="1"/>
  <c r="C6489" i="1"/>
  <c r="D6489" i="1"/>
  <c r="E6489" i="1"/>
  <c r="A6490" i="1"/>
  <c r="B6490" i="1"/>
  <c r="C6490" i="1"/>
  <c r="D6490" i="1"/>
  <c r="E6490" i="1"/>
  <c r="A6491" i="1"/>
  <c r="B6491" i="1"/>
  <c r="C6491" i="1"/>
  <c r="D6491" i="1"/>
  <c r="E6491" i="1"/>
  <c r="A6492" i="1"/>
  <c r="B6492" i="1"/>
  <c r="C6492" i="1"/>
  <c r="D6492" i="1"/>
  <c r="E6492" i="1"/>
  <c r="A6493" i="1"/>
  <c r="B6493" i="1"/>
  <c r="C6493" i="1"/>
  <c r="D6493" i="1"/>
  <c r="E6493" i="1"/>
  <c r="A6494" i="1"/>
  <c r="B6494" i="1"/>
  <c r="C6494" i="1"/>
  <c r="D6494" i="1"/>
  <c r="E6494" i="1"/>
  <c r="A6495" i="1"/>
  <c r="B6495" i="1"/>
  <c r="C6495" i="1"/>
  <c r="D6495" i="1"/>
  <c r="E6495" i="1"/>
  <c r="A6496" i="1"/>
  <c r="B6496" i="1"/>
  <c r="C6496" i="1"/>
  <c r="D6496" i="1"/>
  <c r="E6496" i="1"/>
  <c r="A6497" i="1"/>
  <c r="B6497" i="1"/>
  <c r="C6497" i="1"/>
  <c r="D6497" i="1"/>
  <c r="E6497" i="1"/>
  <c r="A6498" i="1"/>
  <c r="B6498" i="1"/>
  <c r="C6498" i="1"/>
  <c r="D6498" i="1"/>
  <c r="E6498" i="1"/>
  <c r="A6499" i="1"/>
  <c r="B6499" i="1"/>
  <c r="C6499" i="1"/>
  <c r="D6499" i="1"/>
  <c r="E6499" i="1"/>
  <c r="A6500" i="1"/>
  <c r="B6500" i="1"/>
  <c r="C6500" i="1"/>
  <c r="D6500" i="1"/>
  <c r="E6500" i="1"/>
  <c r="A6501" i="1"/>
  <c r="B6501" i="1"/>
  <c r="C6501" i="1"/>
  <c r="D6501" i="1"/>
  <c r="E6501" i="1"/>
  <c r="A6502" i="1"/>
  <c r="B6502" i="1"/>
  <c r="C6502" i="1"/>
  <c r="D6502" i="1"/>
  <c r="E6502" i="1"/>
  <c r="A6503" i="1"/>
  <c r="B6503" i="1"/>
  <c r="C6503" i="1"/>
  <c r="D6503" i="1"/>
  <c r="E6503" i="1"/>
  <c r="A6504" i="1"/>
  <c r="B6504" i="1"/>
  <c r="C6504" i="1"/>
  <c r="D6504" i="1"/>
  <c r="E6504" i="1"/>
  <c r="A6505" i="1"/>
  <c r="B6505" i="1"/>
  <c r="C6505" i="1"/>
  <c r="D6505" i="1"/>
  <c r="E6505" i="1"/>
  <c r="A6506" i="1"/>
  <c r="B6506" i="1"/>
  <c r="C6506" i="1"/>
  <c r="D6506" i="1"/>
  <c r="E6506" i="1"/>
  <c r="A6507" i="1"/>
  <c r="B6507" i="1"/>
  <c r="C6507" i="1"/>
  <c r="D6507" i="1"/>
  <c r="E6507" i="1"/>
  <c r="A6508" i="1"/>
  <c r="B6508" i="1"/>
  <c r="C6508" i="1"/>
  <c r="D6508" i="1"/>
  <c r="E6508" i="1"/>
  <c r="A6509" i="1"/>
  <c r="B6509" i="1"/>
  <c r="C6509" i="1"/>
  <c r="D6509" i="1"/>
  <c r="E6509" i="1"/>
  <c r="A6510" i="1"/>
  <c r="B6510" i="1"/>
  <c r="C6510" i="1"/>
  <c r="D6510" i="1"/>
  <c r="E6510" i="1"/>
  <c r="A6511" i="1"/>
  <c r="B6511" i="1"/>
  <c r="C6511" i="1"/>
  <c r="D6511" i="1"/>
  <c r="E6511" i="1"/>
  <c r="A6512" i="1"/>
  <c r="B6512" i="1"/>
  <c r="C6512" i="1"/>
  <c r="D6512" i="1"/>
  <c r="E6512" i="1"/>
  <c r="A6513" i="1"/>
  <c r="B6513" i="1"/>
  <c r="C6513" i="1"/>
  <c r="D6513" i="1"/>
  <c r="E6513" i="1"/>
  <c r="A6514" i="1"/>
  <c r="B6514" i="1"/>
  <c r="C6514" i="1"/>
  <c r="D6514" i="1"/>
  <c r="E6514" i="1"/>
  <c r="A6515" i="1"/>
  <c r="B6515" i="1"/>
  <c r="C6515" i="1"/>
  <c r="D6515" i="1"/>
  <c r="E6515" i="1"/>
  <c r="A6516" i="1"/>
  <c r="B6516" i="1"/>
  <c r="C6516" i="1"/>
  <c r="D6516" i="1"/>
  <c r="E6516" i="1"/>
  <c r="A6517" i="1"/>
  <c r="B6517" i="1"/>
  <c r="C6517" i="1"/>
  <c r="D6517" i="1"/>
  <c r="E6517" i="1"/>
  <c r="A6518" i="1"/>
  <c r="B6518" i="1"/>
  <c r="C6518" i="1"/>
  <c r="D6518" i="1"/>
  <c r="E6518" i="1"/>
  <c r="A6519" i="1"/>
  <c r="B6519" i="1"/>
  <c r="C6519" i="1"/>
  <c r="D6519" i="1"/>
  <c r="E6519" i="1"/>
  <c r="A6520" i="1"/>
  <c r="B6520" i="1"/>
  <c r="C6520" i="1"/>
  <c r="D6520" i="1"/>
  <c r="E6520" i="1"/>
  <c r="A6521" i="1"/>
  <c r="B6521" i="1"/>
  <c r="C6521" i="1"/>
  <c r="D6521" i="1"/>
  <c r="E6521" i="1"/>
  <c r="A6522" i="1"/>
  <c r="B6522" i="1"/>
  <c r="C6522" i="1"/>
  <c r="D6522" i="1"/>
  <c r="E6522" i="1"/>
  <c r="A6523" i="1"/>
  <c r="B6523" i="1"/>
  <c r="C6523" i="1"/>
  <c r="D6523" i="1"/>
  <c r="E6523" i="1"/>
  <c r="A6524" i="1"/>
  <c r="B6524" i="1"/>
  <c r="C6524" i="1"/>
  <c r="D6524" i="1"/>
  <c r="E6524" i="1"/>
  <c r="A6525" i="1"/>
  <c r="B6525" i="1"/>
  <c r="C6525" i="1"/>
  <c r="D6525" i="1"/>
  <c r="E6525" i="1"/>
  <c r="A6526" i="1"/>
  <c r="B6526" i="1"/>
  <c r="C6526" i="1"/>
  <c r="D6526" i="1"/>
  <c r="E6526" i="1"/>
  <c r="A6527" i="1"/>
  <c r="B6527" i="1"/>
  <c r="C6527" i="1"/>
  <c r="D6527" i="1"/>
  <c r="E6527" i="1"/>
  <c r="A6528" i="1"/>
  <c r="B6528" i="1"/>
  <c r="C6528" i="1"/>
  <c r="D6528" i="1"/>
  <c r="E6528" i="1"/>
  <c r="A6529" i="1"/>
  <c r="B6529" i="1"/>
  <c r="C6529" i="1"/>
  <c r="D6529" i="1"/>
  <c r="E6529" i="1"/>
  <c r="A6530" i="1"/>
  <c r="B6530" i="1"/>
  <c r="C6530" i="1"/>
  <c r="D6530" i="1"/>
  <c r="E6530" i="1"/>
  <c r="A6531" i="1"/>
  <c r="B6531" i="1"/>
  <c r="C6531" i="1"/>
  <c r="D6531" i="1"/>
  <c r="E6531" i="1"/>
  <c r="A6532" i="1"/>
  <c r="B6532" i="1"/>
  <c r="C6532" i="1"/>
  <c r="D6532" i="1"/>
  <c r="E6532" i="1"/>
  <c r="A6533" i="1"/>
  <c r="B6533" i="1"/>
  <c r="C6533" i="1"/>
  <c r="D6533" i="1"/>
  <c r="E6533" i="1"/>
  <c r="A6534" i="1"/>
  <c r="B6534" i="1"/>
  <c r="C6534" i="1"/>
  <c r="D6534" i="1"/>
  <c r="E6534" i="1"/>
  <c r="A6535" i="1"/>
  <c r="B6535" i="1"/>
  <c r="C6535" i="1"/>
  <c r="D6535" i="1"/>
  <c r="E6535" i="1"/>
  <c r="A6536" i="1"/>
  <c r="B6536" i="1"/>
  <c r="C6536" i="1"/>
  <c r="D6536" i="1"/>
  <c r="E6536" i="1"/>
  <c r="A6537" i="1"/>
  <c r="B6537" i="1"/>
  <c r="C6537" i="1"/>
  <c r="D6537" i="1"/>
  <c r="E6537" i="1"/>
  <c r="A6538" i="1"/>
  <c r="B6538" i="1"/>
  <c r="C6538" i="1"/>
  <c r="D6538" i="1"/>
  <c r="E6538" i="1"/>
  <c r="A6539" i="1"/>
  <c r="B6539" i="1"/>
  <c r="C6539" i="1"/>
  <c r="D6539" i="1"/>
  <c r="E6539" i="1"/>
  <c r="A6540" i="1"/>
  <c r="B6540" i="1"/>
  <c r="C6540" i="1"/>
  <c r="D6540" i="1"/>
  <c r="E6540" i="1"/>
  <c r="A6541" i="1"/>
  <c r="B6541" i="1"/>
  <c r="C6541" i="1"/>
  <c r="D6541" i="1"/>
  <c r="E6541" i="1"/>
  <c r="A6542" i="1"/>
  <c r="B6542" i="1"/>
  <c r="C6542" i="1"/>
  <c r="D6542" i="1"/>
  <c r="E6542" i="1"/>
  <c r="A6543" i="1"/>
  <c r="B6543" i="1"/>
  <c r="C6543" i="1"/>
  <c r="D6543" i="1"/>
  <c r="E6543" i="1"/>
  <c r="A6544" i="1"/>
  <c r="B6544" i="1"/>
  <c r="C6544" i="1"/>
  <c r="D6544" i="1"/>
  <c r="E6544" i="1"/>
  <c r="A6545" i="1"/>
  <c r="B6545" i="1"/>
  <c r="C6545" i="1"/>
  <c r="D6545" i="1"/>
  <c r="E6545" i="1"/>
  <c r="A6546" i="1"/>
  <c r="B6546" i="1"/>
  <c r="C6546" i="1"/>
  <c r="D6546" i="1"/>
  <c r="E6546" i="1"/>
  <c r="A6547" i="1"/>
  <c r="B6547" i="1"/>
  <c r="C6547" i="1"/>
  <c r="D6547" i="1"/>
  <c r="E6547" i="1"/>
  <c r="A6548" i="1"/>
  <c r="B6548" i="1"/>
  <c r="C6548" i="1"/>
  <c r="D6548" i="1"/>
  <c r="E6548" i="1"/>
  <c r="A6549" i="1"/>
  <c r="B6549" i="1"/>
  <c r="C6549" i="1"/>
  <c r="D6549" i="1"/>
  <c r="E6549" i="1"/>
  <c r="A6550" i="1"/>
  <c r="B6550" i="1"/>
  <c r="C6550" i="1"/>
  <c r="D6550" i="1"/>
  <c r="E6550" i="1"/>
  <c r="A6551" i="1"/>
  <c r="B6551" i="1"/>
  <c r="C6551" i="1"/>
  <c r="D6551" i="1"/>
  <c r="E6551" i="1"/>
  <c r="A6552" i="1"/>
  <c r="B6552" i="1"/>
  <c r="C6552" i="1"/>
  <c r="D6552" i="1"/>
  <c r="E6552" i="1"/>
  <c r="A6553" i="1"/>
  <c r="B6553" i="1"/>
  <c r="C6553" i="1"/>
  <c r="D6553" i="1"/>
  <c r="E6553" i="1"/>
  <c r="A6554" i="1"/>
  <c r="B6554" i="1"/>
  <c r="C6554" i="1"/>
  <c r="D6554" i="1"/>
  <c r="E6554" i="1"/>
  <c r="A6555" i="1"/>
  <c r="B6555" i="1"/>
  <c r="C6555" i="1"/>
  <c r="D6555" i="1"/>
  <c r="E6555" i="1"/>
  <c r="A6556" i="1"/>
  <c r="B6556" i="1"/>
  <c r="C6556" i="1"/>
  <c r="D6556" i="1"/>
  <c r="E6556" i="1"/>
  <c r="A6557" i="1"/>
  <c r="B6557" i="1"/>
  <c r="C6557" i="1"/>
  <c r="D6557" i="1"/>
  <c r="E6557" i="1"/>
  <c r="A6558" i="1"/>
  <c r="B6558" i="1"/>
  <c r="C6558" i="1"/>
  <c r="D6558" i="1"/>
  <c r="E6558" i="1"/>
  <c r="A6559" i="1"/>
  <c r="B6559" i="1"/>
  <c r="C6559" i="1"/>
  <c r="D6559" i="1"/>
  <c r="E6559" i="1"/>
  <c r="A6560" i="1"/>
  <c r="B6560" i="1"/>
  <c r="C6560" i="1"/>
  <c r="D6560" i="1"/>
  <c r="E6560" i="1"/>
  <c r="A6561" i="1"/>
  <c r="B6561" i="1"/>
  <c r="C6561" i="1"/>
  <c r="D6561" i="1"/>
  <c r="E6561" i="1"/>
  <c r="A6562" i="1"/>
  <c r="B6562" i="1"/>
  <c r="C6562" i="1"/>
  <c r="D6562" i="1"/>
  <c r="E6562" i="1"/>
  <c r="A6563" i="1"/>
  <c r="B6563" i="1"/>
  <c r="C6563" i="1"/>
  <c r="D6563" i="1"/>
  <c r="E6563" i="1"/>
  <c r="A6564" i="1"/>
  <c r="B6564" i="1"/>
  <c r="C6564" i="1"/>
  <c r="D6564" i="1"/>
  <c r="E6564" i="1"/>
  <c r="A6565" i="1"/>
  <c r="B6565" i="1"/>
  <c r="C6565" i="1"/>
  <c r="D6565" i="1"/>
  <c r="E6565" i="1"/>
  <c r="A6566" i="1"/>
  <c r="B6566" i="1"/>
  <c r="C6566" i="1"/>
  <c r="D6566" i="1"/>
  <c r="E6566" i="1"/>
  <c r="A6567" i="1"/>
  <c r="B6567" i="1"/>
  <c r="C6567" i="1"/>
  <c r="D6567" i="1"/>
  <c r="E6567" i="1"/>
  <c r="A6568" i="1"/>
  <c r="B6568" i="1"/>
  <c r="C6568" i="1"/>
  <c r="D6568" i="1"/>
  <c r="E6568" i="1"/>
  <c r="A6569" i="1"/>
  <c r="B6569" i="1"/>
  <c r="C6569" i="1"/>
  <c r="D6569" i="1"/>
  <c r="E6569" i="1"/>
  <c r="A6570" i="1"/>
  <c r="B6570" i="1"/>
  <c r="C6570" i="1"/>
  <c r="D6570" i="1"/>
  <c r="E6570" i="1"/>
  <c r="A6571" i="1"/>
  <c r="B6571" i="1"/>
  <c r="C6571" i="1"/>
  <c r="D6571" i="1"/>
  <c r="E6571" i="1"/>
  <c r="A6572" i="1"/>
  <c r="B6572" i="1"/>
  <c r="C6572" i="1"/>
  <c r="D6572" i="1"/>
  <c r="E6572" i="1"/>
  <c r="A6573" i="1"/>
  <c r="B6573" i="1"/>
  <c r="C6573" i="1"/>
  <c r="D6573" i="1"/>
  <c r="E6573" i="1"/>
  <c r="A6574" i="1"/>
  <c r="B6574" i="1"/>
  <c r="C6574" i="1"/>
  <c r="D6574" i="1"/>
  <c r="E6574" i="1"/>
  <c r="A6575" i="1"/>
  <c r="B6575" i="1"/>
  <c r="C6575" i="1"/>
  <c r="D6575" i="1"/>
  <c r="E6575" i="1"/>
  <c r="A6576" i="1"/>
  <c r="B6576" i="1"/>
  <c r="C6576" i="1"/>
  <c r="D6576" i="1"/>
  <c r="E6576" i="1"/>
  <c r="A6577" i="1"/>
  <c r="B6577" i="1"/>
  <c r="C6577" i="1"/>
  <c r="D6577" i="1"/>
  <c r="E6577" i="1"/>
  <c r="A6578" i="1"/>
  <c r="B6578" i="1"/>
  <c r="C6578" i="1"/>
  <c r="D6578" i="1"/>
  <c r="E6578" i="1"/>
  <c r="A6579" i="1"/>
  <c r="B6579" i="1"/>
  <c r="C6579" i="1"/>
  <c r="D6579" i="1"/>
  <c r="E6579" i="1"/>
  <c r="A6580" i="1"/>
  <c r="B6580" i="1"/>
  <c r="C6580" i="1"/>
  <c r="D6580" i="1"/>
  <c r="E6580" i="1"/>
  <c r="A6581" i="1"/>
  <c r="B6581" i="1"/>
  <c r="C6581" i="1"/>
  <c r="D6581" i="1"/>
  <c r="E6581" i="1"/>
  <c r="A6582" i="1"/>
  <c r="B6582" i="1"/>
  <c r="C6582" i="1"/>
  <c r="D6582" i="1"/>
  <c r="E6582" i="1"/>
  <c r="A6583" i="1"/>
  <c r="B6583" i="1"/>
  <c r="C6583" i="1"/>
  <c r="D6583" i="1"/>
  <c r="E6583" i="1"/>
  <c r="A6584" i="1"/>
  <c r="B6584" i="1"/>
  <c r="C6584" i="1"/>
  <c r="D6584" i="1"/>
  <c r="E6584" i="1"/>
  <c r="A6585" i="1"/>
  <c r="B6585" i="1"/>
  <c r="C6585" i="1"/>
  <c r="D6585" i="1"/>
  <c r="E6585" i="1"/>
  <c r="A6586" i="1"/>
  <c r="B6586" i="1"/>
  <c r="C6586" i="1"/>
  <c r="D6586" i="1"/>
  <c r="E6586" i="1"/>
  <c r="A6587" i="1"/>
  <c r="B6587" i="1"/>
  <c r="C6587" i="1"/>
  <c r="D6587" i="1"/>
  <c r="E6587" i="1"/>
  <c r="A6588" i="1"/>
  <c r="B6588" i="1"/>
  <c r="C6588" i="1"/>
  <c r="D6588" i="1"/>
  <c r="E6588" i="1"/>
  <c r="A6589" i="1"/>
  <c r="B6589" i="1"/>
  <c r="C6589" i="1"/>
  <c r="D6589" i="1"/>
  <c r="E6589" i="1"/>
  <c r="A6590" i="1"/>
  <c r="B6590" i="1"/>
  <c r="C6590" i="1"/>
  <c r="D6590" i="1"/>
  <c r="E6590" i="1"/>
  <c r="A6591" i="1"/>
  <c r="B6591" i="1"/>
  <c r="C6591" i="1"/>
  <c r="D6591" i="1"/>
  <c r="E6591" i="1"/>
  <c r="A6592" i="1"/>
  <c r="B6592" i="1"/>
  <c r="C6592" i="1"/>
  <c r="D6592" i="1"/>
  <c r="E6592" i="1"/>
  <c r="A6593" i="1"/>
  <c r="B6593" i="1"/>
  <c r="C6593" i="1"/>
  <c r="D6593" i="1"/>
  <c r="E6593" i="1"/>
  <c r="A6594" i="1"/>
  <c r="B6594" i="1"/>
  <c r="C6594" i="1"/>
  <c r="D6594" i="1"/>
  <c r="E6594" i="1"/>
  <c r="A6595" i="1"/>
  <c r="B6595" i="1"/>
  <c r="C6595" i="1"/>
  <c r="D6595" i="1"/>
  <c r="E6595" i="1"/>
  <c r="A6596" i="1"/>
  <c r="B6596" i="1"/>
  <c r="C6596" i="1"/>
  <c r="D6596" i="1"/>
  <c r="E6596" i="1"/>
  <c r="A6597" i="1"/>
  <c r="B6597" i="1"/>
  <c r="C6597" i="1"/>
  <c r="D6597" i="1"/>
  <c r="E6597" i="1"/>
  <c r="A6598" i="1"/>
  <c r="B6598" i="1"/>
  <c r="C6598" i="1"/>
  <c r="D6598" i="1"/>
  <c r="E6598" i="1"/>
  <c r="A6599" i="1"/>
  <c r="B6599" i="1"/>
  <c r="C6599" i="1"/>
  <c r="D6599" i="1"/>
  <c r="E6599" i="1"/>
  <c r="A6600" i="1"/>
  <c r="B6600" i="1"/>
  <c r="C6600" i="1"/>
  <c r="D6600" i="1"/>
  <c r="E6600" i="1"/>
  <c r="A6601" i="1"/>
  <c r="B6601" i="1"/>
  <c r="C6601" i="1"/>
  <c r="D6601" i="1"/>
  <c r="E6601" i="1"/>
  <c r="A6602" i="1"/>
  <c r="B6602" i="1"/>
  <c r="C6602" i="1"/>
  <c r="D6602" i="1"/>
  <c r="E6602" i="1"/>
  <c r="A6603" i="1"/>
  <c r="B6603" i="1"/>
  <c r="C6603" i="1"/>
  <c r="D6603" i="1"/>
  <c r="E6603" i="1"/>
  <c r="A6604" i="1"/>
  <c r="B6604" i="1"/>
  <c r="C6604" i="1"/>
  <c r="D6604" i="1"/>
  <c r="E6604" i="1"/>
  <c r="A6605" i="1"/>
  <c r="B6605" i="1"/>
  <c r="C6605" i="1"/>
  <c r="D6605" i="1"/>
  <c r="E6605" i="1"/>
  <c r="A6606" i="1"/>
  <c r="B6606" i="1"/>
  <c r="C6606" i="1"/>
  <c r="D6606" i="1"/>
  <c r="E6606" i="1"/>
  <c r="A6607" i="1"/>
  <c r="B6607" i="1"/>
  <c r="C6607" i="1"/>
  <c r="D6607" i="1"/>
  <c r="E6607" i="1"/>
  <c r="A6608" i="1"/>
  <c r="B6608" i="1"/>
  <c r="C6608" i="1"/>
  <c r="D6608" i="1"/>
  <c r="E6608" i="1"/>
  <c r="A6609" i="1"/>
  <c r="B6609" i="1"/>
  <c r="C6609" i="1"/>
  <c r="D6609" i="1"/>
  <c r="E6609" i="1"/>
  <c r="A6610" i="1"/>
  <c r="B6610" i="1"/>
  <c r="C6610" i="1"/>
  <c r="D6610" i="1"/>
  <c r="E6610" i="1"/>
  <c r="A6611" i="1"/>
  <c r="B6611" i="1"/>
  <c r="C6611" i="1"/>
  <c r="D6611" i="1"/>
  <c r="E6611" i="1"/>
  <c r="A6612" i="1"/>
  <c r="B6612" i="1"/>
  <c r="C6612" i="1"/>
  <c r="D6612" i="1"/>
  <c r="E6612" i="1"/>
  <c r="A6613" i="1"/>
  <c r="B6613" i="1"/>
  <c r="C6613" i="1"/>
  <c r="D6613" i="1"/>
  <c r="E6613" i="1"/>
  <c r="A6614" i="1"/>
  <c r="B6614" i="1"/>
  <c r="C6614" i="1"/>
  <c r="D6614" i="1"/>
  <c r="E6614" i="1"/>
  <c r="A6615" i="1"/>
  <c r="B6615" i="1"/>
  <c r="C6615" i="1"/>
  <c r="D6615" i="1"/>
  <c r="E6615" i="1"/>
  <c r="A6616" i="1"/>
  <c r="B6616" i="1"/>
  <c r="C6616" i="1"/>
  <c r="D6616" i="1"/>
  <c r="E6616" i="1"/>
  <c r="A6617" i="1"/>
  <c r="B6617" i="1"/>
  <c r="C6617" i="1"/>
  <c r="D6617" i="1"/>
  <c r="E6617" i="1"/>
  <c r="A6618" i="1"/>
  <c r="B6618" i="1"/>
  <c r="C6618" i="1"/>
  <c r="D6618" i="1"/>
  <c r="E6618" i="1"/>
  <c r="A6619" i="1"/>
  <c r="B6619" i="1"/>
  <c r="C6619" i="1"/>
  <c r="D6619" i="1"/>
  <c r="E6619" i="1"/>
  <c r="A6620" i="1"/>
  <c r="B6620" i="1"/>
  <c r="C6620" i="1"/>
  <c r="D6620" i="1"/>
  <c r="E6620" i="1"/>
  <c r="A6621" i="1"/>
  <c r="B6621" i="1"/>
  <c r="C6621" i="1"/>
  <c r="D6621" i="1"/>
  <c r="E6621" i="1"/>
  <c r="A6622" i="1"/>
  <c r="B6622" i="1"/>
  <c r="C6622" i="1"/>
  <c r="D6622" i="1"/>
  <c r="E6622" i="1"/>
  <c r="A6623" i="1"/>
  <c r="B6623" i="1"/>
  <c r="C6623" i="1"/>
  <c r="D6623" i="1"/>
  <c r="E6623" i="1"/>
  <c r="A6624" i="1"/>
  <c r="B6624" i="1"/>
  <c r="C6624" i="1"/>
  <c r="D6624" i="1"/>
  <c r="E6624" i="1"/>
  <c r="A6625" i="1"/>
  <c r="B6625" i="1"/>
  <c r="C6625" i="1"/>
  <c r="D6625" i="1"/>
  <c r="E6625" i="1"/>
  <c r="A6626" i="1"/>
  <c r="B6626" i="1"/>
  <c r="C6626" i="1"/>
  <c r="D6626" i="1"/>
  <c r="E6626" i="1"/>
  <c r="A6627" i="1"/>
  <c r="B6627" i="1"/>
  <c r="C6627" i="1"/>
  <c r="D6627" i="1"/>
  <c r="E6627" i="1"/>
  <c r="A6628" i="1"/>
  <c r="B6628" i="1"/>
  <c r="C6628" i="1"/>
  <c r="D6628" i="1"/>
  <c r="E6628" i="1"/>
  <c r="A6629" i="1"/>
  <c r="B6629" i="1"/>
  <c r="C6629" i="1"/>
  <c r="D6629" i="1"/>
  <c r="E6629" i="1"/>
  <c r="A6630" i="1"/>
  <c r="B6630" i="1"/>
  <c r="C6630" i="1"/>
  <c r="D6630" i="1"/>
  <c r="E6630" i="1"/>
  <c r="A6631" i="1"/>
  <c r="B6631" i="1"/>
  <c r="C6631" i="1"/>
  <c r="D6631" i="1"/>
  <c r="E6631" i="1"/>
  <c r="A6632" i="1"/>
  <c r="B6632" i="1"/>
  <c r="C6632" i="1"/>
  <c r="D6632" i="1"/>
  <c r="E6632" i="1"/>
  <c r="A6633" i="1"/>
  <c r="B6633" i="1"/>
  <c r="C6633" i="1"/>
  <c r="D6633" i="1"/>
  <c r="E6633" i="1"/>
  <c r="A6634" i="1"/>
  <c r="B6634" i="1"/>
  <c r="C6634" i="1"/>
  <c r="D6634" i="1"/>
  <c r="E6634" i="1"/>
  <c r="A6635" i="1"/>
  <c r="B6635" i="1"/>
  <c r="C6635" i="1"/>
  <c r="D6635" i="1"/>
  <c r="E6635" i="1"/>
  <c r="A6636" i="1"/>
  <c r="B6636" i="1"/>
  <c r="C6636" i="1"/>
  <c r="D6636" i="1"/>
  <c r="E6636" i="1"/>
  <c r="A6637" i="1"/>
  <c r="B6637" i="1"/>
  <c r="C6637" i="1"/>
  <c r="D6637" i="1"/>
  <c r="E6637" i="1"/>
  <c r="A6638" i="1"/>
  <c r="B6638" i="1"/>
  <c r="C6638" i="1"/>
  <c r="D6638" i="1"/>
  <c r="E6638" i="1"/>
  <c r="A6639" i="1"/>
  <c r="B6639" i="1"/>
  <c r="C6639" i="1"/>
  <c r="D6639" i="1"/>
  <c r="E6639" i="1"/>
  <c r="A6640" i="1"/>
  <c r="B6640" i="1"/>
  <c r="C6640" i="1"/>
  <c r="D6640" i="1"/>
  <c r="E6640" i="1"/>
  <c r="A6641" i="1"/>
  <c r="B6641" i="1"/>
  <c r="C6641" i="1"/>
  <c r="D6641" i="1"/>
  <c r="E6641" i="1"/>
  <c r="A6642" i="1"/>
  <c r="B6642" i="1"/>
  <c r="C6642" i="1"/>
  <c r="D6642" i="1"/>
  <c r="E6642" i="1"/>
  <c r="A6643" i="1"/>
  <c r="B6643" i="1"/>
  <c r="C6643" i="1"/>
  <c r="D6643" i="1"/>
  <c r="E6643" i="1"/>
  <c r="A6644" i="1"/>
  <c r="B6644" i="1"/>
  <c r="C6644" i="1"/>
  <c r="D6644" i="1"/>
  <c r="E6644" i="1"/>
  <c r="A6645" i="1"/>
  <c r="B6645" i="1"/>
  <c r="C6645" i="1"/>
  <c r="D6645" i="1"/>
  <c r="E6645" i="1"/>
  <c r="A6646" i="1"/>
  <c r="B6646" i="1"/>
  <c r="C6646" i="1"/>
  <c r="D6646" i="1"/>
  <c r="E6646" i="1"/>
  <c r="A6647" i="1"/>
  <c r="B6647" i="1"/>
  <c r="C6647" i="1"/>
  <c r="D6647" i="1"/>
  <c r="E6647" i="1"/>
  <c r="A6648" i="1"/>
  <c r="B6648" i="1"/>
  <c r="C6648" i="1"/>
  <c r="D6648" i="1"/>
  <c r="E6648" i="1"/>
  <c r="A6649" i="1"/>
  <c r="B6649" i="1"/>
  <c r="C6649" i="1"/>
  <c r="D6649" i="1"/>
  <c r="E6649" i="1"/>
  <c r="A6650" i="1"/>
  <c r="B6650" i="1"/>
  <c r="C6650" i="1"/>
  <c r="D6650" i="1"/>
  <c r="E6650" i="1"/>
  <c r="A6651" i="1"/>
  <c r="B6651" i="1"/>
  <c r="C6651" i="1"/>
  <c r="D6651" i="1"/>
  <c r="E6651" i="1"/>
  <c r="A6652" i="1"/>
  <c r="B6652" i="1"/>
  <c r="C6652" i="1"/>
  <c r="D6652" i="1"/>
  <c r="E6652" i="1"/>
  <c r="A6653" i="1"/>
  <c r="B6653" i="1"/>
  <c r="C6653" i="1"/>
  <c r="D6653" i="1"/>
  <c r="E6653" i="1"/>
  <c r="A6654" i="1"/>
  <c r="B6654" i="1"/>
  <c r="C6654" i="1"/>
  <c r="D6654" i="1"/>
  <c r="E6654" i="1"/>
  <c r="A6655" i="1"/>
  <c r="B6655" i="1"/>
  <c r="C6655" i="1"/>
  <c r="D6655" i="1"/>
  <c r="E6655" i="1"/>
  <c r="A6656" i="1"/>
  <c r="B6656" i="1"/>
  <c r="C6656" i="1"/>
  <c r="D6656" i="1"/>
  <c r="E6656" i="1"/>
  <c r="A6657" i="1"/>
  <c r="B6657" i="1"/>
  <c r="C6657" i="1"/>
  <c r="D6657" i="1"/>
  <c r="E6657" i="1"/>
  <c r="A6658" i="1"/>
  <c r="B6658" i="1"/>
  <c r="C6658" i="1"/>
  <c r="D6658" i="1"/>
  <c r="E6658" i="1"/>
  <c r="A6659" i="1"/>
  <c r="B6659" i="1"/>
  <c r="C6659" i="1"/>
  <c r="D6659" i="1"/>
  <c r="E6659" i="1"/>
  <c r="A6660" i="1"/>
  <c r="B6660" i="1"/>
  <c r="C6660" i="1"/>
  <c r="D6660" i="1"/>
  <c r="E6660" i="1"/>
  <c r="A6661" i="1"/>
  <c r="B6661" i="1"/>
  <c r="C6661" i="1"/>
  <c r="D6661" i="1"/>
  <c r="E6661" i="1"/>
  <c r="A6662" i="1"/>
  <c r="B6662" i="1"/>
  <c r="C6662" i="1"/>
  <c r="D6662" i="1"/>
  <c r="E6662" i="1"/>
  <c r="A6663" i="1"/>
  <c r="B6663" i="1"/>
  <c r="C6663" i="1"/>
  <c r="D6663" i="1"/>
  <c r="E6663" i="1"/>
  <c r="A6664" i="1"/>
  <c r="B6664" i="1"/>
  <c r="C6664" i="1"/>
  <c r="D6664" i="1"/>
  <c r="E6664" i="1"/>
  <c r="A6665" i="1"/>
  <c r="B6665" i="1"/>
  <c r="C6665" i="1"/>
  <c r="D6665" i="1"/>
  <c r="E6665" i="1"/>
  <c r="A6666" i="1"/>
  <c r="B6666" i="1"/>
  <c r="C6666" i="1"/>
  <c r="D6666" i="1"/>
  <c r="E6666" i="1"/>
  <c r="A6667" i="1"/>
  <c r="B6667" i="1"/>
  <c r="C6667" i="1"/>
  <c r="D6667" i="1"/>
  <c r="E6667" i="1"/>
  <c r="A6668" i="1"/>
  <c r="B6668" i="1"/>
  <c r="C6668" i="1"/>
  <c r="D6668" i="1"/>
  <c r="E6668" i="1"/>
  <c r="A6669" i="1"/>
  <c r="B6669" i="1"/>
  <c r="C6669" i="1"/>
  <c r="D6669" i="1"/>
  <c r="E6669" i="1"/>
  <c r="A6670" i="1"/>
  <c r="B6670" i="1"/>
  <c r="C6670" i="1"/>
  <c r="D6670" i="1"/>
  <c r="E6670" i="1"/>
  <c r="A6671" i="1"/>
  <c r="B6671" i="1"/>
  <c r="C6671" i="1"/>
  <c r="D6671" i="1"/>
  <c r="E6671" i="1"/>
  <c r="A6672" i="1"/>
  <c r="B6672" i="1"/>
  <c r="C6672" i="1"/>
  <c r="D6672" i="1"/>
  <c r="E6672" i="1"/>
  <c r="A6673" i="1"/>
  <c r="B6673" i="1"/>
  <c r="C6673" i="1"/>
  <c r="D6673" i="1"/>
  <c r="E6673" i="1"/>
  <c r="A6674" i="1"/>
  <c r="B6674" i="1"/>
  <c r="C6674" i="1"/>
  <c r="D6674" i="1"/>
  <c r="E6674" i="1"/>
  <c r="A6675" i="1"/>
  <c r="B6675" i="1"/>
  <c r="C6675" i="1"/>
  <c r="D6675" i="1"/>
  <c r="E6675" i="1"/>
  <c r="A6676" i="1"/>
  <c r="B6676" i="1"/>
  <c r="C6676" i="1"/>
  <c r="D6676" i="1"/>
  <c r="E6676" i="1"/>
  <c r="A6677" i="1"/>
  <c r="B6677" i="1"/>
  <c r="C6677" i="1"/>
  <c r="D6677" i="1"/>
  <c r="E6677" i="1"/>
  <c r="A6678" i="1"/>
  <c r="B6678" i="1"/>
  <c r="C6678" i="1"/>
  <c r="D6678" i="1"/>
  <c r="E6678" i="1"/>
  <c r="A6679" i="1"/>
  <c r="B6679" i="1"/>
  <c r="C6679" i="1"/>
  <c r="D6679" i="1"/>
  <c r="E6679" i="1"/>
  <c r="A6680" i="1"/>
  <c r="B6680" i="1"/>
  <c r="C6680" i="1"/>
  <c r="D6680" i="1"/>
  <c r="E6680" i="1"/>
  <c r="A6681" i="1"/>
  <c r="B6681" i="1"/>
  <c r="C6681" i="1"/>
  <c r="D6681" i="1"/>
  <c r="E6681" i="1"/>
  <c r="A6682" i="1"/>
  <c r="B6682" i="1"/>
  <c r="C6682" i="1"/>
  <c r="D6682" i="1"/>
  <c r="E6682" i="1"/>
  <c r="A6683" i="1"/>
  <c r="B6683" i="1"/>
  <c r="C6683" i="1"/>
  <c r="D6683" i="1"/>
  <c r="E6683" i="1"/>
  <c r="A6684" i="1"/>
  <c r="B6684" i="1"/>
  <c r="C6684" i="1"/>
  <c r="D6684" i="1"/>
  <c r="E6684" i="1"/>
  <c r="A6685" i="1"/>
  <c r="B6685" i="1"/>
  <c r="C6685" i="1"/>
  <c r="D6685" i="1"/>
  <c r="E6685" i="1"/>
  <c r="A6686" i="1"/>
  <c r="B6686" i="1"/>
  <c r="C6686" i="1"/>
  <c r="D6686" i="1"/>
  <c r="E6686" i="1"/>
  <c r="A6687" i="1"/>
  <c r="B6687" i="1"/>
  <c r="C6687" i="1"/>
  <c r="D6687" i="1"/>
  <c r="E6687" i="1"/>
  <c r="A6688" i="1"/>
  <c r="B6688" i="1"/>
  <c r="C6688" i="1"/>
  <c r="D6688" i="1"/>
  <c r="E6688" i="1"/>
  <c r="A6689" i="1"/>
  <c r="B6689" i="1"/>
  <c r="C6689" i="1"/>
  <c r="D6689" i="1"/>
  <c r="E6689" i="1"/>
  <c r="A6690" i="1"/>
  <c r="B6690" i="1"/>
  <c r="C6690" i="1"/>
  <c r="D6690" i="1"/>
  <c r="E6690" i="1"/>
  <c r="A6691" i="1"/>
  <c r="B6691" i="1"/>
  <c r="C6691" i="1"/>
  <c r="D6691" i="1"/>
  <c r="E6691" i="1"/>
  <c r="A6692" i="1"/>
  <c r="B6692" i="1"/>
  <c r="C6692" i="1"/>
  <c r="D6692" i="1"/>
  <c r="E6692" i="1"/>
  <c r="A6693" i="1"/>
  <c r="B6693" i="1"/>
  <c r="C6693" i="1"/>
  <c r="D6693" i="1"/>
  <c r="E6693" i="1"/>
  <c r="A6694" i="1"/>
  <c r="B6694" i="1"/>
  <c r="C6694" i="1"/>
  <c r="D6694" i="1"/>
  <c r="E6694" i="1"/>
  <c r="A6695" i="1"/>
  <c r="B6695" i="1"/>
  <c r="C6695" i="1"/>
  <c r="D6695" i="1"/>
  <c r="E6695" i="1"/>
  <c r="A6696" i="1"/>
  <c r="B6696" i="1"/>
  <c r="C6696" i="1"/>
  <c r="D6696" i="1"/>
  <c r="E6696" i="1"/>
  <c r="A6697" i="1"/>
  <c r="B6697" i="1"/>
  <c r="C6697" i="1"/>
  <c r="D6697" i="1"/>
  <c r="E6697" i="1"/>
  <c r="A6698" i="1"/>
  <c r="B6698" i="1"/>
  <c r="C6698" i="1"/>
  <c r="D6698" i="1"/>
  <c r="E6698" i="1"/>
  <c r="A6699" i="1"/>
  <c r="B6699" i="1"/>
  <c r="C6699" i="1"/>
  <c r="D6699" i="1"/>
  <c r="E6699" i="1"/>
  <c r="A6700" i="1"/>
  <c r="B6700" i="1"/>
  <c r="C6700" i="1"/>
  <c r="D6700" i="1"/>
  <c r="E6700" i="1"/>
  <c r="A6701" i="1"/>
  <c r="B6701" i="1"/>
  <c r="C6701" i="1"/>
  <c r="D6701" i="1"/>
  <c r="E6701" i="1"/>
  <c r="A6702" i="1"/>
  <c r="B6702" i="1"/>
  <c r="C6702" i="1"/>
  <c r="D6702" i="1"/>
  <c r="E6702" i="1"/>
  <c r="A6703" i="1"/>
  <c r="B6703" i="1"/>
  <c r="C6703" i="1"/>
  <c r="D6703" i="1"/>
  <c r="E6703" i="1"/>
  <c r="A6704" i="1"/>
  <c r="B6704" i="1"/>
  <c r="C6704" i="1"/>
  <c r="D6704" i="1"/>
  <c r="E6704" i="1"/>
  <c r="A6705" i="1"/>
  <c r="B6705" i="1"/>
  <c r="C6705" i="1"/>
  <c r="D6705" i="1"/>
  <c r="E6705" i="1"/>
  <c r="A6706" i="1"/>
  <c r="B6706" i="1"/>
  <c r="C6706" i="1"/>
  <c r="D6706" i="1"/>
  <c r="E6706" i="1"/>
  <c r="A6707" i="1"/>
  <c r="B6707" i="1"/>
  <c r="C6707" i="1"/>
  <c r="D6707" i="1"/>
  <c r="E6707" i="1"/>
  <c r="A6708" i="1"/>
  <c r="B6708" i="1"/>
  <c r="C6708" i="1"/>
  <c r="D6708" i="1"/>
  <c r="E6708" i="1"/>
  <c r="A6709" i="1"/>
  <c r="B6709" i="1"/>
  <c r="C6709" i="1"/>
  <c r="D6709" i="1"/>
  <c r="E6709" i="1"/>
  <c r="A6710" i="1"/>
  <c r="B6710" i="1"/>
  <c r="C6710" i="1"/>
  <c r="D6710" i="1"/>
  <c r="E6710" i="1"/>
  <c r="A6711" i="1"/>
  <c r="B6711" i="1"/>
  <c r="C6711" i="1"/>
  <c r="D6711" i="1"/>
  <c r="E6711" i="1"/>
  <c r="A6712" i="1"/>
  <c r="B6712" i="1"/>
  <c r="C6712" i="1"/>
  <c r="D6712" i="1"/>
  <c r="E6712" i="1"/>
  <c r="A6713" i="1"/>
  <c r="B6713" i="1"/>
  <c r="C6713" i="1"/>
  <c r="D6713" i="1"/>
  <c r="E6713" i="1"/>
  <c r="A6714" i="1"/>
  <c r="B6714" i="1"/>
  <c r="C6714" i="1"/>
  <c r="D6714" i="1"/>
  <c r="E6714" i="1"/>
  <c r="A6715" i="1"/>
  <c r="B6715" i="1"/>
  <c r="C6715" i="1"/>
  <c r="D6715" i="1"/>
  <c r="E6715" i="1"/>
  <c r="A6716" i="1"/>
  <c r="B6716" i="1"/>
  <c r="C6716" i="1"/>
  <c r="D6716" i="1"/>
  <c r="E6716" i="1"/>
  <c r="A6717" i="1"/>
  <c r="B6717" i="1"/>
  <c r="C6717" i="1"/>
  <c r="D6717" i="1"/>
  <c r="E6717" i="1"/>
  <c r="A6718" i="1"/>
  <c r="B6718" i="1"/>
  <c r="C6718" i="1"/>
  <c r="D6718" i="1"/>
  <c r="E6718" i="1"/>
  <c r="A6719" i="1"/>
  <c r="B6719" i="1"/>
  <c r="C6719" i="1"/>
  <c r="D6719" i="1"/>
  <c r="E6719" i="1"/>
  <c r="A6720" i="1"/>
  <c r="B6720" i="1"/>
  <c r="C6720" i="1"/>
  <c r="D6720" i="1"/>
  <c r="E6720" i="1"/>
  <c r="A6721" i="1"/>
  <c r="B6721" i="1"/>
  <c r="C6721" i="1"/>
  <c r="D6721" i="1"/>
  <c r="E6721" i="1"/>
  <c r="A6722" i="1"/>
  <c r="B6722" i="1"/>
  <c r="C6722" i="1"/>
  <c r="D6722" i="1"/>
  <c r="E6722" i="1"/>
  <c r="A6723" i="1"/>
  <c r="B6723" i="1"/>
  <c r="C6723" i="1"/>
  <c r="D6723" i="1"/>
  <c r="E6723" i="1"/>
  <c r="A6724" i="1"/>
  <c r="B6724" i="1"/>
  <c r="C6724" i="1"/>
  <c r="D6724" i="1"/>
  <c r="E6724" i="1"/>
  <c r="A6725" i="1"/>
  <c r="B6725" i="1"/>
  <c r="C6725" i="1"/>
  <c r="D6725" i="1"/>
  <c r="E6725" i="1"/>
  <c r="A6726" i="1"/>
  <c r="B6726" i="1"/>
  <c r="C6726" i="1"/>
  <c r="D6726" i="1"/>
  <c r="E6726" i="1"/>
  <c r="A6727" i="1"/>
  <c r="B6727" i="1"/>
  <c r="C6727" i="1"/>
  <c r="D6727" i="1"/>
  <c r="E6727" i="1"/>
  <c r="A6728" i="1"/>
  <c r="B6728" i="1"/>
  <c r="C6728" i="1"/>
  <c r="D6728" i="1"/>
  <c r="E6728" i="1"/>
  <c r="A6729" i="1"/>
  <c r="B6729" i="1"/>
  <c r="C6729" i="1"/>
  <c r="D6729" i="1"/>
  <c r="E6729" i="1"/>
  <c r="A6730" i="1"/>
  <c r="B6730" i="1"/>
  <c r="C6730" i="1"/>
  <c r="D6730" i="1"/>
  <c r="E6730" i="1"/>
  <c r="A6731" i="1"/>
  <c r="B6731" i="1"/>
  <c r="C6731" i="1"/>
  <c r="D6731" i="1"/>
  <c r="E6731" i="1"/>
  <c r="A6732" i="1"/>
  <c r="B6732" i="1"/>
  <c r="C6732" i="1"/>
  <c r="D6732" i="1"/>
  <c r="E6732" i="1"/>
  <c r="A6733" i="1"/>
  <c r="B6733" i="1"/>
  <c r="C6733" i="1"/>
  <c r="D6733" i="1"/>
  <c r="E6733" i="1"/>
  <c r="A6734" i="1"/>
  <c r="B6734" i="1"/>
  <c r="C6734" i="1"/>
  <c r="D6734" i="1"/>
  <c r="E6734" i="1"/>
  <c r="A6735" i="1"/>
  <c r="B6735" i="1"/>
  <c r="C6735" i="1"/>
  <c r="D6735" i="1"/>
  <c r="E6735" i="1"/>
  <c r="A6736" i="1"/>
  <c r="B6736" i="1"/>
  <c r="C6736" i="1"/>
  <c r="D6736" i="1"/>
  <c r="E6736" i="1"/>
  <c r="A6737" i="1"/>
  <c r="B6737" i="1"/>
  <c r="C6737" i="1"/>
  <c r="D6737" i="1"/>
  <c r="E6737" i="1"/>
  <c r="A6738" i="1"/>
  <c r="B6738" i="1"/>
  <c r="C6738" i="1"/>
  <c r="D6738" i="1"/>
  <c r="E6738" i="1"/>
  <c r="A6739" i="1"/>
  <c r="B6739" i="1"/>
  <c r="C6739" i="1"/>
  <c r="D6739" i="1"/>
  <c r="E6739" i="1"/>
  <c r="A6740" i="1"/>
  <c r="B6740" i="1"/>
  <c r="C6740" i="1"/>
  <c r="D6740" i="1"/>
  <c r="E6740" i="1"/>
  <c r="A6741" i="1"/>
  <c r="B6741" i="1"/>
  <c r="C6741" i="1"/>
  <c r="D6741" i="1"/>
  <c r="E6741" i="1"/>
  <c r="A6742" i="1"/>
  <c r="B6742" i="1"/>
  <c r="C6742" i="1"/>
  <c r="D6742" i="1"/>
  <c r="E6742" i="1"/>
  <c r="A6743" i="1"/>
  <c r="B6743" i="1"/>
  <c r="C6743" i="1"/>
  <c r="D6743" i="1"/>
  <c r="E6743" i="1"/>
  <c r="A6744" i="1"/>
  <c r="B6744" i="1"/>
  <c r="C6744" i="1"/>
  <c r="D6744" i="1"/>
  <c r="E6744" i="1"/>
  <c r="A6745" i="1"/>
  <c r="B6745" i="1"/>
  <c r="C6745" i="1"/>
  <c r="D6745" i="1"/>
  <c r="E6745" i="1"/>
  <c r="A6746" i="1"/>
  <c r="B6746" i="1"/>
  <c r="C6746" i="1"/>
  <c r="D6746" i="1"/>
  <c r="E6746" i="1"/>
  <c r="A6747" i="1"/>
  <c r="B6747" i="1"/>
  <c r="C6747" i="1"/>
  <c r="D6747" i="1"/>
  <c r="E6747" i="1"/>
  <c r="A6748" i="1"/>
  <c r="B6748" i="1"/>
  <c r="C6748" i="1"/>
  <c r="D6748" i="1"/>
  <c r="E6748" i="1"/>
  <c r="A6749" i="1"/>
  <c r="B6749" i="1"/>
  <c r="C6749" i="1"/>
  <c r="D6749" i="1"/>
  <c r="E6749" i="1"/>
  <c r="A6750" i="1"/>
  <c r="B6750" i="1"/>
  <c r="C6750" i="1"/>
  <c r="D6750" i="1"/>
  <c r="E6750" i="1"/>
  <c r="A6751" i="1"/>
  <c r="B6751" i="1"/>
  <c r="C6751" i="1"/>
  <c r="D6751" i="1"/>
  <c r="E6751" i="1"/>
  <c r="A6752" i="1"/>
  <c r="B6752" i="1"/>
  <c r="C6752" i="1"/>
  <c r="D6752" i="1"/>
  <c r="E6752" i="1"/>
  <c r="A6753" i="1"/>
  <c r="B6753" i="1"/>
  <c r="C6753" i="1"/>
  <c r="D6753" i="1"/>
  <c r="E6753" i="1"/>
  <c r="A6754" i="1"/>
  <c r="B6754" i="1"/>
  <c r="C6754" i="1"/>
  <c r="D6754" i="1"/>
  <c r="E6754" i="1"/>
  <c r="A6755" i="1"/>
  <c r="B6755" i="1"/>
  <c r="C6755" i="1"/>
  <c r="D6755" i="1"/>
  <c r="E6755" i="1"/>
  <c r="A6756" i="1"/>
  <c r="B6756" i="1"/>
  <c r="C6756" i="1"/>
  <c r="D6756" i="1"/>
  <c r="E6756" i="1"/>
  <c r="A6757" i="1"/>
  <c r="B6757" i="1"/>
  <c r="C6757" i="1"/>
  <c r="D6757" i="1"/>
  <c r="E6757" i="1"/>
  <c r="A6758" i="1"/>
  <c r="B6758" i="1"/>
  <c r="C6758" i="1"/>
  <c r="D6758" i="1"/>
  <c r="E6758" i="1"/>
  <c r="A6759" i="1"/>
  <c r="B6759" i="1"/>
  <c r="C6759" i="1"/>
  <c r="D6759" i="1"/>
  <c r="E6759" i="1"/>
  <c r="A6760" i="1"/>
  <c r="B6760" i="1"/>
  <c r="C6760" i="1"/>
  <c r="D6760" i="1"/>
  <c r="E6760" i="1"/>
  <c r="A6761" i="1"/>
  <c r="B6761" i="1"/>
  <c r="C6761" i="1"/>
  <c r="D6761" i="1"/>
  <c r="E6761" i="1"/>
  <c r="A6762" i="1"/>
  <c r="B6762" i="1"/>
  <c r="C6762" i="1"/>
  <c r="D6762" i="1"/>
  <c r="E6762" i="1"/>
  <c r="A6763" i="1"/>
  <c r="B6763" i="1"/>
  <c r="C6763" i="1"/>
  <c r="D6763" i="1"/>
  <c r="E6763" i="1"/>
  <c r="A6764" i="1"/>
  <c r="B6764" i="1"/>
  <c r="C6764" i="1"/>
  <c r="D6764" i="1"/>
  <c r="E6764" i="1"/>
  <c r="A6765" i="1"/>
  <c r="B6765" i="1"/>
  <c r="C6765" i="1"/>
  <c r="D6765" i="1"/>
  <c r="E6765" i="1"/>
  <c r="A6766" i="1"/>
  <c r="B6766" i="1"/>
  <c r="C6766" i="1"/>
  <c r="D6766" i="1"/>
  <c r="E6766" i="1"/>
  <c r="A6767" i="1"/>
  <c r="B6767" i="1"/>
  <c r="C6767" i="1"/>
  <c r="D6767" i="1"/>
  <c r="E6767" i="1"/>
  <c r="A6768" i="1"/>
  <c r="B6768" i="1"/>
  <c r="C6768" i="1"/>
  <c r="D6768" i="1"/>
  <c r="E6768" i="1"/>
  <c r="A6769" i="1"/>
  <c r="B6769" i="1"/>
  <c r="C6769" i="1"/>
  <c r="D6769" i="1"/>
  <c r="E6769" i="1"/>
  <c r="A6770" i="1"/>
  <c r="B6770" i="1"/>
  <c r="C6770" i="1"/>
  <c r="D6770" i="1"/>
  <c r="E6770" i="1"/>
  <c r="A6771" i="1"/>
  <c r="B6771" i="1"/>
  <c r="C6771" i="1"/>
  <c r="D6771" i="1"/>
  <c r="E6771" i="1"/>
  <c r="A6772" i="1"/>
  <c r="B6772" i="1"/>
  <c r="C6772" i="1"/>
  <c r="D6772" i="1"/>
  <c r="E6772" i="1"/>
  <c r="A6773" i="1"/>
  <c r="B6773" i="1"/>
  <c r="C6773" i="1"/>
  <c r="D6773" i="1"/>
  <c r="E6773" i="1"/>
  <c r="A6774" i="1"/>
  <c r="B6774" i="1"/>
  <c r="C6774" i="1"/>
  <c r="D6774" i="1"/>
  <c r="E6774" i="1"/>
  <c r="A6775" i="1"/>
  <c r="B6775" i="1"/>
  <c r="C6775" i="1"/>
  <c r="D6775" i="1"/>
  <c r="E6775" i="1"/>
  <c r="A6776" i="1"/>
  <c r="B6776" i="1"/>
  <c r="C6776" i="1"/>
  <c r="D6776" i="1"/>
  <c r="E6776" i="1"/>
  <c r="A6777" i="1"/>
  <c r="B6777" i="1"/>
  <c r="C6777" i="1"/>
  <c r="D6777" i="1"/>
  <c r="E6777" i="1"/>
  <c r="A6778" i="1"/>
  <c r="B6778" i="1"/>
  <c r="C6778" i="1"/>
  <c r="D6778" i="1"/>
  <c r="E6778" i="1"/>
  <c r="A6779" i="1"/>
  <c r="B6779" i="1"/>
  <c r="C6779" i="1"/>
  <c r="D6779" i="1"/>
  <c r="E6779" i="1"/>
  <c r="A6780" i="1"/>
  <c r="B6780" i="1"/>
  <c r="C6780" i="1"/>
  <c r="D6780" i="1"/>
  <c r="E6780" i="1"/>
  <c r="A6781" i="1"/>
  <c r="B6781" i="1"/>
  <c r="C6781" i="1"/>
  <c r="D6781" i="1"/>
  <c r="E6781" i="1"/>
  <c r="A6782" i="1"/>
  <c r="B6782" i="1"/>
  <c r="C6782" i="1"/>
  <c r="D6782" i="1"/>
  <c r="E6782" i="1"/>
  <c r="A6783" i="1"/>
  <c r="B6783" i="1"/>
  <c r="C6783" i="1"/>
  <c r="D6783" i="1"/>
  <c r="E6783" i="1"/>
  <c r="A6784" i="1"/>
  <c r="B6784" i="1"/>
  <c r="C6784" i="1"/>
  <c r="D6784" i="1"/>
  <c r="E6784" i="1"/>
  <c r="A6785" i="1"/>
  <c r="B6785" i="1"/>
  <c r="C6785" i="1"/>
  <c r="D6785" i="1"/>
  <c r="E6785" i="1"/>
  <c r="A6786" i="1"/>
  <c r="B6786" i="1"/>
  <c r="C6786" i="1"/>
  <c r="D6786" i="1"/>
  <c r="E6786" i="1"/>
  <c r="A6787" i="1"/>
  <c r="B6787" i="1"/>
  <c r="C6787" i="1"/>
  <c r="D6787" i="1"/>
  <c r="E6787" i="1"/>
  <c r="A6788" i="1"/>
  <c r="B6788" i="1"/>
  <c r="C6788" i="1"/>
  <c r="D6788" i="1"/>
  <c r="E6788" i="1"/>
  <c r="A6789" i="1"/>
  <c r="B6789" i="1"/>
  <c r="C6789" i="1"/>
  <c r="D6789" i="1"/>
  <c r="E6789" i="1"/>
  <c r="A6790" i="1"/>
  <c r="B6790" i="1"/>
  <c r="C6790" i="1"/>
  <c r="D6790" i="1"/>
  <c r="E6790" i="1"/>
  <c r="A6791" i="1"/>
  <c r="B6791" i="1"/>
  <c r="C6791" i="1"/>
  <c r="D6791" i="1"/>
  <c r="E6791" i="1"/>
  <c r="A6792" i="1"/>
  <c r="B6792" i="1"/>
  <c r="C6792" i="1"/>
  <c r="D6792" i="1"/>
  <c r="E6792" i="1"/>
  <c r="A6793" i="1"/>
  <c r="B6793" i="1"/>
  <c r="C6793" i="1"/>
  <c r="D6793" i="1"/>
  <c r="E6793" i="1"/>
  <c r="A6794" i="1"/>
  <c r="B6794" i="1"/>
  <c r="C6794" i="1"/>
  <c r="D6794" i="1"/>
  <c r="E6794" i="1"/>
  <c r="A6795" i="1"/>
  <c r="B6795" i="1"/>
  <c r="C6795" i="1"/>
  <c r="D6795" i="1"/>
  <c r="E6795" i="1"/>
  <c r="A6796" i="1"/>
  <c r="B6796" i="1"/>
  <c r="C6796" i="1"/>
  <c r="D6796" i="1"/>
  <c r="E6796" i="1"/>
  <c r="A6797" i="1"/>
  <c r="B6797" i="1"/>
  <c r="C6797" i="1"/>
  <c r="D6797" i="1"/>
  <c r="E6797" i="1"/>
  <c r="A6798" i="1"/>
  <c r="B6798" i="1"/>
  <c r="C6798" i="1"/>
  <c r="D6798" i="1"/>
  <c r="E6798" i="1"/>
  <c r="A6799" i="1"/>
  <c r="B6799" i="1"/>
  <c r="C6799" i="1"/>
  <c r="D6799" i="1"/>
  <c r="E6799" i="1"/>
  <c r="A6800" i="1"/>
  <c r="B6800" i="1"/>
  <c r="C6800" i="1"/>
  <c r="D6800" i="1"/>
  <c r="E6800" i="1"/>
  <c r="A6801" i="1"/>
  <c r="B6801" i="1"/>
  <c r="C6801" i="1"/>
  <c r="D6801" i="1"/>
  <c r="E6801" i="1"/>
  <c r="A6802" i="1"/>
  <c r="B6802" i="1"/>
  <c r="C6802" i="1"/>
  <c r="D6802" i="1"/>
  <c r="E6802" i="1"/>
  <c r="A6803" i="1"/>
  <c r="B6803" i="1"/>
  <c r="C6803" i="1"/>
  <c r="D6803" i="1"/>
  <c r="E6803" i="1"/>
  <c r="A6804" i="1"/>
  <c r="B6804" i="1"/>
  <c r="C6804" i="1"/>
  <c r="D6804" i="1"/>
  <c r="E6804" i="1"/>
  <c r="A6805" i="1"/>
  <c r="B6805" i="1"/>
  <c r="C6805" i="1"/>
  <c r="D6805" i="1"/>
  <c r="E6805" i="1"/>
  <c r="A6806" i="1"/>
  <c r="B6806" i="1"/>
  <c r="C6806" i="1"/>
  <c r="D6806" i="1"/>
  <c r="E6806" i="1"/>
  <c r="A6807" i="1"/>
  <c r="B6807" i="1"/>
  <c r="C6807" i="1"/>
  <c r="D6807" i="1"/>
  <c r="E6807" i="1"/>
  <c r="A6808" i="1"/>
  <c r="B6808" i="1"/>
  <c r="C6808" i="1"/>
  <c r="D6808" i="1"/>
  <c r="E6808" i="1"/>
  <c r="A6809" i="1"/>
  <c r="B6809" i="1"/>
  <c r="C6809" i="1"/>
  <c r="D6809" i="1"/>
  <c r="E6809" i="1"/>
  <c r="A6810" i="1"/>
  <c r="B6810" i="1"/>
  <c r="C6810" i="1"/>
  <c r="D6810" i="1"/>
  <c r="E6810" i="1"/>
  <c r="A6811" i="1"/>
  <c r="B6811" i="1"/>
  <c r="C6811" i="1"/>
  <c r="D6811" i="1"/>
  <c r="E6811" i="1"/>
  <c r="A6812" i="1"/>
  <c r="B6812" i="1"/>
  <c r="C6812" i="1"/>
  <c r="D6812" i="1"/>
  <c r="E6812" i="1"/>
  <c r="A6813" i="1"/>
  <c r="B6813" i="1"/>
  <c r="C6813" i="1"/>
  <c r="D6813" i="1"/>
  <c r="E6813" i="1"/>
  <c r="A6814" i="1"/>
  <c r="B6814" i="1"/>
  <c r="C6814" i="1"/>
  <c r="D6814" i="1"/>
  <c r="E6814" i="1"/>
  <c r="A6815" i="1"/>
  <c r="B6815" i="1"/>
  <c r="C6815" i="1"/>
  <c r="D6815" i="1"/>
  <c r="E6815" i="1"/>
  <c r="A6816" i="1"/>
  <c r="B6816" i="1"/>
  <c r="C6816" i="1"/>
  <c r="D6816" i="1"/>
  <c r="E6816" i="1"/>
  <c r="A6817" i="1"/>
  <c r="B6817" i="1"/>
  <c r="C6817" i="1"/>
  <c r="D6817" i="1"/>
  <c r="E6817" i="1"/>
  <c r="A6818" i="1"/>
  <c r="B6818" i="1"/>
  <c r="C6818" i="1"/>
  <c r="D6818" i="1"/>
  <c r="E6818" i="1"/>
  <c r="A6819" i="1"/>
  <c r="B6819" i="1"/>
  <c r="C6819" i="1"/>
  <c r="D6819" i="1"/>
  <c r="E6819" i="1"/>
  <c r="A6820" i="1"/>
  <c r="B6820" i="1"/>
  <c r="C6820" i="1"/>
  <c r="D6820" i="1"/>
  <c r="E6820" i="1"/>
  <c r="A6821" i="1"/>
  <c r="B6821" i="1"/>
  <c r="C6821" i="1"/>
  <c r="D6821" i="1"/>
  <c r="E6821" i="1"/>
  <c r="A6822" i="1"/>
  <c r="B6822" i="1"/>
  <c r="C6822" i="1"/>
  <c r="D6822" i="1"/>
  <c r="E6822" i="1"/>
  <c r="A6823" i="1"/>
  <c r="B6823" i="1"/>
  <c r="C6823" i="1"/>
  <c r="D6823" i="1"/>
  <c r="E6823" i="1"/>
  <c r="A6824" i="1"/>
  <c r="B6824" i="1"/>
  <c r="C6824" i="1"/>
  <c r="D6824" i="1"/>
  <c r="E6824" i="1"/>
  <c r="A6825" i="1"/>
  <c r="B6825" i="1"/>
  <c r="C6825" i="1"/>
  <c r="D6825" i="1"/>
  <c r="E6825" i="1"/>
  <c r="A6826" i="1"/>
  <c r="B6826" i="1"/>
  <c r="C6826" i="1"/>
  <c r="D6826" i="1"/>
  <c r="E6826" i="1"/>
  <c r="A6827" i="1"/>
  <c r="B6827" i="1"/>
  <c r="C6827" i="1"/>
  <c r="D6827" i="1"/>
  <c r="E6827" i="1"/>
  <c r="A6828" i="1"/>
  <c r="B6828" i="1"/>
  <c r="C6828" i="1"/>
  <c r="D6828" i="1"/>
  <c r="E6828" i="1"/>
  <c r="A6829" i="1"/>
  <c r="B6829" i="1"/>
  <c r="C6829" i="1"/>
  <c r="D6829" i="1"/>
  <c r="E6829" i="1"/>
  <c r="A6830" i="1"/>
  <c r="B6830" i="1"/>
  <c r="C6830" i="1"/>
  <c r="D6830" i="1"/>
  <c r="E6830" i="1"/>
  <c r="A6831" i="1"/>
  <c r="B6831" i="1"/>
  <c r="C6831" i="1"/>
  <c r="D6831" i="1"/>
  <c r="E6831" i="1"/>
  <c r="A6832" i="1"/>
  <c r="B6832" i="1"/>
  <c r="C6832" i="1"/>
  <c r="D6832" i="1"/>
  <c r="E6832" i="1"/>
  <c r="A6833" i="1"/>
  <c r="B6833" i="1"/>
  <c r="C6833" i="1"/>
  <c r="D6833" i="1"/>
  <c r="E6833" i="1"/>
  <c r="A6834" i="1"/>
  <c r="B6834" i="1"/>
  <c r="C6834" i="1"/>
  <c r="D6834" i="1"/>
  <c r="E6834" i="1"/>
  <c r="A6835" i="1"/>
  <c r="B6835" i="1"/>
  <c r="C6835" i="1"/>
  <c r="D6835" i="1"/>
  <c r="E6835" i="1"/>
  <c r="A6836" i="1"/>
  <c r="B6836" i="1"/>
  <c r="C6836" i="1"/>
  <c r="D6836" i="1"/>
  <c r="E6836" i="1"/>
  <c r="A6837" i="1"/>
  <c r="B6837" i="1"/>
  <c r="C6837" i="1"/>
  <c r="D6837" i="1"/>
  <c r="E6837" i="1"/>
  <c r="A6838" i="1"/>
  <c r="B6838" i="1"/>
  <c r="C6838" i="1"/>
  <c r="D6838" i="1"/>
  <c r="E6838" i="1"/>
  <c r="A6839" i="1"/>
  <c r="B6839" i="1"/>
  <c r="C6839" i="1"/>
  <c r="D6839" i="1"/>
  <c r="E6839" i="1"/>
  <c r="A6840" i="1"/>
  <c r="B6840" i="1"/>
  <c r="C6840" i="1"/>
  <c r="D6840" i="1"/>
  <c r="E6840" i="1"/>
  <c r="A6841" i="1"/>
  <c r="B6841" i="1"/>
  <c r="C6841" i="1"/>
  <c r="D6841" i="1"/>
  <c r="E6841" i="1"/>
  <c r="A6842" i="1"/>
  <c r="B6842" i="1"/>
  <c r="C6842" i="1"/>
  <c r="D6842" i="1"/>
  <c r="E6842" i="1"/>
  <c r="A6843" i="1"/>
  <c r="B6843" i="1"/>
  <c r="C6843" i="1"/>
  <c r="D6843" i="1"/>
  <c r="E6843" i="1"/>
  <c r="A6844" i="1"/>
  <c r="B6844" i="1"/>
  <c r="C6844" i="1"/>
  <c r="D6844" i="1"/>
  <c r="E6844" i="1"/>
  <c r="A6845" i="1"/>
  <c r="B6845" i="1"/>
  <c r="C6845" i="1"/>
  <c r="D6845" i="1"/>
  <c r="E6845" i="1"/>
  <c r="A6846" i="1"/>
  <c r="B6846" i="1"/>
  <c r="C6846" i="1"/>
  <c r="D6846" i="1"/>
  <c r="E6846" i="1"/>
  <c r="A6847" i="1"/>
  <c r="B6847" i="1"/>
  <c r="C6847" i="1"/>
  <c r="D6847" i="1"/>
  <c r="E6847" i="1"/>
  <c r="A6848" i="1"/>
  <c r="B6848" i="1"/>
  <c r="C6848" i="1"/>
  <c r="D6848" i="1"/>
  <c r="E6848" i="1"/>
  <c r="A6849" i="1"/>
  <c r="B6849" i="1"/>
  <c r="C6849" i="1"/>
  <c r="D6849" i="1"/>
  <c r="E6849" i="1"/>
  <c r="A6850" i="1"/>
  <c r="B6850" i="1"/>
  <c r="C6850" i="1"/>
  <c r="D6850" i="1"/>
  <c r="E6850" i="1"/>
  <c r="A6851" i="1"/>
  <c r="B6851" i="1"/>
  <c r="C6851" i="1"/>
  <c r="D6851" i="1"/>
  <c r="E6851" i="1"/>
  <c r="A6852" i="1"/>
  <c r="B6852" i="1"/>
  <c r="C6852" i="1"/>
  <c r="D6852" i="1"/>
  <c r="E6852" i="1"/>
  <c r="A6853" i="1"/>
  <c r="B6853" i="1"/>
  <c r="C6853" i="1"/>
  <c r="D6853" i="1"/>
  <c r="E6853" i="1"/>
  <c r="A6854" i="1"/>
  <c r="B6854" i="1"/>
  <c r="C6854" i="1"/>
  <c r="D6854" i="1"/>
  <c r="E6854" i="1"/>
  <c r="A6855" i="1"/>
  <c r="B6855" i="1"/>
  <c r="C6855" i="1"/>
  <c r="D6855" i="1"/>
  <c r="E6855" i="1"/>
  <c r="A6856" i="1"/>
  <c r="B6856" i="1"/>
  <c r="C6856" i="1"/>
  <c r="D6856" i="1"/>
  <c r="E6856" i="1"/>
  <c r="A6857" i="1"/>
  <c r="B6857" i="1"/>
  <c r="C6857" i="1"/>
  <c r="D6857" i="1"/>
  <c r="E6857" i="1"/>
  <c r="A6858" i="1"/>
  <c r="B6858" i="1"/>
  <c r="C6858" i="1"/>
  <c r="D6858" i="1"/>
  <c r="E6858" i="1"/>
  <c r="A6859" i="1"/>
  <c r="B6859" i="1"/>
  <c r="C6859" i="1"/>
  <c r="D6859" i="1"/>
  <c r="E6859" i="1"/>
  <c r="A6860" i="1"/>
  <c r="B6860" i="1"/>
  <c r="C6860" i="1"/>
  <c r="D6860" i="1"/>
  <c r="E6860" i="1"/>
  <c r="A6861" i="1"/>
  <c r="B6861" i="1"/>
  <c r="C6861" i="1"/>
  <c r="D6861" i="1"/>
  <c r="E6861" i="1"/>
  <c r="A6862" i="1"/>
  <c r="B6862" i="1"/>
  <c r="C6862" i="1"/>
  <c r="D6862" i="1"/>
  <c r="E6862" i="1"/>
  <c r="A6863" i="1"/>
  <c r="B6863" i="1"/>
  <c r="C6863" i="1"/>
  <c r="D6863" i="1"/>
  <c r="E6863" i="1"/>
  <c r="A6864" i="1"/>
  <c r="B6864" i="1"/>
  <c r="C6864" i="1"/>
  <c r="D6864" i="1"/>
  <c r="E6864" i="1"/>
  <c r="A6865" i="1"/>
  <c r="B6865" i="1"/>
  <c r="C6865" i="1"/>
  <c r="D6865" i="1"/>
  <c r="E6865" i="1"/>
  <c r="A6866" i="1"/>
  <c r="B6866" i="1"/>
  <c r="C6866" i="1"/>
  <c r="D6866" i="1"/>
  <c r="E6866" i="1"/>
  <c r="A6867" i="1"/>
  <c r="B6867" i="1"/>
  <c r="C6867" i="1"/>
  <c r="D6867" i="1"/>
  <c r="E6867" i="1"/>
  <c r="A6868" i="1"/>
  <c r="B6868" i="1"/>
  <c r="C6868" i="1"/>
  <c r="D6868" i="1"/>
  <c r="E6868" i="1"/>
  <c r="A6869" i="1"/>
  <c r="B6869" i="1"/>
  <c r="C6869" i="1"/>
  <c r="D6869" i="1"/>
  <c r="E6869" i="1"/>
  <c r="A6870" i="1"/>
  <c r="B6870" i="1"/>
  <c r="C6870" i="1"/>
  <c r="D6870" i="1"/>
  <c r="E6870" i="1"/>
  <c r="A6871" i="1"/>
  <c r="B6871" i="1"/>
  <c r="C6871" i="1"/>
  <c r="D6871" i="1"/>
  <c r="E6871" i="1"/>
  <c r="A6872" i="1"/>
  <c r="B6872" i="1"/>
  <c r="C6872" i="1"/>
  <c r="D6872" i="1"/>
  <c r="E6872" i="1"/>
  <c r="A6873" i="1"/>
  <c r="B6873" i="1"/>
  <c r="C6873" i="1"/>
  <c r="D6873" i="1"/>
  <c r="E6873" i="1"/>
  <c r="A6874" i="1"/>
  <c r="B6874" i="1"/>
  <c r="C6874" i="1"/>
  <c r="D6874" i="1"/>
  <c r="E6874" i="1"/>
  <c r="A6875" i="1"/>
  <c r="B6875" i="1"/>
  <c r="C6875" i="1"/>
  <c r="D6875" i="1"/>
  <c r="E6875" i="1"/>
  <c r="A6876" i="1"/>
  <c r="B6876" i="1"/>
  <c r="C6876" i="1"/>
  <c r="D6876" i="1"/>
  <c r="E6876" i="1"/>
  <c r="A6877" i="1"/>
  <c r="B6877" i="1"/>
  <c r="C6877" i="1"/>
  <c r="D6877" i="1"/>
  <c r="E6877" i="1"/>
  <c r="A6878" i="1"/>
  <c r="B6878" i="1"/>
  <c r="C6878" i="1"/>
  <c r="D6878" i="1"/>
  <c r="E6878" i="1"/>
  <c r="A6879" i="1"/>
  <c r="B6879" i="1"/>
  <c r="C6879" i="1"/>
  <c r="D6879" i="1"/>
  <c r="E6879" i="1"/>
  <c r="A6880" i="1"/>
  <c r="B6880" i="1"/>
  <c r="C6880" i="1"/>
  <c r="D6880" i="1"/>
  <c r="E6880" i="1"/>
  <c r="A6881" i="1"/>
  <c r="B6881" i="1"/>
  <c r="C6881" i="1"/>
  <c r="D6881" i="1"/>
  <c r="E6881" i="1"/>
  <c r="A6882" i="1"/>
  <c r="B6882" i="1"/>
  <c r="C6882" i="1"/>
  <c r="D6882" i="1"/>
  <c r="E6882" i="1"/>
  <c r="A6883" i="1"/>
  <c r="B6883" i="1"/>
  <c r="C6883" i="1"/>
  <c r="D6883" i="1"/>
  <c r="E6883" i="1"/>
  <c r="A6884" i="1"/>
  <c r="B6884" i="1"/>
  <c r="C6884" i="1"/>
  <c r="D6884" i="1"/>
  <c r="E6884" i="1"/>
  <c r="A6885" i="1"/>
  <c r="B6885" i="1"/>
  <c r="C6885" i="1"/>
  <c r="D6885" i="1"/>
  <c r="E6885" i="1"/>
  <c r="A6886" i="1"/>
  <c r="B6886" i="1"/>
  <c r="C6886" i="1"/>
  <c r="D6886" i="1"/>
  <c r="E6886" i="1"/>
  <c r="A6887" i="1"/>
  <c r="B6887" i="1"/>
  <c r="C6887" i="1"/>
  <c r="D6887" i="1"/>
  <c r="E6887" i="1"/>
  <c r="A6888" i="1"/>
  <c r="B6888" i="1"/>
  <c r="C6888" i="1"/>
  <c r="D6888" i="1"/>
  <c r="E6888" i="1"/>
  <c r="A6889" i="1"/>
  <c r="B6889" i="1"/>
  <c r="C6889" i="1"/>
  <c r="D6889" i="1"/>
  <c r="E6889" i="1"/>
  <c r="A6890" i="1"/>
  <c r="B6890" i="1"/>
  <c r="C6890" i="1"/>
  <c r="D6890" i="1"/>
  <c r="E6890" i="1"/>
  <c r="A6891" i="1"/>
  <c r="B6891" i="1"/>
  <c r="C6891" i="1"/>
  <c r="D6891" i="1"/>
  <c r="E6891" i="1"/>
  <c r="A6892" i="1"/>
  <c r="B6892" i="1"/>
  <c r="C6892" i="1"/>
  <c r="D6892" i="1"/>
  <c r="E6892" i="1"/>
  <c r="A6893" i="1"/>
  <c r="B6893" i="1"/>
  <c r="C6893" i="1"/>
  <c r="D6893" i="1"/>
  <c r="E6893" i="1"/>
  <c r="A6894" i="1"/>
  <c r="B6894" i="1"/>
  <c r="C6894" i="1"/>
  <c r="D6894" i="1"/>
  <c r="E6894" i="1"/>
  <c r="A6895" i="1"/>
  <c r="B6895" i="1"/>
  <c r="C6895" i="1"/>
  <c r="D6895" i="1"/>
  <c r="E6895" i="1"/>
  <c r="A6896" i="1"/>
  <c r="B6896" i="1"/>
  <c r="C6896" i="1"/>
  <c r="D6896" i="1"/>
  <c r="E6896" i="1"/>
  <c r="A6897" i="1"/>
  <c r="B6897" i="1"/>
  <c r="C6897" i="1"/>
  <c r="D6897" i="1"/>
  <c r="E6897" i="1"/>
  <c r="A6898" i="1"/>
  <c r="B6898" i="1"/>
  <c r="C6898" i="1"/>
  <c r="D6898" i="1"/>
  <c r="E6898" i="1"/>
  <c r="A6899" i="1"/>
  <c r="B6899" i="1"/>
  <c r="C6899" i="1"/>
  <c r="D6899" i="1"/>
  <c r="E6899" i="1"/>
  <c r="A6900" i="1"/>
  <c r="B6900" i="1"/>
  <c r="C6900" i="1"/>
  <c r="D6900" i="1"/>
  <c r="E6900" i="1"/>
  <c r="A6901" i="1"/>
  <c r="B6901" i="1"/>
  <c r="C6901" i="1"/>
  <c r="D6901" i="1"/>
  <c r="E6901" i="1"/>
  <c r="A6902" i="1"/>
  <c r="B6902" i="1"/>
  <c r="C6902" i="1"/>
  <c r="D6902" i="1"/>
  <c r="E6902" i="1"/>
  <c r="A6903" i="1"/>
  <c r="B6903" i="1"/>
  <c r="C6903" i="1"/>
  <c r="D6903" i="1"/>
  <c r="E6903" i="1"/>
  <c r="A6904" i="1"/>
  <c r="B6904" i="1"/>
  <c r="C6904" i="1"/>
  <c r="D6904" i="1"/>
  <c r="E6904" i="1"/>
  <c r="A6905" i="1"/>
  <c r="B6905" i="1"/>
  <c r="C6905" i="1"/>
  <c r="D6905" i="1"/>
  <c r="E6905" i="1"/>
  <c r="A6906" i="1"/>
  <c r="B6906" i="1"/>
  <c r="C6906" i="1"/>
  <c r="D6906" i="1"/>
  <c r="E6906" i="1"/>
  <c r="A6907" i="1"/>
  <c r="B6907" i="1"/>
  <c r="C6907" i="1"/>
  <c r="D6907" i="1"/>
  <c r="E6907" i="1"/>
  <c r="A6908" i="1"/>
  <c r="B6908" i="1"/>
  <c r="C6908" i="1"/>
  <c r="D6908" i="1"/>
  <c r="E6908" i="1"/>
  <c r="A6909" i="1"/>
  <c r="B6909" i="1"/>
  <c r="C6909" i="1"/>
  <c r="D6909" i="1"/>
  <c r="E6909" i="1"/>
  <c r="A6910" i="1"/>
  <c r="B6910" i="1"/>
  <c r="C6910" i="1"/>
  <c r="D6910" i="1"/>
  <c r="E6910" i="1"/>
  <c r="A6911" i="1"/>
  <c r="B6911" i="1"/>
  <c r="C6911" i="1"/>
  <c r="D6911" i="1"/>
  <c r="E6911" i="1"/>
  <c r="A6912" i="1"/>
  <c r="B6912" i="1"/>
  <c r="C6912" i="1"/>
  <c r="D6912" i="1"/>
  <c r="E6912" i="1"/>
  <c r="A6913" i="1"/>
  <c r="B6913" i="1"/>
  <c r="C6913" i="1"/>
  <c r="D6913" i="1"/>
  <c r="E6913" i="1"/>
  <c r="A6914" i="1"/>
  <c r="B6914" i="1"/>
  <c r="C6914" i="1"/>
  <c r="D6914" i="1"/>
  <c r="E6914" i="1"/>
  <c r="A6915" i="1"/>
  <c r="B6915" i="1"/>
  <c r="C6915" i="1"/>
  <c r="D6915" i="1"/>
  <c r="E6915" i="1"/>
  <c r="A6916" i="1"/>
  <c r="B6916" i="1"/>
  <c r="C6916" i="1"/>
  <c r="D6916" i="1"/>
  <c r="E6916" i="1"/>
  <c r="A6917" i="1"/>
  <c r="B6917" i="1"/>
  <c r="C6917" i="1"/>
  <c r="D6917" i="1"/>
  <c r="E6917" i="1"/>
  <c r="A6918" i="1"/>
  <c r="B6918" i="1"/>
  <c r="C6918" i="1"/>
  <c r="D6918" i="1"/>
  <c r="E6918" i="1"/>
  <c r="A6919" i="1"/>
  <c r="B6919" i="1"/>
  <c r="C6919" i="1"/>
  <c r="D6919" i="1"/>
  <c r="E6919" i="1"/>
  <c r="A6920" i="1"/>
  <c r="B6920" i="1"/>
  <c r="C6920" i="1"/>
  <c r="D6920" i="1"/>
  <c r="E6920" i="1"/>
  <c r="A6921" i="1"/>
  <c r="B6921" i="1"/>
  <c r="C6921" i="1"/>
  <c r="D6921" i="1"/>
  <c r="E6921" i="1"/>
  <c r="A6922" i="1"/>
  <c r="B6922" i="1"/>
  <c r="C6922" i="1"/>
  <c r="D6922" i="1"/>
  <c r="E6922" i="1"/>
  <c r="A6923" i="1"/>
  <c r="B6923" i="1"/>
  <c r="C6923" i="1"/>
  <c r="D6923" i="1"/>
  <c r="E6923" i="1"/>
  <c r="A6924" i="1"/>
  <c r="B6924" i="1"/>
  <c r="C6924" i="1"/>
  <c r="D6924" i="1"/>
  <c r="E6924" i="1"/>
  <c r="A6925" i="1"/>
  <c r="B6925" i="1"/>
  <c r="C6925" i="1"/>
  <c r="D6925" i="1"/>
  <c r="E6925" i="1"/>
  <c r="A6926" i="1"/>
  <c r="B6926" i="1"/>
  <c r="C6926" i="1"/>
  <c r="D6926" i="1"/>
  <c r="E6926" i="1"/>
  <c r="A6927" i="1"/>
  <c r="B6927" i="1"/>
  <c r="C6927" i="1"/>
  <c r="D6927" i="1"/>
  <c r="E6927" i="1"/>
  <c r="A6928" i="1"/>
  <c r="B6928" i="1"/>
  <c r="C6928" i="1"/>
  <c r="D6928" i="1"/>
  <c r="E6928" i="1"/>
  <c r="A6929" i="1"/>
  <c r="B6929" i="1"/>
  <c r="C6929" i="1"/>
  <c r="D6929" i="1"/>
  <c r="E6929" i="1"/>
  <c r="A6930" i="1"/>
  <c r="B6930" i="1"/>
  <c r="C6930" i="1"/>
  <c r="D6930" i="1"/>
  <c r="E6930" i="1"/>
  <c r="A6931" i="1"/>
  <c r="B6931" i="1"/>
  <c r="C6931" i="1"/>
  <c r="D6931" i="1"/>
  <c r="E6931" i="1"/>
  <c r="A6932" i="1"/>
  <c r="B6932" i="1"/>
  <c r="C6932" i="1"/>
  <c r="D6932" i="1"/>
  <c r="E6932" i="1"/>
  <c r="A6933" i="1"/>
  <c r="B6933" i="1"/>
  <c r="C6933" i="1"/>
  <c r="D6933" i="1"/>
  <c r="E6933" i="1"/>
  <c r="A6934" i="1"/>
  <c r="B6934" i="1"/>
  <c r="C6934" i="1"/>
  <c r="D6934" i="1"/>
  <c r="E6934" i="1"/>
  <c r="A6935" i="1"/>
  <c r="B6935" i="1"/>
  <c r="C6935" i="1"/>
  <c r="D6935" i="1"/>
  <c r="E6935" i="1"/>
  <c r="A6936" i="1"/>
  <c r="B6936" i="1"/>
  <c r="C6936" i="1"/>
  <c r="D6936" i="1"/>
  <c r="E6936" i="1"/>
  <c r="A6937" i="1"/>
  <c r="B6937" i="1"/>
  <c r="C6937" i="1"/>
  <c r="D6937" i="1"/>
  <c r="E6937" i="1"/>
  <c r="A6938" i="1"/>
  <c r="B6938" i="1"/>
  <c r="C6938" i="1"/>
  <c r="D6938" i="1"/>
  <c r="E6938" i="1"/>
  <c r="A6939" i="1"/>
  <c r="B6939" i="1"/>
  <c r="C6939" i="1"/>
  <c r="D6939" i="1"/>
  <c r="E6939" i="1"/>
  <c r="A6940" i="1"/>
  <c r="B6940" i="1"/>
  <c r="C6940" i="1"/>
  <c r="D6940" i="1"/>
  <c r="E6940" i="1"/>
  <c r="A6941" i="1"/>
  <c r="B6941" i="1"/>
  <c r="C6941" i="1"/>
  <c r="D6941" i="1"/>
  <c r="E6941" i="1"/>
  <c r="A6942" i="1"/>
  <c r="B6942" i="1"/>
  <c r="C6942" i="1"/>
  <c r="D6942" i="1"/>
  <c r="E6942" i="1"/>
  <c r="A6943" i="1"/>
  <c r="B6943" i="1"/>
  <c r="C6943" i="1"/>
  <c r="D6943" i="1"/>
  <c r="E6943" i="1"/>
  <c r="A6944" i="1"/>
  <c r="B6944" i="1"/>
  <c r="C6944" i="1"/>
  <c r="D6944" i="1"/>
  <c r="E6944" i="1"/>
  <c r="A6945" i="1"/>
  <c r="B6945" i="1"/>
  <c r="C6945" i="1"/>
  <c r="D6945" i="1"/>
  <c r="E6945" i="1"/>
  <c r="A6946" i="1"/>
  <c r="B6946" i="1"/>
  <c r="C6946" i="1"/>
  <c r="D6946" i="1"/>
  <c r="E6946" i="1"/>
  <c r="A6947" i="1"/>
  <c r="B6947" i="1"/>
  <c r="C6947" i="1"/>
  <c r="D6947" i="1"/>
  <c r="E6947" i="1"/>
  <c r="A6948" i="1"/>
  <c r="B6948" i="1"/>
  <c r="C6948" i="1"/>
  <c r="D6948" i="1"/>
  <c r="E6948" i="1"/>
  <c r="A6949" i="1"/>
  <c r="B6949" i="1"/>
  <c r="C6949" i="1"/>
  <c r="D6949" i="1"/>
  <c r="E6949" i="1"/>
  <c r="A6950" i="1"/>
  <c r="B6950" i="1"/>
  <c r="C6950" i="1"/>
  <c r="D6950" i="1"/>
  <c r="E6950" i="1"/>
  <c r="A6951" i="1"/>
  <c r="B6951" i="1"/>
  <c r="C6951" i="1"/>
  <c r="D6951" i="1"/>
  <c r="E6951" i="1"/>
  <c r="A6952" i="1"/>
  <c r="B6952" i="1"/>
  <c r="C6952" i="1"/>
  <c r="D6952" i="1"/>
  <c r="E6952" i="1"/>
  <c r="A6953" i="1"/>
  <c r="B6953" i="1"/>
  <c r="C6953" i="1"/>
  <c r="D6953" i="1"/>
  <c r="E6953" i="1"/>
  <c r="A6954" i="1"/>
  <c r="B6954" i="1"/>
  <c r="C6954" i="1"/>
  <c r="D6954" i="1"/>
  <c r="E6954" i="1"/>
  <c r="A6955" i="1"/>
  <c r="B6955" i="1"/>
  <c r="C6955" i="1"/>
  <c r="D6955" i="1"/>
  <c r="E6955" i="1"/>
  <c r="A6956" i="1"/>
  <c r="B6956" i="1"/>
  <c r="C6956" i="1"/>
  <c r="D6956" i="1"/>
  <c r="E6956" i="1"/>
  <c r="A6957" i="1"/>
  <c r="B6957" i="1"/>
  <c r="C6957" i="1"/>
  <c r="D6957" i="1"/>
  <c r="E6957" i="1"/>
  <c r="A6958" i="1"/>
  <c r="B6958" i="1"/>
  <c r="C6958" i="1"/>
  <c r="D6958" i="1"/>
  <c r="E6958" i="1"/>
  <c r="A6959" i="1"/>
  <c r="B6959" i="1"/>
  <c r="C6959" i="1"/>
  <c r="D6959" i="1"/>
  <c r="E6959" i="1"/>
  <c r="A6960" i="1"/>
  <c r="B6960" i="1"/>
  <c r="C6960" i="1"/>
  <c r="D6960" i="1"/>
  <c r="E6960" i="1"/>
  <c r="A6961" i="1"/>
  <c r="B6961" i="1"/>
  <c r="C6961" i="1"/>
  <c r="D6961" i="1"/>
  <c r="E6961" i="1"/>
  <c r="A6962" i="1"/>
  <c r="B6962" i="1"/>
  <c r="C6962" i="1"/>
  <c r="D6962" i="1"/>
  <c r="E6962" i="1"/>
  <c r="A6963" i="1"/>
  <c r="B6963" i="1"/>
  <c r="C6963" i="1"/>
  <c r="D6963" i="1"/>
  <c r="E6963" i="1"/>
  <c r="A6964" i="1"/>
  <c r="B6964" i="1"/>
  <c r="C6964" i="1"/>
  <c r="D6964" i="1"/>
  <c r="E6964" i="1"/>
  <c r="A6965" i="1"/>
  <c r="B6965" i="1"/>
  <c r="C6965" i="1"/>
  <c r="D6965" i="1"/>
  <c r="E6965" i="1"/>
  <c r="A6966" i="1"/>
  <c r="B6966" i="1"/>
  <c r="C6966" i="1"/>
  <c r="D6966" i="1"/>
  <c r="E6966" i="1"/>
  <c r="A6967" i="1"/>
  <c r="B6967" i="1"/>
  <c r="C6967" i="1"/>
  <c r="D6967" i="1"/>
  <c r="E6967" i="1"/>
  <c r="A6968" i="1"/>
  <c r="B6968" i="1"/>
  <c r="C6968" i="1"/>
  <c r="D6968" i="1"/>
  <c r="E6968" i="1"/>
  <c r="A6969" i="1"/>
  <c r="B6969" i="1"/>
  <c r="C6969" i="1"/>
  <c r="D6969" i="1"/>
  <c r="E6969" i="1"/>
  <c r="A6970" i="1"/>
  <c r="B6970" i="1"/>
  <c r="C6970" i="1"/>
  <c r="D6970" i="1"/>
  <c r="E6970" i="1"/>
  <c r="A6971" i="1"/>
  <c r="B6971" i="1"/>
  <c r="C6971" i="1"/>
  <c r="D6971" i="1"/>
  <c r="E6971" i="1"/>
  <c r="A6972" i="1"/>
  <c r="B6972" i="1"/>
  <c r="C6972" i="1"/>
  <c r="D6972" i="1"/>
  <c r="E6972" i="1"/>
  <c r="A6973" i="1"/>
  <c r="B6973" i="1"/>
  <c r="C6973" i="1"/>
  <c r="D6973" i="1"/>
  <c r="E6973" i="1"/>
  <c r="A6974" i="1"/>
  <c r="B6974" i="1"/>
  <c r="C6974" i="1"/>
  <c r="D6974" i="1"/>
  <c r="E6974" i="1"/>
  <c r="A6975" i="1"/>
  <c r="B6975" i="1"/>
  <c r="C6975" i="1"/>
  <c r="D6975" i="1"/>
  <c r="E6975" i="1"/>
  <c r="A6976" i="1"/>
  <c r="B6976" i="1"/>
  <c r="C6976" i="1"/>
  <c r="D6976" i="1"/>
  <c r="E6976" i="1"/>
  <c r="A6977" i="1"/>
  <c r="B6977" i="1"/>
  <c r="C6977" i="1"/>
  <c r="D6977" i="1"/>
  <c r="E6977" i="1"/>
  <c r="A6978" i="1"/>
  <c r="B6978" i="1"/>
  <c r="C6978" i="1"/>
  <c r="D6978" i="1"/>
  <c r="E6978" i="1"/>
  <c r="A6979" i="1"/>
  <c r="B6979" i="1"/>
  <c r="C6979" i="1"/>
  <c r="D6979" i="1"/>
  <c r="E6979" i="1"/>
  <c r="A6980" i="1"/>
  <c r="B6980" i="1"/>
  <c r="C6980" i="1"/>
  <c r="D6980" i="1"/>
  <c r="E6980" i="1"/>
  <c r="A6981" i="1"/>
  <c r="B6981" i="1"/>
  <c r="C6981" i="1"/>
  <c r="D6981" i="1"/>
  <c r="E6981" i="1"/>
  <c r="A6982" i="1"/>
  <c r="B6982" i="1"/>
  <c r="C6982" i="1"/>
  <c r="D6982" i="1"/>
  <c r="E6982" i="1"/>
  <c r="A6983" i="1"/>
  <c r="B6983" i="1"/>
  <c r="C6983" i="1"/>
  <c r="D6983" i="1"/>
  <c r="E6983" i="1"/>
  <c r="A6984" i="1"/>
  <c r="B6984" i="1"/>
  <c r="C6984" i="1"/>
  <c r="D6984" i="1"/>
  <c r="E6984" i="1"/>
  <c r="A6985" i="1"/>
  <c r="B6985" i="1"/>
  <c r="C6985" i="1"/>
  <c r="D6985" i="1"/>
  <c r="E6985" i="1"/>
  <c r="A6986" i="1"/>
  <c r="B6986" i="1"/>
  <c r="C6986" i="1"/>
  <c r="D6986" i="1"/>
  <c r="E6986" i="1"/>
  <c r="A6987" i="1"/>
  <c r="B6987" i="1"/>
  <c r="C6987" i="1"/>
  <c r="D6987" i="1"/>
  <c r="E6987" i="1"/>
  <c r="A6988" i="1"/>
  <c r="B6988" i="1"/>
  <c r="C6988" i="1"/>
  <c r="D6988" i="1"/>
  <c r="E6988" i="1"/>
  <c r="A6989" i="1"/>
  <c r="B6989" i="1"/>
  <c r="C6989" i="1"/>
  <c r="D6989" i="1"/>
  <c r="E6989" i="1"/>
  <c r="A6990" i="1"/>
  <c r="B6990" i="1"/>
  <c r="C6990" i="1"/>
  <c r="D6990" i="1"/>
  <c r="E6990" i="1"/>
  <c r="A6991" i="1"/>
  <c r="B6991" i="1"/>
  <c r="C6991" i="1"/>
  <c r="D6991" i="1"/>
  <c r="E6991" i="1"/>
  <c r="A6992" i="1"/>
  <c r="B6992" i="1"/>
  <c r="C6992" i="1"/>
  <c r="D6992" i="1"/>
  <c r="E6992" i="1"/>
  <c r="A6993" i="1"/>
  <c r="B6993" i="1"/>
  <c r="C6993" i="1"/>
  <c r="D6993" i="1"/>
  <c r="E6993" i="1"/>
  <c r="A6994" i="1"/>
  <c r="B6994" i="1"/>
  <c r="C6994" i="1"/>
  <c r="D6994" i="1"/>
  <c r="E6994" i="1"/>
  <c r="A6995" i="1"/>
  <c r="B6995" i="1"/>
  <c r="C6995" i="1"/>
  <c r="D6995" i="1"/>
  <c r="E6995" i="1"/>
  <c r="A6996" i="1"/>
  <c r="B6996" i="1"/>
  <c r="C6996" i="1"/>
  <c r="D6996" i="1"/>
  <c r="E6996" i="1"/>
  <c r="A6997" i="1"/>
  <c r="B6997" i="1"/>
  <c r="C6997" i="1"/>
  <c r="D6997" i="1"/>
  <c r="E6997" i="1"/>
  <c r="A6998" i="1"/>
  <c r="B6998" i="1"/>
  <c r="C6998" i="1"/>
  <c r="D6998" i="1"/>
  <c r="E6998" i="1"/>
  <c r="A6999" i="1"/>
  <c r="B6999" i="1"/>
  <c r="C6999" i="1"/>
  <c r="D6999" i="1"/>
  <c r="E6999" i="1"/>
  <c r="A7000" i="1"/>
  <c r="B7000" i="1"/>
  <c r="C7000" i="1"/>
  <c r="D7000" i="1"/>
  <c r="E7000" i="1"/>
  <c r="A7001" i="1"/>
  <c r="B7001" i="1"/>
  <c r="C7001" i="1"/>
  <c r="D7001" i="1"/>
  <c r="E7001" i="1"/>
  <c r="A7002" i="1"/>
  <c r="B7002" i="1"/>
  <c r="C7002" i="1"/>
  <c r="D7002" i="1"/>
  <c r="E7002" i="1"/>
  <c r="A7003" i="1"/>
  <c r="B7003" i="1"/>
  <c r="C7003" i="1"/>
  <c r="D7003" i="1"/>
  <c r="E7003" i="1"/>
  <c r="A7004" i="1"/>
  <c r="B7004" i="1"/>
  <c r="C7004" i="1"/>
  <c r="D7004" i="1"/>
  <c r="E7004" i="1"/>
  <c r="A7005" i="1"/>
  <c r="B7005" i="1"/>
  <c r="C7005" i="1"/>
  <c r="D7005" i="1"/>
  <c r="E7005" i="1"/>
  <c r="A7006" i="1"/>
  <c r="B7006" i="1"/>
  <c r="C7006" i="1"/>
  <c r="D7006" i="1"/>
  <c r="E7006" i="1"/>
  <c r="A7007" i="1"/>
  <c r="B7007" i="1"/>
  <c r="C7007" i="1"/>
  <c r="D7007" i="1"/>
  <c r="E7007" i="1"/>
  <c r="A7008" i="1"/>
  <c r="B7008" i="1"/>
  <c r="C7008" i="1"/>
  <c r="D7008" i="1"/>
  <c r="E7008" i="1"/>
  <c r="A7009" i="1"/>
  <c r="B7009" i="1"/>
  <c r="C7009" i="1"/>
  <c r="D7009" i="1"/>
  <c r="E7009" i="1"/>
  <c r="A7010" i="1"/>
  <c r="B7010" i="1"/>
  <c r="C7010" i="1"/>
  <c r="D7010" i="1"/>
  <c r="E7010" i="1"/>
  <c r="A7011" i="1"/>
  <c r="B7011" i="1"/>
  <c r="C7011" i="1"/>
  <c r="D7011" i="1"/>
  <c r="E7011" i="1"/>
  <c r="A7012" i="1"/>
  <c r="B7012" i="1"/>
  <c r="C7012" i="1"/>
  <c r="D7012" i="1"/>
  <c r="E7012" i="1"/>
  <c r="A7013" i="1"/>
  <c r="B7013" i="1"/>
  <c r="C7013" i="1"/>
  <c r="D7013" i="1"/>
  <c r="E7013" i="1"/>
  <c r="A7014" i="1"/>
  <c r="B7014" i="1"/>
  <c r="C7014" i="1"/>
  <c r="D7014" i="1"/>
  <c r="E7014" i="1"/>
  <c r="A7015" i="1"/>
  <c r="B7015" i="1"/>
  <c r="C7015" i="1"/>
  <c r="D7015" i="1"/>
  <c r="E7015" i="1"/>
  <c r="A7016" i="1"/>
  <c r="B7016" i="1"/>
  <c r="C7016" i="1"/>
  <c r="D7016" i="1"/>
  <c r="E7016" i="1"/>
  <c r="A7017" i="1"/>
  <c r="B7017" i="1"/>
  <c r="C7017" i="1"/>
  <c r="D7017" i="1"/>
  <c r="E7017" i="1"/>
  <c r="A7018" i="1"/>
  <c r="B7018" i="1"/>
  <c r="C7018" i="1"/>
  <c r="D7018" i="1"/>
  <c r="E7018" i="1"/>
  <c r="A7019" i="1"/>
  <c r="B7019" i="1"/>
  <c r="C7019" i="1"/>
  <c r="D7019" i="1"/>
  <c r="E7019" i="1"/>
  <c r="A7020" i="1"/>
  <c r="B7020" i="1"/>
  <c r="C7020" i="1"/>
  <c r="D7020" i="1"/>
  <c r="E7020" i="1"/>
  <c r="A7021" i="1"/>
  <c r="B7021" i="1"/>
  <c r="C7021" i="1"/>
  <c r="D7021" i="1"/>
  <c r="E7021" i="1"/>
  <c r="A7022" i="1"/>
  <c r="B7022" i="1"/>
  <c r="C7022" i="1"/>
  <c r="D7022" i="1"/>
  <c r="E7022" i="1"/>
  <c r="A7023" i="1"/>
  <c r="B7023" i="1"/>
  <c r="C7023" i="1"/>
  <c r="D7023" i="1"/>
  <c r="E7023" i="1"/>
  <c r="A7024" i="1"/>
  <c r="B7024" i="1"/>
  <c r="C7024" i="1"/>
  <c r="D7024" i="1"/>
  <c r="E7024" i="1"/>
  <c r="A7025" i="1"/>
  <c r="B7025" i="1"/>
  <c r="C7025" i="1"/>
  <c r="D7025" i="1"/>
  <c r="E7025" i="1"/>
  <c r="A7026" i="1"/>
  <c r="B7026" i="1"/>
  <c r="C7026" i="1"/>
  <c r="D7026" i="1"/>
  <c r="E7026" i="1"/>
  <c r="A7027" i="1"/>
  <c r="B7027" i="1"/>
  <c r="C7027" i="1"/>
  <c r="D7027" i="1"/>
  <c r="E7027" i="1"/>
  <c r="A7028" i="1"/>
  <c r="B7028" i="1"/>
  <c r="C7028" i="1"/>
  <c r="D7028" i="1"/>
  <c r="E7028" i="1"/>
  <c r="A7029" i="1"/>
  <c r="B7029" i="1"/>
  <c r="C7029" i="1"/>
  <c r="D7029" i="1"/>
  <c r="E7029" i="1"/>
  <c r="A7030" i="1"/>
  <c r="B7030" i="1"/>
  <c r="C7030" i="1"/>
  <c r="D7030" i="1"/>
  <c r="E7030" i="1"/>
  <c r="A7031" i="1"/>
  <c r="B7031" i="1"/>
  <c r="C7031" i="1"/>
  <c r="D7031" i="1"/>
  <c r="E7031" i="1"/>
  <c r="A7032" i="1"/>
  <c r="B7032" i="1"/>
  <c r="C7032" i="1"/>
  <c r="D7032" i="1"/>
  <c r="E7032" i="1"/>
  <c r="A7033" i="1"/>
  <c r="B7033" i="1"/>
  <c r="C7033" i="1"/>
  <c r="D7033" i="1"/>
  <c r="E7033" i="1"/>
  <c r="A7034" i="1"/>
  <c r="B7034" i="1"/>
  <c r="C7034" i="1"/>
  <c r="D7034" i="1"/>
  <c r="E7034" i="1"/>
  <c r="A7035" i="1"/>
  <c r="B7035" i="1"/>
  <c r="C7035" i="1"/>
  <c r="D7035" i="1"/>
  <c r="E7035" i="1"/>
  <c r="A7036" i="1"/>
  <c r="B7036" i="1"/>
  <c r="C7036" i="1"/>
  <c r="D7036" i="1"/>
  <c r="E7036" i="1"/>
  <c r="A7037" i="1"/>
  <c r="B7037" i="1"/>
  <c r="C7037" i="1"/>
  <c r="D7037" i="1"/>
  <c r="E7037" i="1"/>
  <c r="A7038" i="1"/>
  <c r="B7038" i="1"/>
  <c r="C7038" i="1"/>
  <c r="D7038" i="1"/>
  <c r="E7038" i="1"/>
  <c r="A7039" i="1"/>
  <c r="B7039" i="1"/>
  <c r="C7039" i="1"/>
  <c r="D7039" i="1"/>
  <c r="E7039" i="1"/>
  <c r="A7040" i="1"/>
  <c r="B7040" i="1"/>
  <c r="C7040" i="1"/>
  <c r="D7040" i="1"/>
  <c r="E7040" i="1"/>
  <c r="A7041" i="1"/>
  <c r="B7041" i="1"/>
  <c r="C7041" i="1"/>
  <c r="D7041" i="1"/>
  <c r="E7041" i="1"/>
  <c r="A7042" i="1"/>
  <c r="B7042" i="1"/>
  <c r="C7042" i="1"/>
  <c r="D7042" i="1"/>
  <c r="E7042" i="1"/>
  <c r="A7043" i="1"/>
  <c r="B7043" i="1"/>
  <c r="C7043" i="1"/>
  <c r="D7043" i="1"/>
  <c r="E7043" i="1"/>
  <c r="A7044" i="1"/>
  <c r="B7044" i="1"/>
  <c r="C7044" i="1"/>
  <c r="D7044" i="1"/>
  <c r="E7044" i="1"/>
  <c r="A7045" i="1"/>
  <c r="B7045" i="1"/>
  <c r="C7045" i="1"/>
  <c r="D7045" i="1"/>
  <c r="E7045" i="1"/>
  <c r="A7046" i="1"/>
  <c r="B7046" i="1"/>
  <c r="C7046" i="1"/>
  <c r="D7046" i="1"/>
  <c r="E7046" i="1"/>
  <c r="A7047" i="1"/>
  <c r="B7047" i="1"/>
  <c r="C7047" i="1"/>
  <c r="D7047" i="1"/>
  <c r="E7047" i="1"/>
  <c r="A7048" i="1"/>
  <c r="B7048" i="1"/>
  <c r="C7048" i="1"/>
  <c r="D7048" i="1"/>
  <c r="E7048" i="1"/>
  <c r="A7049" i="1"/>
  <c r="B7049" i="1"/>
  <c r="C7049" i="1"/>
  <c r="D7049" i="1"/>
  <c r="E7049" i="1"/>
  <c r="A7050" i="1"/>
  <c r="B7050" i="1"/>
  <c r="C7050" i="1"/>
  <c r="D7050" i="1"/>
  <c r="E7050" i="1"/>
  <c r="A7051" i="1"/>
  <c r="B7051" i="1"/>
  <c r="C7051" i="1"/>
  <c r="D7051" i="1"/>
  <c r="E7051" i="1"/>
  <c r="A7052" i="1"/>
  <c r="B7052" i="1"/>
  <c r="C7052" i="1"/>
  <c r="D7052" i="1"/>
  <c r="E7052" i="1"/>
  <c r="A7053" i="1"/>
  <c r="B7053" i="1"/>
  <c r="C7053" i="1"/>
  <c r="D7053" i="1"/>
  <c r="E7053" i="1"/>
  <c r="A7054" i="1"/>
  <c r="B7054" i="1"/>
  <c r="C7054" i="1"/>
  <c r="D7054" i="1"/>
  <c r="E7054" i="1"/>
  <c r="A7055" i="1"/>
  <c r="B7055" i="1"/>
  <c r="C7055" i="1"/>
  <c r="D7055" i="1"/>
  <c r="E7055" i="1"/>
  <c r="A7056" i="1"/>
  <c r="B7056" i="1"/>
  <c r="C7056" i="1"/>
  <c r="D7056" i="1"/>
  <c r="E7056" i="1"/>
  <c r="A7057" i="1"/>
  <c r="B7057" i="1"/>
  <c r="C7057" i="1"/>
  <c r="D7057" i="1"/>
  <c r="E7057" i="1"/>
  <c r="A7058" i="1"/>
  <c r="B7058" i="1"/>
  <c r="C7058" i="1"/>
  <c r="D7058" i="1"/>
  <c r="E7058" i="1"/>
  <c r="A7059" i="1"/>
  <c r="B7059" i="1"/>
  <c r="C7059" i="1"/>
  <c r="D7059" i="1"/>
  <c r="E7059" i="1"/>
  <c r="A7060" i="1"/>
  <c r="B7060" i="1"/>
  <c r="C7060" i="1"/>
  <c r="D7060" i="1"/>
  <c r="E7060" i="1"/>
  <c r="A7061" i="1"/>
  <c r="B7061" i="1"/>
  <c r="C7061" i="1"/>
  <c r="D7061" i="1"/>
  <c r="E7061" i="1"/>
  <c r="A7062" i="1"/>
  <c r="B7062" i="1"/>
  <c r="C7062" i="1"/>
  <c r="D7062" i="1"/>
  <c r="E7062" i="1"/>
  <c r="A7063" i="1"/>
  <c r="B7063" i="1"/>
  <c r="C7063" i="1"/>
  <c r="D7063" i="1"/>
  <c r="E7063" i="1"/>
  <c r="A7064" i="1"/>
  <c r="B7064" i="1"/>
  <c r="C7064" i="1"/>
  <c r="D7064" i="1"/>
  <c r="E7064" i="1"/>
  <c r="A7065" i="1"/>
  <c r="B7065" i="1"/>
  <c r="C7065" i="1"/>
  <c r="D7065" i="1"/>
  <c r="E7065" i="1"/>
  <c r="A7066" i="1"/>
  <c r="B7066" i="1"/>
  <c r="C7066" i="1"/>
  <c r="D7066" i="1"/>
  <c r="E7066" i="1"/>
  <c r="A7067" i="1"/>
  <c r="B7067" i="1"/>
  <c r="C7067" i="1"/>
  <c r="D7067" i="1"/>
  <c r="E7067" i="1"/>
  <c r="A7068" i="1"/>
  <c r="B7068" i="1"/>
  <c r="C7068" i="1"/>
  <c r="D7068" i="1"/>
  <c r="E7068" i="1"/>
  <c r="A7069" i="1"/>
  <c r="B7069" i="1"/>
  <c r="C7069" i="1"/>
  <c r="D7069" i="1"/>
  <c r="E7069" i="1"/>
  <c r="A7070" i="1"/>
  <c r="B7070" i="1"/>
  <c r="C7070" i="1"/>
  <c r="D7070" i="1"/>
  <c r="E7070" i="1"/>
  <c r="A7071" i="1"/>
  <c r="B7071" i="1"/>
  <c r="C7071" i="1"/>
  <c r="D7071" i="1"/>
  <c r="E7071" i="1"/>
  <c r="A7072" i="1"/>
  <c r="B7072" i="1"/>
  <c r="C7072" i="1"/>
  <c r="D7072" i="1"/>
  <c r="E7072" i="1"/>
  <c r="A7073" i="1"/>
  <c r="B7073" i="1"/>
  <c r="C7073" i="1"/>
  <c r="D7073" i="1"/>
  <c r="E7073" i="1"/>
  <c r="A7074" i="1"/>
  <c r="B7074" i="1"/>
  <c r="C7074" i="1"/>
  <c r="D7074" i="1"/>
  <c r="E7074" i="1"/>
  <c r="A7075" i="1"/>
  <c r="B7075" i="1"/>
  <c r="C7075" i="1"/>
  <c r="D7075" i="1"/>
  <c r="E7075" i="1"/>
  <c r="A7076" i="1"/>
  <c r="B7076" i="1"/>
  <c r="C7076" i="1"/>
  <c r="D7076" i="1"/>
  <c r="E7076" i="1"/>
  <c r="A7077" i="1"/>
  <c r="B7077" i="1"/>
  <c r="C7077" i="1"/>
  <c r="D7077" i="1"/>
  <c r="E7077" i="1"/>
  <c r="A7078" i="1"/>
  <c r="B7078" i="1"/>
  <c r="C7078" i="1"/>
  <c r="D7078" i="1"/>
  <c r="E7078" i="1"/>
  <c r="A7079" i="1"/>
  <c r="B7079" i="1"/>
  <c r="C7079" i="1"/>
  <c r="D7079" i="1"/>
  <c r="E7079" i="1"/>
  <c r="A7080" i="1"/>
  <c r="B7080" i="1"/>
  <c r="C7080" i="1"/>
  <c r="D7080" i="1"/>
  <c r="E7080" i="1"/>
  <c r="A7081" i="1"/>
  <c r="B7081" i="1"/>
  <c r="C7081" i="1"/>
  <c r="D7081" i="1"/>
  <c r="E7081" i="1"/>
  <c r="A7082" i="1"/>
  <c r="B7082" i="1"/>
  <c r="C7082" i="1"/>
  <c r="D7082" i="1"/>
  <c r="E7082" i="1"/>
  <c r="A7083" i="1"/>
  <c r="B7083" i="1"/>
  <c r="C7083" i="1"/>
  <c r="D7083" i="1"/>
  <c r="E7083" i="1"/>
  <c r="A7084" i="1"/>
  <c r="B7084" i="1"/>
  <c r="C7084" i="1"/>
  <c r="D7084" i="1"/>
  <c r="E7084" i="1"/>
  <c r="A7085" i="1"/>
  <c r="B7085" i="1"/>
  <c r="C7085" i="1"/>
  <c r="D7085" i="1"/>
  <c r="E7085" i="1"/>
  <c r="A7086" i="1"/>
  <c r="B7086" i="1"/>
  <c r="C7086" i="1"/>
  <c r="D7086" i="1"/>
  <c r="E7086" i="1"/>
  <c r="A7087" i="1"/>
  <c r="B7087" i="1"/>
  <c r="C7087" i="1"/>
  <c r="D7087" i="1"/>
  <c r="E7087" i="1"/>
  <c r="A7088" i="1"/>
  <c r="B7088" i="1"/>
  <c r="C7088" i="1"/>
  <c r="D7088" i="1"/>
  <c r="E7088" i="1"/>
  <c r="A7089" i="1"/>
  <c r="B7089" i="1"/>
  <c r="C7089" i="1"/>
  <c r="D7089" i="1"/>
  <c r="E7089" i="1"/>
  <c r="A7090" i="1"/>
  <c r="B7090" i="1"/>
  <c r="C7090" i="1"/>
  <c r="D7090" i="1"/>
  <c r="E7090" i="1"/>
  <c r="A7091" i="1"/>
  <c r="B7091" i="1"/>
  <c r="C7091" i="1"/>
  <c r="D7091" i="1"/>
  <c r="E7091" i="1"/>
  <c r="A7092" i="1"/>
  <c r="B7092" i="1"/>
  <c r="C7092" i="1"/>
  <c r="D7092" i="1"/>
  <c r="E7092" i="1"/>
  <c r="A7093" i="1"/>
  <c r="B7093" i="1"/>
  <c r="C7093" i="1"/>
  <c r="D7093" i="1"/>
  <c r="E7093" i="1"/>
  <c r="A7094" i="1"/>
  <c r="B7094" i="1"/>
  <c r="C7094" i="1"/>
  <c r="D7094" i="1"/>
  <c r="E7094" i="1"/>
  <c r="A7095" i="1"/>
  <c r="B7095" i="1"/>
  <c r="C7095" i="1"/>
  <c r="D7095" i="1"/>
  <c r="E7095" i="1"/>
  <c r="A7096" i="1"/>
  <c r="B7096" i="1"/>
  <c r="C7096" i="1"/>
  <c r="D7096" i="1"/>
  <c r="E7096" i="1"/>
  <c r="A7097" i="1"/>
  <c r="B7097" i="1"/>
  <c r="C7097" i="1"/>
  <c r="D7097" i="1"/>
  <c r="E7097" i="1"/>
  <c r="A7098" i="1"/>
  <c r="B7098" i="1"/>
  <c r="C7098" i="1"/>
  <c r="D7098" i="1"/>
  <c r="E7098" i="1"/>
  <c r="A7099" i="1"/>
  <c r="B7099" i="1"/>
  <c r="C7099" i="1"/>
  <c r="D7099" i="1"/>
  <c r="E7099" i="1"/>
  <c r="A7100" i="1"/>
  <c r="B7100" i="1"/>
  <c r="C7100" i="1"/>
  <c r="D7100" i="1"/>
  <c r="E7100" i="1"/>
  <c r="A7101" i="1"/>
  <c r="B7101" i="1"/>
  <c r="C7101" i="1"/>
  <c r="D7101" i="1"/>
  <c r="E7101" i="1"/>
  <c r="A7102" i="1"/>
  <c r="B7102" i="1"/>
  <c r="C7102" i="1"/>
  <c r="D7102" i="1"/>
  <c r="E7102" i="1"/>
  <c r="A7103" i="1"/>
  <c r="B7103" i="1"/>
  <c r="C7103" i="1"/>
  <c r="D7103" i="1"/>
  <c r="E7103" i="1"/>
  <c r="A7104" i="1"/>
  <c r="B7104" i="1"/>
  <c r="C7104" i="1"/>
  <c r="D7104" i="1"/>
  <c r="E7104" i="1"/>
  <c r="A7105" i="1"/>
  <c r="B7105" i="1"/>
  <c r="C7105" i="1"/>
  <c r="D7105" i="1"/>
  <c r="E7105" i="1"/>
  <c r="A7106" i="1"/>
  <c r="B7106" i="1"/>
  <c r="C7106" i="1"/>
  <c r="D7106" i="1"/>
  <c r="E7106" i="1"/>
  <c r="A7107" i="1"/>
  <c r="B7107" i="1"/>
  <c r="C7107" i="1"/>
  <c r="D7107" i="1"/>
  <c r="E7107" i="1"/>
  <c r="A7108" i="1"/>
  <c r="B7108" i="1"/>
  <c r="C7108" i="1"/>
  <c r="D7108" i="1"/>
  <c r="E7108" i="1"/>
  <c r="A7109" i="1"/>
  <c r="B7109" i="1"/>
  <c r="C7109" i="1"/>
  <c r="D7109" i="1"/>
  <c r="E7109" i="1"/>
  <c r="A7110" i="1"/>
  <c r="B7110" i="1"/>
  <c r="C7110" i="1"/>
  <c r="D7110" i="1"/>
  <c r="E7110" i="1"/>
  <c r="A7111" i="1"/>
  <c r="B7111" i="1"/>
  <c r="C7111" i="1"/>
  <c r="D7111" i="1"/>
  <c r="E7111" i="1"/>
  <c r="A7112" i="1"/>
  <c r="B7112" i="1"/>
  <c r="C7112" i="1"/>
  <c r="D7112" i="1"/>
  <c r="E7112" i="1"/>
  <c r="A7113" i="1"/>
  <c r="B7113" i="1"/>
  <c r="C7113" i="1"/>
  <c r="D7113" i="1"/>
  <c r="E7113" i="1"/>
  <c r="A7114" i="1"/>
  <c r="B7114" i="1"/>
  <c r="C7114" i="1"/>
  <c r="D7114" i="1"/>
  <c r="E7114" i="1"/>
  <c r="A7115" i="1"/>
  <c r="B7115" i="1"/>
  <c r="C7115" i="1"/>
  <c r="D7115" i="1"/>
  <c r="E7115" i="1"/>
  <c r="A7116" i="1"/>
  <c r="B7116" i="1"/>
  <c r="C7116" i="1"/>
  <c r="D7116" i="1"/>
  <c r="E7116" i="1"/>
  <c r="A7117" i="1"/>
  <c r="B7117" i="1"/>
  <c r="C7117" i="1"/>
  <c r="D7117" i="1"/>
  <c r="E7117" i="1"/>
  <c r="A7118" i="1"/>
  <c r="B7118" i="1"/>
  <c r="C7118" i="1"/>
  <c r="D7118" i="1"/>
  <c r="E7118" i="1"/>
  <c r="A7119" i="1"/>
  <c r="B7119" i="1"/>
  <c r="C7119" i="1"/>
  <c r="D7119" i="1"/>
  <c r="E7119" i="1"/>
  <c r="A7120" i="1"/>
  <c r="B7120" i="1"/>
  <c r="C7120" i="1"/>
  <c r="D7120" i="1"/>
  <c r="E7120" i="1"/>
  <c r="A7121" i="1"/>
  <c r="B7121" i="1"/>
  <c r="C7121" i="1"/>
  <c r="D7121" i="1"/>
  <c r="E7121" i="1"/>
  <c r="A7122" i="1"/>
  <c r="B7122" i="1"/>
  <c r="C7122" i="1"/>
  <c r="D7122" i="1"/>
  <c r="E7122" i="1"/>
  <c r="A7123" i="1"/>
  <c r="B7123" i="1"/>
  <c r="C7123" i="1"/>
  <c r="D7123" i="1"/>
  <c r="E7123" i="1"/>
  <c r="A7124" i="1"/>
  <c r="B7124" i="1"/>
  <c r="C7124" i="1"/>
  <c r="D7124" i="1"/>
  <c r="E7124" i="1"/>
  <c r="A7125" i="1"/>
  <c r="B7125" i="1"/>
  <c r="C7125" i="1"/>
  <c r="D7125" i="1"/>
  <c r="E7125" i="1"/>
  <c r="A7126" i="1"/>
  <c r="B7126" i="1"/>
  <c r="C7126" i="1"/>
  <c r="D7126" i="1"/>
  <c r="E7126" i="1"/>
  <c r="A7127" i="1"/>
  <c r="B7127" i="1"/>
  <c r="C7127" i="1"/>
  <c r="D7127" i="1"/>
  <c r="E7127" i="1"/>
  <c r="A7128" i="1"/>
  <c r="B7128" i="1"/>
  <c r="C7128" i="1"/>
  <c r="D7128" i="1"/>
  <c r="E7128" i="1"/>
  <c r="A7129" i="1"/>
  <c r="B7129" i="1"/>
  <c r="C7129" i="1"/>
  <c r="D7129" i="1"/>
  <c r="E7129" i="1"/>
  <c r="A7130" i="1"/>
  <c r="B7130" i="1"/>
  <c r="C7130" i="1"/>
  <c r="D7130" i="1"/>
  <c r="E7130" i="1"/>
  <c r="A7131" i="1"/>
  <c r="B7131" i="1"/>
  <c r="C7131" i="1"/>
  <c r="D7131" i="1"/>
  <c r="E7131" i="1"/>
  <c r="A7132" i="1"/>
  <c r="B7132" i="1"/>
  <c r="C7132" i="1"/>
  <c r="D7132" i="1"/>
  <c r="E7132" i="1"/>
  <c r="A7133" i="1"/>
  <c r="B7133" i="1"/>
  <c r="C7133" i="1"/>
  <c r="D7133" i="1"/>
  <c r="E7133" i="1"/>
  <c r="A7134" i="1"/>
  <c r="B7134" i="1"/>
  <c r="C7134" i="1"/>
  <c r="D7134" i="1"/>
  <c r="E7134" i="1"/>
  <c r="A7135" i="1"/>
  <c r="B7135" i="1"/>
  <c r="C7135" i="1"/>
  <c r="D7135" i="1"/>
  <c r="E7135" i="1"/>
  <c r="A7136" i="1"/>
  <c r="B7136" i="1"/>
  <c r="C7136" i="1"/>
  <c r="D7136" i="1"/>
  <c r="E7136" i="1"/>
  <c r="A7137" i="1"/>
  <c r="B7137" i="1"/>
  <c r="C7137" i="1"/>
  <c r="D7137" i="1"/>
  <c r="E7137" i="1"/>
  <c r="A7138" i="1"/>
  <c r="B7138" i="1"/>
  <c r="C7138" i="1"/>
  <c r="D7138" i="1"/>
  <c r="E7138" i="1"/>
  <c r="A7139" i="1"/>
  <c r="B7139" i="1"/>
  <c r="C7139" i="1"/>
  <c r="D7139" i="1"/>
  <c r="E7139" i="1"/>
  <c r="A7140" i="1"/>
  <c r="B7140" i="1"/>
  <c r="C7140" i="1"/>
  <c r="D7140" i="1"/>
  <c r="E7140" i="1"/>
  <c r="A7141" i="1"/>
  <c r="B7141" i="1"/>
  <c r="C7141" i="1"/>
  <c r="D7141" i="1"/>
  <c r="E7141" i="1"/>
  <c r="A7142" i="1"/>
  <c r="B7142" i="1"/>
  <c r="C7142" i="1"/>
  <c r="D7142" i="1"/>
  <c r="E7142" i="1"/>
  <c r="A7143" i="1"/>
  <c r="B7143" i="1"/>
  <c r="C7143" i="1"/>
  <c r="D7143" i="1"/>
  <c r="E7143" i="1"/>
  <c r="A7144" i="1"/>
  <c r="B7144" i="1"/>
  <c r="C7144" i="1"/>
  <c r="D7144" i="1"/>
  <c r="E7144" i="1"/>
  <c r="A7145" i="1"/>
  <c r="B7145" i="1"/>
  <c r="C7145" i="1"/>
  <c r="D7145" i="1"/>
  <c r="E7145" i="1"/>
  <c r="A7146" i="1"/>
  <c r="B7146" i="1"/>
  <c r="C7146" i="1"/>
  <c r="D7146" i="1"/>
  <c r="E7146" i="1"/>
  <c r="A7147" i="1"/>
  <c r="B7147" i="1"/>
  <c r="C7147" i="1"/>
  <c r="D7147" i="1"/>
  <c r="E7147" i="1"/>
  <c r="A7148" i="1"/>
  <c r="B7148" i="1"/>
  <c r="C7148" i="1"/>
  <c r="D7148" i="1"/>
  <c r="E7148" i="1"/>
  <c r="A7149" i="1"/>
  <c r="B7149" i="1"/>
  <c r="C7149" i="1"/>
  <c r="D7149" i="1"/>
  <c r="E7149" i="1"/>
  <c r="A7150" i="1"/>
  <c r="B7150" i="1"/>
  <c r="C7150" i="1"/>
  <c r="D7150" i="1"/>
  <c r="E7150" i="1"/>
  <c r="A7151" i="1"/>
  <c r="B7151" i="1"/>
  <c r="C7151" i="1"/>
  <c r="D7151" i="1"/>
  <c r="E7151" i="1"/>
  <c r="A7152" i="1"/>
  <c r="B7152" i="1"/>
  <c r="C7152" i="1"/>
  <c r="D7152" i="1"/>
  <c r="E7152" i="1"/>
  <c r="A7153" i="1"/>
  <c r="B7153" i="1"/>
  <c r="C7153" i="1"/>
  <c r="D7153" i="1"/>
  <c r="E7153" i="1"/>
  <c r="A7154" i="1"/>
  <c r="B7154" i="1"/>
  <c r="C7154" i="1"/>
  <c r="D7154" i="1"/>
  <c r="E7154" i="1"/>
  <c r="A7155" i="1"/>
  <c r="B7155" i="1"/>
  <c r="C7155" i="1"/>
  <c r="D7155" i="1"/>
  <c r="E7155" i="1"/>
  <c r="A7156" i="1"/>
  <c r="B7156" i="1"/>
  <c r="C7156" i="1"/>
  <c r="D7156" i="1"/>
  <c r="E7156" i="1"/>
  <c r="A7157" i="1"/>
  <c r="B7157" i="1"/>
  <c r="C7157" i="1"/>
  <c r="D7157" i="1"/>
  <c r="E7157" i="1"/>
  <c r="A7158" i="1"/>
  <c r="B7158" i="1"/>
  <c r="C7158" i="1"/>
  <c r="D7158" i="1"/>
  <c r="E7158" i="1"/>
  <c r="A7159" i="1"/>
  <c r="B7159" i="1"/>
  <c r="C7159" i="1"/>
  <c r="D7159" i="1"/>
  <c r="E7159" i="1"/>
  <c r="A7160" i="1"/>
  <c r="B7160" i="1"/>
  <c r="C7160" i="1"/>
  <c r="D7160" i="1"/>
  <c r="E7160" i="1"/>
  <c r="A7161" i="1"/>
  <c r="B7161" i="1"/>
  <c r="C7161" i="1"/>
  <c r="D7161" i="1"/>
  <c r="E7161" i="1"/>
  <c r="A7162" i="1"/>
  <c r="B7162" i="1"/>
  <c r="C7162" i="1"/>
  <c r="D7162" i="1"/>
  <c r="E7162" i="1"/>
  <c r="A7163" i="1"/>
  <c r="B7163" i="1"/>
  <c r="C7163" i="1"/>
  <c r="D7163" i="1"/>
  <c r="E7163" i="1"/>
  <c r="A7164" i="1"/>
  <c r="B7164" i="1"/>
  <c r="C7164" i="1"/>
  <c r="D7164" i="1"/>
  <c r="E7164" i="1"/>
  <c r="A7165" i="1"/>
  <c r="B7165" i="1"/>
  <c r="C7165" i="1"/>
  <c r="D7165" i="1"/>
  <c r="E7165" i="1"/>
  <c r="A7166" i="1"/>
  <c r="B7166" i="1"/>
  <c r="C7166" i="1"/>
  <c r="D7166" i="1"/>
  <c r="E7166" i="1"/>
  <c r="A7167" i="1"/>
  <c r="B7167" i="1"/>
  <c r="C7167" i="1"/>
  <c r="D7167" i="1"/>
  <c r="E7167" i="1"/>
  <c r="A7168" i="1"/>
  <c r="B7168" i="1"/>
  <c r="C7168" i="1"/>
  <c r="D7168" i="1"/>
  <c r="E7168" i="1"/>
  <c r="A7169" i="1"/>
  <c r="B7169" i="1"/>
  <c r="C7169" i="1"/>
  <c r="D7169" i="1"/>
  <c r="E7169" i="1"/>
  <c r="A7170" i="1"/>
  <c r="B7170" i="1"/>
  <c r="C7170" i="1"/>
  <c r="D7170" i="1"/>
  <c r="E7170" i="1"/>
  <c r="A7171" i="1"/>
  <c r="B7171" i="1"/>
  <c r="C7171" i="1"/>
  <c r="D7171" i="1"/>
  <c r="E7171" i="1"/>
  <c r="A7172" i="1"/>
  <c r="B7172" i="1"/>
  <c r="C7172" i="1"/>
  <c r="D7172" i="1"/>
  <c r="E7172" i="1"/>
  <c r="A7173" i="1"/>
  <c r="B7173" i="1"/>
  <c r="C7173" i="1"/>
  <c r="D7173" i="1"/>
  <c r="E7173" i="1"/>
  <c r="A7174" i="1"/>
  <c r="B7174" i="1"/>
  <c r="C7174" i="1"/>
  <c r="D7174" i="1"/>
  <c r="E7174" i="1"/>
  <c r="A7175" i="1"/>
  <c r="B7175" i="1"/>
  <c r="C7175" i="1"/>
  <c r="D7175" i="1"/>
  <c r="E7175" i="1"/>
  <c r="A7176" i="1"/>
  <c r="B7176" i="1"/>
  <c r="C7176" i="1"/>
  <c r="D7176" i="1"/>
  <c r="E7176" i="1"/>
  <c r="A7177" i="1"/>
  <c r="B7177" i="1"/>
  <c r="C7177" i="1"/>
  <c r="D7177" i="1"/>
  <c r="E7177" i="1"/>
  <c r="A7178" i="1"/>
  <c r="B7178" i="1"/>
  <c r="C7178" i="1"/>
  <c r="D7178" i="1"/>
  <c r="E7178" i="1"/>
  <c r="A7179" i="1"/>
  <c r="B7179" i="1"/>
  <c r="C7179" i="1"/>
  <c r="D7179" i="1"/>
  <c r="E7179" i="1"/>
  <c r="A7180" i="1"/>
  <c r="B7180" i="1"/>
  <c r="C7180" i="1"/>
  <c r="D7180" i="1"/>
  <c r="E7180" i="1"/>
  <c r="A7181" i="1"/>
  <c r="B7181" i="1"/>
  <c r="C7181" i="1"/>
  <c r="D7181" i="1"/>
  <c r="E7181" i="1"/>
  <c r="A7182" i="1"/>
  <c r="B7182" i="1"/>
  <c r="C7182" i="1"/>
  <c r="D7182" i="1"/>
  <c r="E7182" i="1"/>
  <c r="A7183" i="1"/>
  <c r="B7183" i="1"/>
  <c r="C7183" i="1"/>
  <c r="D7183" i="1"/>
  <c r="E7183" i="1"/>
  <c r="A7184" i="1"/>
  <c r="B7184" i="1"/>
  <c r="C7184" i="1"/>
  <c r="D7184" i="1"/>
  <c r="E7184" i="1"/>
  <c r="A7185" i="1"/>
  <c r="B7185" i="1"/>
  <c r="C7185" i="1"/>
  <c r="D7185" i="1"/>
  <c r="E7185" i="1"/>
  <c r="A7186" i="1"/>
  <c r="B7186" i="1"/>
  <c r="C7186" i="1"/>
  <c r="D7186" i="1"/>
  <c r="E7186" i="1"/>
  <c r="A7187" i="1"/>
  <c r="B7187" i="1"/>
  <c r="C7187" i="1"/>
  <c r="D7187" i="1"/>
  <c r="E7187" i="1"/>
  <c r="A7188" i="1"/>
  <c r="B7188" i="1"/>
  <c r="C7188" i="1"/>
  <c r="D7188" i="1"/>
  <c r="E7188" i="1"/>
  <c r="A7189" i="1"/>
  <c r="B7189" i="1"/>
  <c r="C7189" i="1"/>
  <c r="D7189" i="1"/>
  <c r="E7189" i="1"/>
  <c r="A7190" i="1"/>
  <c r="B7190" i="1"/>
  <c r="C7190" i="1"/>
  <c r="D7190" i="1"/>
  <c r="E7190" i="1"/>
  <c r="A7191" i="1"/>
  <c r="B7191" i="1"/>
  <c r="C7191" i="1"/>
  <c r="D7191" i="1"/>
  <c r="E7191" i="1"/>
  <c r="A7192" i="1"/>
  <c r="B7192" i="1"/>
  <c r="C7192" i="1"/>
  <c r="D7192" i="1"/>
  <c r="E7192" i="1"/>
  <c r="A7193" i="1"/>
  <c r="B7193" i="1"/>
  <c r="C7193" i="1"/>
  <c r="D7193" i="1"/>
  <c r="E7193" i="1"/>
  <c r="A7194" i="1"/>
  <c r="B7194" i="1"/>
  <c r="C7194" i="1"/>
  <c r="D7194" i="1"/>
  <c r="E7194" i="1"/>
  <c r="A7195" i="1"/>
  <c r="B7195" i="1"/>
  <c r="C7195" i="1"/>
  <c r="D7195" i="1"/>
  <c r="E7195" i="1"/>
  <c r="A7196" i="1"/>
  <c r="B7196" i="1"/>
  <c r="C7196" i="1"/>
  <c r="D7196" i="1"/>
  <c r="E7196" i="1"/>
  <c r="A7197" i="1"/>
  <c r="B7197" i="1"/>
  <c r="C7197" i="1"/>
  <c r="D7197" i="1"/>
  <c r="E7197" i="1"/>
  <c r="A7198" i="1"/>
  <c r="B7198" i="1"/>
  <c r="C7198" i="1"/>
  <c r="D7198" i="1"/>
  <c r="E7198" i="1"/>
  <c r="A7199" i="1"/>
  <c r="B7199" i="1"/>
  <c r="C7199" i="1"/>
  <c r="D7199" i="1"/>
  <c r="E7199" i="1"/>
  <c r="A7200" i="1"/>
  <c r="B7200" i="1"/>
  <c r="C7200" i="1"/>
  <c r="D7200" i="1"/>
  <c r="E7200" i="1"/>
  <c r="A7201" i="1"/>
  <c r="B7201" i="1"/>
  <c r="C7201" i="1"/>
  <c r="D7201" i="1"/>
  <c r="E7201" i="1"/>
  <c r="A7202" i="1"/>
  <c r="B7202" i="1"/>
  <c r="C7202" i="1"/>
  <c r="D7202" i="1"/>
  <c r="E7202" i="1"/>
  <c r="A7203" i="1"/>
  <c r="B7203" i="1"/>
  <c r="C7203" i="1"/>
  <c r="D7203" i="1"/>
  <c r="E7203" i="1"/>
  <c r="A7204" i="1"/>
  <c r="B7204" i="1"/>
  <c r="C7204" i="1"/>
  <c r="D7204" i="1"/>
  <c r="E7204" i="1"/>
  <c r="A7205" i="1"/>
  <c r="B7205" i="1"/>
  <c r="C7205" i="1"/>
  <c r="D7205" i="1"/>
  <c r="E7205" i="1"/>
  <c r="A7206" i="1"/>
  <c r="B7206" i="1"/>
  <c r="C7206" i="1"/>
  <c r="D7206" i="1"/>
  <c r="E7206" i="1"/>
  <c r="A7207" i="1"/>
  <c r="B7207" i="1"/>
  <c r="C7207" i="1"/>
  <c r="D7207" i="1"/>
  <c r="E7207" i="1"/>
  <c r="A7208" i="1"/>
  <c r="B7208" i="1"/>
  <c r="C7208" i="1"/>
  <c r="D7208" i="1"/>
  <c r="E7208" i="1"/>
  <c r="A7209" i="1"/>
  <c r="B7209" i="1"/>
  <c r="C7209" i="1"/>
  <c r="D7209" i="1"/>
  <c r="E7209" i="1"/>
  <c r="A7210" i="1"/>
  <c r="B7210" i="1"/>
  <c r="C7210" i="1"/>
  <c r="D7210" i="1"/>
  <c r="E7210" i="1"/>
  <c r="A7211" i="1"/>
  <c r="B7211" i="1"/>
  <c r="C7211" i="1"/>
  <c r="D7211" i="1"/>
  <c r="E7211" i="1"/>
  <c r="A7212" i="1"/>
  <c r="B7212" i="1"/>
  <c r="C7212" i="1"/>
  <c r="D7212" i="1"/>
  <c r="E7212" i="1"/>
  <c r="A7213" i="1"/>
  <c r="B7213" i="1"/>
  <c r="C7213" i="1"/>
  <c r="D7213" i="1"/>
  <c r="E7213" i="1"/>
  <c r="A7214" i="1"/>
  <c r="B7214" i="1"/>
  <c r="C7214" i="1"/>
  <c r="D7214" i="1"/>
  <c r="E7214" i="1"/>
  <c r="A7215" i="1"/>
  <c r="B7215" i="1"/>
  <c r="C7215" i="1"/>
  <c r="D7215" i="1"/>
  <c r="E7215" i="1"/>
  <c r="A7216" i="1"/>
  <c r="B7216" i="1"/>
  <c r="C7216" i="1"/>
  <c r="D7216" i="1"/>
  <c r="E7216" i="1"/>
  <c r="A7217" i="1"/>
  <c r="B7217" i="1"/>
  <c r="C7217" i="1"/>
  <c r="D7217" i="1"/>
  <c r="E7217" i="1"/>
  <c r="A7218" i="1"/>
  <c r="B7218" i="1"/>
  <c r="C7218" i="1"/>
  <c r="D7218" i="1"/>
  <c r="E7218" i="1"/>
  <c r="A7219" i="1"/>
  <c r="B7219" i="1"/>
  <c r="C7219" i="1"/>
  <c r="D7219" i="1"/>
  <c r="E7219" i="1"/>
  <c r="A7220" i="1"/>
  <c r="B7220" i="1"/>
  <c r="C7220" i="1"/>
  <c r="D7220" i="1"/>
  <c r="E7220" i="1"/>
  <c r="A7221" i="1"/>
  <c r="B7221" i="1"/>
  <c r="C7221" i="1"/>
  <c r="D7221" i="1"/>
  <c r="E7221" i="1"/>
  <c r="A7222" i="1"/>
  <c r="B7222" i="1"/>
  <c r="C7222" i="1"/>
  <c r="D7222" i="1"/>
  <c r="E7222" i="1"/>
  <c r="A7223" i="1"/>
  <c r="B7223" i="1"/>
  <c r="C7223" i="1"/>
  <c r="D7223" i="1"/>
  <c r="E7223" i="1"/>
  <c r="A7224" i="1"/>
  <c r="B7224" i="1"/>
  <c r="C7224" i="1"/>
  <c r="D7224" i="1"/>
  <c r="E7224" i="1"/>
  <c r="A7225" i="1"/>
  <c r="B7225" i="1"/>
  <c r="C7225" i="1"/>
  <c r="D7225" i="1"/>
  <c r="E7225" i="1"/>
  <c r="A7226" i="1"/>
  <c r="B7226" i="1"/>
  <c r="C7226" i="1"/>
  <c r="D7226" i="1"/>
  <c r="E7226" i="1"/>
  <c r="A7227" i="1"/>
  <c r="B7227" i="1"/>
  <c r="C7227" i="1"/>
  <c r="D7227" i="1"/>
  <c r="E7227" i="1"/>
  <c r="A7228" i="1"/>
  <c r="B7228" i="1"/>
  <c r="C7228" i="1"/>
  <c r="D7228" i="1"/>
  <c r="E7228" i="1"/>
  <c r="A7229" i="1"/>
  <c r="B7229" i="1"/>
  <c r="C7229" i="1"/>
  <c r="D7229" i="1"/>
  <c r="E7229" i="1"/>
  <c r="A7230" i="1"/>
  <c r="B7230" i="1"/>
  <c r="C7230" i="1"/>
  <c r="D7230" i="1"/>
  <c r="E7230" i="1"/>
  <c r="A7231" i="1"/>
  <c r="B7231" i="1"/>
  <c r="C7231" i="1"/>
  <c r="D7231" i="1"/>
  <c r="E7231" i="1"/>
  <c r="A7232" i="1"/>
  <c r="B7232" i="1"/>
  <c r="C7232" i="1"/>
  <c r="D7232" i="1"/>
  <c r="E7232" i="1"/>
  <c r="A7233" i="1"/>
  <c r="B7233" i="1"/>
  <c r="C7233" i="1"/>
  <c r="D7233" i="1"/>
  <c r="E7233" i="1"/>
  <c r="A7234" i="1"/>
  <c r="B7234" i="1"/>
  <c r="C7234" i="1"/>
  <c r="D7234" i="1"/>
  <c r="E7234" i="1"/>
  <c r="A7235" i="1"/>
  <c r="B7235" i="1"/>
  <c r="C7235" i="1"/>
  <c r="D7235" i="1"/>
  <c r="E7235" i="1"/>
  <c r="A7236" i="1"/>
  <c r="B7236" i="1"/>
  <c r="C7236" i="1"/>
  <c r="D7236" i="1"/>
  <c r="E7236" i="1"/>
  <c r="A7237" i="1"/>
  <c r="B7237" i="1"/>
  <c r="C7237" i="1"/>
  <c r="D7237" i="1"/>
  <c r="E7237" i="1"/>
  <c r="A7238" i="1"/>
  <c r="B7238" i="1"/>
  <c r="C7238" i="1"/>
  <c r="D7238" i="1"/>
  <c r="E7238" i="1"/>
  <c r="A7239" i="1"/>
  <c r="B7239" i="1"/>
  <c r="C7239" i="1"/>
  <c r="D7239" i="1"/>
  <c r="E7239" i="1"/>
  <c r="A7240" i="1"/>
  <c r="B7240" i="1"/>
  <c r="C7240" i="1"/>
  <c r="D7240" i="1"/>
  <c r="E7240" i="1"/>
  <c r="A7241" i="1"/>
  <c r="B7241" i="1"/>
  <c r="C7241" i="1"/>
  <c r="D7241" i="1"/>
  <c r="E7241" i="1"/>
  <c r="A7242" i="1"/>
  <c r="B7242" i="1"/>
  <c r="C7242" i="1"/>
  <c r="D7242" i="1"/>
  <c r="E7242" i="1"/>
  <c r="A7243" i="1"/>
  <c r="B7243" i="1"/>
  <c r="C7243" i="1"/>
  <c r="D7243" i="1"/>
  <c r="E7243" i="1"/>
  <c r="A7244" i="1"/>
  <c r="B7244" i="1"/>
  <c r="C7244" i="1"/>
  <c r="D7244" i="1"/>
  <c r="E7244" i="1"/>
  <c r="A7245" i="1"/>
  <c r="B7245" i="1"/>
  <c r="C7245" i="1"/>
  <c r="D7245" i="1"/>
  <c r="E7245" i="1"/>
  <c r="A7246" i="1"/>
  <c r="B7246" i="1"/>
  <c r="C7246" i="1"/>
  <c r="D7246" i="1"/>
  <c r="E7246" i="1"/>
  <c r="A7247" i="1"/>
  <c r="B7247" i="1"/>
  <c r="C7247" i="1"/>
  <c r="D7247" i="1"/>
  <c r="E7247" i="1"/>
  <c r="A7248" i="1"/>
  <c r="B7248" i="1"/>
  <c r="C7248" i="1"/>
  <c r="D7248" i="1"/>
  <c r="E7248" i="1"/>
  <c r="A7249" i="1"/>
  <c r="B7249" i="1"/>
  <c r="C7249" i="1"/>
  <c r="D7249" i="1"/>
  <c r="E7249" i="1"/>
  <c r="A7250" i="1"/>
  <c r="B7250" i="1"/>
  <c r="C7250" i="1"/>
  <c r="D7250" i="1"/>
  <c r="E7250" i="1"/>
  <c r="A7251" i="1"/>
  <c r="B7251" i="1"/>
  <c r="C7251" i="1"/>
  <c r="D7251" i="1"/>
  <c r="E7251" i="1"/>
  <c r="A7252" i="1"/>
  <c r="B7252" i="1"/>
  <c r="C7252" i="1"/>
  <c r="D7252" i="1"/>
  <c r="E7252" i="1"/>
  <c r="A7253" i="1"/>
  <c r="B7253" i="1"/>
  <c r="C7253" i="1"/>
  <c r="D7253" i="1"/>
  <c r="E7253" i="1"/>
  <c r="A7254" i="1"/>
  <c r="B7254" i="1"/>
  <c r="C7254" i="1"/>
  <c r="D7254" i="1"/>
  <c r="E7254" i="1"/>
  <c r="A7255" i="1"/>
  <c r="B7255" i="1"/>
  <c r="C7255" i="1"/>
  <c r="D7255" i="1"/>
  <c r="E7255" i="1"/>
  <c r="A7256" i="1"/>
  <c r="B7256" i="1"/>
  <c r="C7256" i="1"/>
  <c r="D7256" i="1"/>
  <c r="E7256" i="1"/>
  <c r="A7257" i="1"/>
  <c r="B7257" i="1"/>
  <c r="C7257" i="1"/>
  <c r="D7257" i="1"/>
  <c r="E7257" i="1"/>
  <c r="A7258" i="1"/>
  <c r="B7258" i="1"/>
  <c r="C7258" i="1"/>
  <c r="D7258" i="1"/>
  <c r="E7258" i="1"/>
  <c r="A7259" i="1"/>
  <c r="B7259" i="1"/>
  <c r="C7259" i="1"/>
  <c r="D7259" i="1"/>
  <c r="E7259" i="1"/>
  <c r="A7260" i="1"/>
  <c r="B7260" i="1"/>
  <c r="C7260" i="1"/>
  <c r="D7260" i="1"/>
  <c r="E7260" i="1"/>
  <c r="A7261" i="1"/>
  <c r="B7261" i="1"/>
  <c r="C7261" i="1"/>
  <c r="D7261" i="1"/>
  <c r="E7261" i="1"/>
  <c r="A7262" i="1"/>
  <c r="B7262" i="1"/>
  <c r="C7262" i="1"/>
  <c r="D7262" i="1"/>
  <c r="E7262" i="1"/>
  <c r="A7263" i="1"/>
  <c r="B7263" i="1"/>
  <c r="C7263" i="1"/>
  <c r="D7263" i="1"/>
  <c r="E7263" i="1"/>
  <c r="A7264" i="1"/>
  <c r="B7264" i="1"/>
  <c r="C7264" i="1"/>
  <c r="D7264" i="1"/>
  <c r="E7264" i="1"/>
  <c r="A7265" i="1"/>
  <c r="B7265" i="1"/>
  <c r="C7265" i="1"/>
  <c r="D7265" i="1"/>
  <c r="E7265" i="1"/>
  <c r="A7266" i="1"/>
  <c r="B7266" i="1"/>
  <c r="C7266" i="1"/>
  <c r="D7266" i="1"/>
  <c r="E7266" i="1"/>
  <c r="A7267" i="1"/>
  <c r="B7267" i="1"/>
  <c r="C7267" i="1"/>
  <c r="D7267" i="1"/>
  <c r="E7267" i="1"/>
  <c r="A7268" i="1"/>
  <c r="B7268" i="1"/>
  <c r="C7268" i="1"/>
  <c r="D7268" i="1"/>
  <c r="E7268" i="1"/>
  <c r="A7269" i="1"/>
  <c r="B7269" i="1"/>
  <c r="C7269" i="1"/>
  <c r="D7269" i="1"/>
  <c r="E7269" i="1"/>
  <c r="A7270" i="1"/>
  <c r="B7270" i="1"/>
  <c r="C7270" i="1"/>
  <c r="D7270" i="1"/>
  <c r="E7270" i="1"/>
  <c r="A7271" i="1"/>
  <c r="B7271" i="1"/>
  <c r="C7271" i="1"/>
  <c r="D7271" i="1"/>
  <c r="E7271" i="1"/>
  <c r="A7272" i="1"/>
  <c r="B7272" i="1"/>
  <c r="C7272" i="1"/>
  <c r="D7272" i="1"/>
  <c r="E7272" i="1"/>
  <c r="A7273" i="1"/>
  <c r="B7273" i="1"/>
  <c r="C7273" i="1"/>
  <c r="D7273" i="1"/>
  <c r="E7273" i="1"/>
  <c r="A7274" i="1"/>
  <c r="B7274" i="1"/>
  <c r="C7274" i="1"/>
  <c r="D7274" i="1"/>
  <c r="E7274" i="1"/>
  <c r="A7275" i="1"/>
  <c r="B7275" i="1"/>
  <c r="C7275" i="1"/>
  <c r="D7275" i="1"/>
  <c r="E7275" i="1"/>
  <c r="A7276" i="1"/>
  <c r="B7276" i="1"/>
  <c r="C7276" i="1"/>
  <c r="D7276" i="1"/>
  <c r="E7276" i="1"/>
  <c r="A7277" i="1"/>
  <c r="B7277" i="1"/>
  <c r="C7277" i="1"/>
  <c r="D7277" i="1"/>
  <c r="E7277" i="1"/>
  <c r="A7278" i="1"/>
  <c r="B7278" i="1"/>
  <c r="C7278" i="1"/>
  <c r="D7278" i="1"/>
  <c r="E7278" i="1"/>
  <c r="A7279" i="1"/>
  <c r="B7279" i="1"/>
  <c r="C7279" i="1"/>
  <c r="D7279" i="1"/>
  <c r="E7279" i="1"/>
  <c r="A7280" i="1"/>
  <c r="B7280" i="1"/>
  <c r="C7280" i="1"/>
  <c r="D7280" i="1"/>
  <c r="E7280" i="1"/>
  <c r="A7281" i="1"/>
  <c r="B7281" i="1"/>
  <c r="C7281" i="1"/>
  <c r="D7281" i="1"/>
  <c r="E7281" i="1"/>
  <c r="A7282" i="1"/>
  <c r="B7282" i="1"/>
  <c r="C7282" i="1"/>
  <c r="D7282" i="1"/>
  <c r="E7282" i="1"/>
  <c r="A7283" i="1"/>
  <c r="B7283" i="1"/>
  <c r="C7283" i="1"/>
  <c r="D7283" i="1"/>
  <c r="E7283" i="1"/>
  <c r="A7284" i="1"/>
  <c r="B7284" i="1"/>
  <c r="C7284" i="1"/>
  <c r="D7284" i="1"/>
  <c r="E7284" i="1"/>
  <c r="A7285" i="1"/>
  <c r="B7285" i="1"/>
  <c r="C7285" i="1"/>
  <c r="D7285" i="1"/>
  <c r="E7285" i="1"/>
  <c r="A7286" i="1"/>
  <c r="B7286" i="1"/>
  <c r="C7286" i="1"/>
  <c r="D7286" i="1"/>
  <c r="E7286" i="1"/>
  <c r="A7287" i="1"/>
  <c r="B7287" i="1"/>
  <c r="C7287" i="1"/>
  <c r="D7287" i="1"/>
  <c r="E7287" i="1"/>
  <c r="A7288" i="1"/>
  <c r="B7288" i="1"/>
  <c r="C7288" i="1"/>
  <c r="D7288" i="1"/>
  <c r="E7288" i="1"/>
  <c r="A7289" i="1"/>
  <c r="B7289" i="1"/>
  <c r="C7289" i="1"/>
  <c r="D7289" i="1"/>
  <c r="E7289" i="1"/>
  <c r="A7290" i="1"/>
  <c r="B7290" i="1"/>
  <c r="C7290" i="1"/>
  <c r="D7290" i="1"/>
  <c r="E7290" i="1"/>
  <c r="A7291" i="1"/>
  <c r="B7291" i="1"/>
  <c r="C7291" i="1"/>
  <c r="D7291" i="1"/>
  <c r="E7291" i="1"/>
  <c r="A7292" i="1"/>
  <c r="B7292" i="1"/>
  <c r="C7292" i="1"/>
  <c r="D7292" i="1"/>
  <c r="E7292" i="1"/>
  <c r="A7293" i="1"/>
  <c r="B7293" i="1"/>
  <c r="C7293" i="1"/>
  <c r="D7293" i="1"/>
  <c r="E7293" i="1"/>
  <c r="A7294" i="1"/>
  <c r="B7294" i="1"/>
  <c r="C7294" i="1"/>
  <c r="D7294" i="1"/>
  <c r="E7294" i="1"/>
  <c r="A7295" i="1"/>
  <c r="B7295" i="1"/>
  <c r="C7295" i="1"/>
  <c r="D7295" i="1"/>
  <c r="E7295" i="1"/>
  <c r="A7296" i="1"/>
  <c r="B7296" i="1"/>
  <c r="C7296" i="1"/>
  <c r="D7296" i="1"/>
  <c r="E7296" i="1"/>
  <c r="A7297" i="1"/>
  <c r="B7297" i="1"/>
  <c r="C7297" i="1"/>
  <c r="D7297" i="1"/>
  <c r="E7297" i="1"/>
  <c r="A7298" i="1"/>
  <c r="B7298" i="1"/>
  <c r="C7298" i="1"/>
  <c r="D7298" i="1"/>
  <c r="E7298" i="1"/>
  <c r="A7299" i="1"/>
  <c r="B7299" i="1"/>
  <c r="C7299" i="1"/>
  <c r="D7299" i="1"/>
  <c r="E7299" i="1"/>
  <c r="A7300" i="1"/>
  <c r="B7300" i="1"/>
  <c r="C7300" i="1"/>
  <c r="D7300" i="1"/>
  <c r="E7300" i="1"/>
  <c r="A7301" i="1"/>
  <c r="B7301" i="1"/>
  <c r="C7301" i="1"/>
  <c r="D7301" i="1"/>
  <c r="E7301" i="1"/>
  <c r="A7302" i="1"/>
  <c r="B7302" i="1"/>
  <c r="C7302" i="1"/>
  <c r="D7302" i="1"/>
  <c r="E7302" i="1"/>
  <c r="A7303" i="1"/>
  <c r="B7303" i="1"/>
  <c r="C7303" i="1"/>
  <c r="D7303" i="1"/>
  <c r="E7303" i="1"/>
  <c r="A7304" i="1"/>
  <c r="B7304" i="1"/>
  <c r="C7304" i="1"/>
  <c r="D7304" i="1"/>
  <c r="E7304" i="1"/>
  <c r="A7305" i="1"/>
  <c r="B7305" i="1"/>
  <c r="C7305" i="1"/>
  <c r="D7305" i="1"/>
  <c r="E7305" i="1"/>
  <c r="A7306" i="1"/>
  <c r="B7306" i="1"/>
  <c r="C7306" i="1"/>
  <c r="D7306" i="1"/>
  <c r="E7306" i="1"/>
  <c r="A7307" i="1"/>
  <c r="B7307" i="1"/>
  <c r="C7307" i="1"/>
  <c r="D7307" i="1"/>
  <c r="E7307" i="1"/>
  <c r="A7308" i="1"/>
  <c r="B7308" i="1"/>
  <c r="C7308" i="1"/>
  <c r="D7308" i="1"/>
  <c r="E7308" i="1"/>
  <c r="A7309" i="1"/>
  <c r="B7309" i="1"/>
  <c r="C7309" i="1"/>
  <c r="D7309" i="1"/>
  <c r="E7309" i="1"/>
  <c r="A7310" i="1"/>
  <c r="B7310" i="1"/>
  <c r="C7310" i="1"/>
  <c r="D7310" i="1"/>
  <c r="E7310" i="1"/>
  <c r="A7311" i="1"/>
  <c r="B7311" i="1"/>
  <c r="C7311" i="1"/>
  <c r="D7311" i="1"/>
  <c r="E7311" i="1"/>
  <c r="A7312" i="1"/>
  <c r="B7312" i="1"/>
  <c r="C7312" i="1"/>
  <c r="D7312" i="1"/>
  <c r="E7312" i="1"/>
  <c r="A7313" i="1"/>
  <c r="B7313" i="1"/>
  <c r="C7313" i="1"/>
  <c r="D7313" i="1"/>
  <c r="E7313" i="1"/>
  <c r="A7314" i="1"/>
  <c r="B7314" i="1"/>
  <c r="C7314" i="1"/>
  <c r="D7314" i="1"/>
  <c r="E7314" i="1"/>
  <c r="A7315" i="1"/>
  <c r="B7315" i="1"/>
  <c r="C7315" i="1"/>
  <c r="D7315" i="1"/>
  <c r="E7315" i="1"/>
  <c r="A7316" i="1"/>
  <c r="B7316" i="1"/>
  <c r="C7316" i="1"/>
  <c r="D7316" i="1"/>
  <c r="E7316" i="1"/>
  <c r="A7317" i="1"/>
  <c r="B7317" i="1"/>
  <c r="C7317" i="1"/>
  <c r="D7317" i="1"/>
  <c r="E7317" i="1"/>
  <c r="A7318" i="1"/>
  <c r="B7318" i="1"/>
  <c r="C7318" i="1"/>
  <c r="D7318" i="1"/>
  <c r="E7318" i="1"/>
  <c r="A7319" i="1"/>
  <c r="B7319" i="1"/>
  <c r="C7319" i="1"/>
  <c r="D7319" i="1"/>
  <c r="E7319" i="1"/>
  <c r="A7320" i="1"/>
  <c r="B7320" i="1"/>
  <c r="C7320" i="1"/>
  <c r="D7320" i="1"/>
  <c r="E7320" i="1"/>
  <c r="A7321" i="1"/>
  <c r="B7321" i="1"/>
  <c r="C7321" i="1"/>
  <c r="D7321" i="1"/>
  <c r="E7321" i="1"/>
  <c r="A7322" i="1"/>
  <c r="B7322" i="1"/>
  <c r="C7322" i="1"/>
  <c r="D7322" i="1"/>
  <c r="E7322" i="1"/>
  <c r="A7323" i="1"/>
  <c r="B7323" i="1"/>
  <c r="C7323" i="1"/>
  <c r="D7323" i="1"/>
  <c r="E7323" i="1"/>
  <c r="A7324" i="1"/>
  <c r="B7324" i="1"/>
  <c r="C7324" i="1"/>
  <c r="D7324" i="1"/>
  <c r="E7324" i="1"/>
  <c r="A7325" i="1"/>
  <c r="B7325" i="1"/>
  <c r="C7325" i="1"/>
  <c r="D7325" i="1"/>
  <c r="E7325" i="1"/>
  <c r="A7326" i="1"/>
  <c r="B7326" i="1"/>
  <c r="C7326" i="1"/>
  <c r="D7326" i="1"/>
  <c r="E7326" i="1"/>
  <c r="A7327" i="1"/>
  <c r="B7327" i="1"/>
  <c r="C7327" i="1"/>
  <c r="D7327" i="1"/>
  <c r="E7327" i="1"/>
  <c r="A7328" i="1"/>
  <c r="B7328" i="1"/>
  <c r="C7328" i="1"/>
  <c r="D7328" i="1"/>
  <c r="E7328" i="1"/>
  <c r="A7329" i="1"/>
  <c r="B7329" i="1"/>
  <c r="C7329" i="1"/>
  <c r="D7329" i="1"/>
  <c r="E7329" i="1"/>
  <c r="A7330" i="1"/>
  <c r="B7330" i="1"/>
  <c r="C7330" i="1"/>
  <c r="D7330" i="1"/>
  <c r="E7330" i="1"/>
  <c r="A7331" i="1"/>
  <c r="B7331" i="1"/>
  <c r="C7331" i="1"/>
  <c r="D7331" i="1"/>
  <c r="E7331" i="1"/>
  <c r="A7332" i="1"/>
  <c r="B7332" i="1"/>
  <c r="C7332" i="1"/>
  <c r="D7332" i="1"/>
  <c r="E7332" i="1"/>
  <c r="A7333" i="1"/>
  <c r="B7333" i="1"/>
  <c r="C7333" i="1"/>
  <c r="D7333" i="1"/>
  <c r="E7333" i="1"/>
  <c r="A7334" i="1"/>
  <c r="B7334" i="1"/>
  <c r="C7334" i="1"/>
  <c r="D7334" i="1"/>
  <c r="E7334" i="1"/>
  <c r="A7335" i="1"/>
  <c r="B7335" i="1"/>
  <c r="C7335" i="1"/>
  <c r="D7335" i="1"/>
  <c r="E7335" i="1"/>
  <c r="A7336" i="1"/>
  <c r="B7336" i="1"/>
  <c r="C7336" i="1"/>
  <c r="D7336" i="1"/>
  <c r="E7336" i="1"/>
  <c r="A7337" i="1"/>
  <c r="B7337" i="1"/>
  <c r="C7337" i="1"/>
  <c r="D7337" i="1"/>
  <c r="E7337" i="1"/>
  <c r="A7338" i="1"/>
  <c r="B7338" i="1"/>
  <c r="C7338" i="1"/>
  <c r="D7338" i="1"/>
  <c r="E7338" i="1"/>
  <c r="A7339" i="1"/>
  <c r="B7339" i="1"/>
  <c r="C7339" i="1"/>
  <c r="D7339" i="1"/>
  <c r="E7339" i="1"/>
  <c r="A7340" i="1"/>
  <c r="B7340" i="1"/>
  <c r="C7340" i="1"/>
  <c r="D7340" i="1"/>
  <c r="E7340" i="1"/>
  <c r="A7341" i="1"/>
  <c r="B7341" i="1"/>
  <c r="C7341" i="1"/>
  <c r="D7341" i="1"/>
  <c r="E7341" i="1"/>
  <c r="A7342" i="1"/>
  <c r="B7342" i="1"/>
  <c r="C7342" i="1"/>
  <c r="D7342" i="1"/>
  <c r="E7342" i="1"/>
  <c r="A7343" i="1"/>
  <c r="B7343" i="1"/>
  <c r="C7343" i="1"/>
  <c r="D7343" i="1"/>
  <c r="E7343" i="1"/>
  <c r="A7344" i="1"/>
  <c r="B7344" i="1"/>
  <c r="C7344" i="1"/>
  <c r="D7344" i="1"/>
  <c r="E7344" i="1"/>
  <c r="A7345" i="1"/>
  <c r="B7345" i="1"/>
  <c r="C7345" i="1"/>
  <c r="D7345" i="1"/>
  <c r="E7345" i="1"/>
  <c r="A7346" i="1"/>
  <c r="B7346" i="1"/>
  <c r="C7346" i="1"/>
  <c r="D7346" i="1"/>
  <c r="E7346" i="1"/>
  <c r="A7347" i="1"/>
  <c r="B7347" i="1"/>
  <c r="C7347" i="1"/>
  <c r="D7347" i="1"/>
  <c r="E7347" i="1"/>
  <c r="A7348" i="1"/>
  <c r="B7348" i="1"/>
  <c r="C7348" i="1"/>
  <c r="D7348" i="1"/>
  <c r="E7348" i="1"/>
  <c r="A7349" i="1"/>
  <c r="B7349" i="1"/>
  <c r="C7349" i="1"/>
  <c r="D7349" i="1"/>
  <c r="E7349" i="1"/>
  <c r="A7350" i="1"/>
  <c r="B7350" i="1"/>
  <c r="C7350" i="1"/>
  <c r="D7350" i="1"/>
  <c r="E7350" i="1"/>
  <c r="A7351" i="1"/>
  <c r="B7351" i="1"/>
  <c r="C7351" i="1"/>
  <c r="D7351" i="1"/>
  <c r="E7351" i="1"/>
  <c r="A7352" i="1"/>
  <c r="B7352" i="1"/>
  <c r="C7352" i="1"/>
  <c r="D7352" i="1"/>
  <c r="E7352" i="1"/>
  <c r="A7353" i="1"/>
  <c r="B7353" i="1"/>
  <c r="C7353" i="1"/>
  <c r="D7353" i="1"/>
  <c r="E7353" i="1"/>
  <c r="A7354" i="1"/>
  <c r="B7354" i="1"/>
  <c r="C7354" i="1"/>
  <c r="D7354" i="1"/>
  <c r="E7354" i="1"/>
  <c r="A7355" i="1"/>
  <c r="B7355" i="1"/>
  <c r="C7355" i="1"/>
  <c r="D7355" i="1"/>
  <c r="E7355" i="1"/>
  <c r="A7356" i="1"/>
  <c r="B7356" i="1"/>
  <c r="C7356" i="1"/>
  <c r="D7356" i="1"/>
  <c r="E7356" i="1"/>
  <c r="A7357" i="1"/>
  <c r="B7357" i="1"/>
  <c r="C7357" i="1"/>
  <c r="D7357" i="1"/>
  <c r="E7357" i="1"/>
  <c r="A7358" i="1"/>
  <c r="B7358" i="1"/>
  <c r="C7358" i="1"/>
  <c r="D7358" i="1"/>
  <c r="E7358" i="1"/>
  <c r="A7359" i="1"/>
  <c r="B7359" i="1"/>
  <c r="C7359" i="1"/>
  <c r="D7359" i="1"/>
  <c r="E7359" i="1"/>
  <c r="A7360" i="1"/>
  <c r="B7360" i="1"/>
  <c r="C7360" i="1"/>
  <c r="D7360" i="1"/>
  <c r="E7360" i="1"/>
  <c r="A7361" i="1"/>
  <c r="B7361" i="1"/>
  <c r="C7361" i="1"/>
  <c r="D7361" i="1"/>
  <c r="E7361" i="1"/>
  <c r="A7362" i="1"/>
  <c r="B7362" i="1"/>
  <c r="C7362" i="1"/>
  <c r="D7362" i="1"/>
  <c r="E7362" i="1"/>
  <c r="A7363" i="1"/>
  <c r="B7363" i="1"/>
  <c r="C7363" i="1"/>
  <c r="D7363" i="1"/>
  <c r="E7363" i="1"/>
  <c r="A7364" i="1"/>
  <c r="B7364" i="1"/>
  <c r="C7364" i="1"/>
  <c r="D7364" i="1"/>
  <c r="E7364" i="1"/>
  <c r="A7365" i="1"/>
  <c r="B7365" i="1"/>
  <c r="C7365" i="1"/>
  <c r="D7365" i="1"/>
  <c r="E7365" i="1"/>
  <c r="A7366" i="1"/>
  <c r="B7366" i="1"/>
  <c r="C7366" i="1"/>
  <c r="D7366" i="1"/>
  <c r="E7366" i="1"/>
  <c r="A7367" i="1"/>
  <c r="B7367" i="1"/>
  <c r="C7367" i="1"/>
  <c r="D7367" i="1"/>
  <c r="E7367" i="1"/>
  <c r="A7368" i="1"/>
  <c r="B7368" i="1"/>
  <c r="C7368" i="1"/>
  <c r="D7368" i="1"/>
  <c r="E7368" i="1"/>
  <c r="A7369" i="1"/>
  <c r="B7369" i="1"/>
  <c r="C7369" i="1"/>
  <c r="D7369" i="1"/>
  <c r="E7369" i="1"/>
  <c r="A7370" i="1"/>
  <c r="B7370" i="1"/>
  <c r="C7370" i="1"/>
  <c r="D7370" i="1"/>
  <c r="E7370" i="1"/>
  <c r="A7371" i="1"/>
  <c r="B7371" i="1"/>
  <c r="C7371" i="1"/>
  <c r="D7371" i="1"/>
  <c r="E7371" i="1"/>
  <c r="A7372" i="1"/>
  <c r="B7372" i="1"/>
  <c r="C7372" i="1"/>
  <c r="D7372" i="1"/>
  <c r="E7372" i="1"/>
  <c r="A7373" i="1"/>
  <c r="B7373" i="1"/>
  <c r="C7373" i="1"/>
  <c r="D7373" i="1"/>
  <c r="E7373" i="1"/>
  <c r="A7374" i="1"/>
  <c r="B7374" i="1"/>
  <c r="C7374" i="1"/>
  <c r="D7374" i="1"/>
  <c r="E7374" i="1"/>
  <c r="A7375" i="1"/>
  <c r="B7375" i="1"/>
  <c r="C7375" i="1"/>
  <c r="D7375" i="1"/>
  <c r="E7375" i="1"/>
  <c r="A7376" i="1"/>
  <c r="B7376" i="1"/>
  <c r="C7376" i="1"/>
  <c r="D7376" i="1"/>
  <c r="E7376" i="1"/>
  <c r="A7377" i="1"/>
  <c r="B7377" i="1"/>
  <c r="C7377" i="1"/>
  <c r="D7377" i="1"/>
  <c r="E7377" i="1"/>
  <c r="A7378" i="1"/>
  <c r="B7378" i="1"/>
  <c r="C7378" i="1"/>
  <c r="D7378" i="1"/>
  <c r="E7378" i="1"/>
  <c r="A7379" i="1"/>
  <c r="B7379" i="1"/>
  <c r="C7379" i="1"/>
  <c r="D7379" i="1"/>
  <c r="E7379" i="1"/>
  <c r="A7380" i="1"/>
  <c r="B7380" i="1"/>
  <c r="C7380" i="1"/>
  <c r="D7380" i="1"/>
  <c r="E7380" i="1"/>
  <c r="A7381" i="1"/>
  <c r="B7381" i="1"/>
  <c r="C7381" i="1"/>
  <c r="D7381" i="1"/>
  <c r="E7381" i="1"/>
  <c r="A7382" i="1"/>
  <c r="B7382" i="1"/>
  <c r="C7382" i="1"/>
  <c r="D7382" i="1"/>
  <c r="E7382" i="1"/>
  <c r="A7383" i="1"/>
  <c r="B7383" i="1"/>
  <c r="C7383" i="1"/>
  <c r="D7383" i="1"/>
  <c r="E7383" i="1"/>
  <c r="A7384" i="1"/>
  <c r="B7384" i="1"/>
  <c r="C7384" i="1"/>
  <c r="D7384" i="1"/>
  <c r="E7384" i="1"/>
  <c r="A7385" i="1"/>
  <c r="B7385" i="1"/>
  <c r="C7385" i="1"/>
  <c r="D7385" i="1"/>
  <c r="E7385" i="1"/>
  <c r="A7386" i="1"/>
  <c r="B7386" i="1"/>
  <c r="C7386" i="1"/>
  <c r="D7386" i="1"/>
  <c r="E7386" i="1"/>
  <c r="A7387" i="1"/>
  <c r="B7387" i="1"/>
  <c r="C7387" i="1"/>
  <c r="D7387" i="1"/>
  <c r="E7387" i="1"/>
  <c r="A7388" i="1"/>
  <c r="B7388" i="1"/>
  <c r="C7388" i="1"/>
  <c r="D7388" i="1"/>
  <c r="E7388" i="1"/>
  <c r="A7389" i="1"/>
  <c r="B7389" i="1"/>
  <c r="C7389" i="1"/>
  <c r="D7389" i="1"/>
  <c r="E7389" i="1"/>
  <c r="A7390" i="1"/>
  <c r="B7390" i="1"/>
  <c r="C7390" i="1"/>
  <c r="D7390" i="1"/>
  <c r="E7390" i="1"/>
  <c r="A7391" i="1"/>
  <c r="B7391" i="1"/>
  <c r="C7391" i="1"/>
  <c r="D7391" i="1"/>
  <c r="E7391" i="1"/>
  <c r="A7392" i="1"/>
  <c r="B7392" i="1"/>
  <c r="C7392" i="1"/>
  <c r="D7392" i="1"/>
  <c r="E7392" i="1"/>
  <c r="A7393" i="1"/>
  <c r="B7393" i="1"/>
  <c r="C7393" i="1"/>
  <c r="D7393" i="1"/>
  <c r="E7393" i="1"/>
  <c r="A7394" i="1"/>
  <c r="B7394" i="1"/>
  <c r="C7394" i="1"/>
  <c r="D7394" i="1"/>
  <c r="E7394" i="1"/>
  <c r="A7395" i="1"/>
  <c r="B7395" i="1"/>
  <c r="C7395" i="1"/>
  <c r="D7395" i="1"/>
  <c r="E7395" i="1"/>
  <c r="A7396" i="1"/>
  <c r="B7396" i="1"/>
  <c r="C7396" i="1"/>
  <c r="D7396" i="1"/>
  <c r="E7396" i="1"/>
  <c r="A7397" i="1"/>
  <c r="B7397" i="1"/>
  <c r="C7397" i="1"/>
  <c r="D7397" i="1"/>
  <c r="E7397" i="1"/>
  <c r="A7398" i="1"/>
  <c r="B7398" i="1"/>
  <c r="C7398" i="1"/>
  <c r="D7398" i="1"/>
  <c r="E7398" i="1"/>
  <c r="A7399" i="1"/>
  <c r="B7399" i="1"/>
  <c r="C7399" i="1"/>
  <c r="D7399" i="1"/>
  <c r="E7399" i="1"/>
  <c r="A7400" i="1"/>
  <c r="B7400" i="1"/>
  <c r="C7400" i="1"/>
  <c r="D7400" i="1"/>
  <c r="E7400" i="1"/>
  <c r="A7401" i="1"/>
  <c r="B7401" i="1"/>
  <c r="C7401" i="1"/>
  <c r="D7401" i="1"/>
  <c r="E7401" i="1"/>
  <c r="A7402" i="1"/>
  <c r="B7402" i="1"/>
  <c r="C7402" i="1"/>
  <c r="D7402" i="1"/>
  <c r="E7402" i="1"/>
  <c r="A7403" i="1"/>
  <c r="B7403" i="1"/>
  <c r="C7403" i="1"/>
  <c r="D7403" i="1"/>
  <c r="E7403" i="1"/>
  <c r="A7404" i="1"/>
  <c r="B7404" i="1"/>
  <c r="C7404" i="1"/>
  <c r="D7404" i="1"/>
  <c r="E7404" i="1"/>
  <c r="A7405" i="1"/>
  <c r="B7405" i="1"/>
  <c r="C7405" i="1"/>
  <c r="D7405" i="1"/>
  <c r="E7405" i="1"/>
  <c r="A7406" i="1"/>
  <c r="B7406" i="1"/>
  <c r="C7406" i="1"/>
  <c r="D7406" i="1"/>
  <c r="E7406" i="1"/>
  <c r="A7407" i="1"/>
  <c r="B7407" i="1"/>
  <c r="C7407" i="1"/>
  <c r="D7407" i="1"/>
  <c r="E7407" i="1"/>
  <c r="A7408" i="1"/>
  <c r="B7408" i="1"/>
  <c r="C7408" i="1"/>
  <c r="D7408" i="1"/>
  <c r="E7408" i="1"/>
  <c r="A7409" i="1"/>
  <c r="B7409" i="1"/>
  <c r="C7409" i="1"/>
  <c r="D7409" i="1"/>
  <c r="E7409" i="1"/>
  <c r="A7410" i="1"/>
  <c r="B7410" i="1"/>
  <c r="C7410" i="1"/>
  <c r="D7410" i="1"/>
  <c r="E7410" i="1"/>
  <c r="A7411" i="1"/>
  <c r="B7411" i="1"/>
  <c r="C7411" i="1"/>
  <c r="D7411" i="1"/>
  <c r="E7411" i="1"/>
  <c r="A7412" i="1"/>
  <c r="B7412" i="1"/>
  <c r="C7412" i="1"/>
  <c r="D7412" i="1"/>
  <c r="E7412" i="1"/>
  <c r="A7413" i="1"/>
  <c r="B7413" i="1"/>
  <c r="C7413" i="1"/>
  <c r="D7413" i="1"/>
  <c r="E7413" i="1"/>
  <c r="A7414" i="1"/>
  <c r="B7414" i="1"/>
  <c r="C7414" i="1"/>
  <c r="D7414" i="1"/>
  <c r="E7414" i="1"/>
  <c r="A7415" i="1"/>
  <c r="B7415" i="1"/>
  <c r="C7415" i="1"/>
  <c r="D7415" i="1"/>
  <c r="E7415" i="1"/>
  <c r="A7416" i="1"/>
  <c r="B7416" i="1"/>
  <c r="C7416" i="1"/>
  <c r="D7416" i="1"/>
  <c r="E7416" i="1"/>
  <c r="A7417" i="1"/>
  <c r="B7417" i="1"/>
  <c r="C7417" i="1"/>
  <c r="D7417" i="1"/>
  <c r="E7417" i="1"/>
  <c r="A7418" i="1"/>
  <c r="B7418" i="1"/>
  <c r="C7418" i="1"/>
  <c r="D7418" i="1"/>
  <c r="E7418" i="1"/>
  <c r="A7419" i="1"/>
  <c r="B7419" i="1"/>
  <c r="C7419" i="1"/>
  <c r="D7419" i="1"/>
  <c r="E7419" i="1"/>
  <c r="A7420" i="1"/>
  <c r="B7420" i="1"/>
  <c r="C7420" i="1"/>
  <c r="D7420" i="1"/>
  <c r="E7420" i="1"/>
  <c r="A7421" i="1"/>
  <c r="B7421" i="1"/>
  <c r="C7421" i="1"/>
  <c r="D7421" i="1"/>
  <c r="E7421" i="1"/>
  <c r="A7422" i="1"/>
  <c r="B7422" i="1"/>
  <c r="C7422" i="1"/>
  <c r="D7422" i="1"/>
  <c r="E7422" i="1"/>
  <c r="A7423" i="1"/>
  <c r="B7423" i="1"/>
  <c r="C7423" i="1"/>
  <c r="D7423" i="1"/>
  <c r="E7423" i="1"/>
  <c r="A7424" i="1"/>
  <c r="B7424" i="1"/>
  <c r="C7424" i="1"/>
  <c r="D7424" i="1"/>
  <c r="E7424" i="1"/>
  <c r="A7425" i="1"/>
  <c r="B7425" i="1"/>
  <c r="C7425" i="1"/>
  <c r="D7425" i="1"/>
  <c r="E7425" i="1"/>
  <c r="A7426" i="1"/>
  <c r="B7426" i="1"/>
  <c r="C7426" i="1"/>
  <c r="D7426" i="1"/>
  <c r="E7426" i="1"/>
  <c r="A7427" i="1"/>
  <c r="B7427" i="1"/>
  <c r="C7427" i="1"/>
  <c r="D7427" i="1"/>
  <c r="E7427" i="1"/>
  <c r="A7428" i="1"/>
  <c r="B7428" i="1"/>
  <c r="C7428" i="1"/>
  <c r="D7428" i="1"/>
  <c r="E7428" i="1"/>
  <c r="A7429" i="1"/>
  <c r="B7429" i="1"/>
  <c r="C7429" i="1"/>
  <c r="D7429" i="1"/>
  <c r="E7429" i="1"/>
  <c r="A7430" i="1"/>
  <c r="B7430" i="1"/>
  <c r="C7430" i="1"/>
  <c r="D7430" i="1"/>
  <c r="E7430" i="1"/>
  <c r="A7431" i="1"/>
  <c r="B7431" i="1"/>
  <c r="C7431" i="1"/>
  <c r="D7431" i="1"/>
  <c r="E7431" i="1"/>
  <c r="A7432" i="1"/>
  <c r="B7432" i="1"/>
  <c r="C7432" i="1"/>
  <c r="D7432" i="1"/>
  <c r="E7432" i="1"/>
  <c r="A7433" i="1"/>
  <c r="B7433" i="1"/>
  <c r="C7433" i="1"/>
  <c r="D7433" i="1"/>
  <c r="E7433" i="1"/>
  <c r="A7434" i="1"/>
  <c r="B7434" i="1"/>
  <c r="C7434" i="1"/>
  <c r="D7434" i="1"/>
  <c r="E7434" i="1"/>
  <c r="A7435" i="1"/>
  <c r="B7435" i="1"/>
  <c r="C7435" i="1"/>
  <c r="D7435" i="1"/>
  <c r="E7435" i="1"/>
  <c r="A7436" i="1"/>
  <c r="B7436" i="1"/>
  <c r="C7436" i="1"/>
  <c r="D7436" i="1"/>
  <c r="E7436" i="1"/>
  <c r="A7437" i="1"/>
  <c r="B7437" i="1"/>
  <c r="C7437" i="1"/>
  <c r="D7437" i="1"/>
  <c r="E7437" i="1"/>
  <c r="A7438" i="1"/>
  <c r="B7438" i="1"/>
  <c r="C7438" i="1"/>
  <c r="D7438" i="1"/>
  <c r="E7438" i="1"/>
  <c r="A7439" i="1"/>
  <c r="B7439" i="1"/>
  <c r="C7439" i="1"/>
  <c r="D7439" i="1"/>
  <c r="E7439" i="1"/>
  <c r="A7440" i="1"/>
  <c r="B7440" i="1"/>
  <c r="C7440" i="1"/>
  <c r="D7440" i="1"/>
  <c r="E7440" i="1"/>
  <c r="A7441" i="1"/>
  <c r="B7441" i="1"/>
  <c r="C7441" i="1"/>
  <c r="D7441" i="1"/>
  <c r="E7441" i="1"/>
  <c r="A7442" i="1"/>
  <c r="B7442" i="1"/>
  <c r="C7442" i="1"/>
  <c r="D7442" i="1"/>
  <c r="E7442" i="1"/>
  <c r="A7443" i="1"/>
  <c r="B7443" i="1"/>
  <c r="C7443" i="1"/>
  <c r="D7443" i="1"/>
  <c r="E7443" i="1"/>
  <c r="A7444" i="1"/>
  <c r="B7444" i="1"/>
  <c r="C7444" i="1"/>
  <c r="D7444" i="1"/>
  <c r="E7444" i="1"/>
  <c r="A7445" i="1"/>
  <c r="B7445" i="1"/>
  <c r="C7445" i="1"/>
  <c r="D7445" i="1"/>
  <c r="E7445" i="1"/>
  <c r="A7446" i="1"/>
  <c r="B7446" i="1"/>
  <c r="C7446" i="1"/>
  <c r="D7446" i="1"/>
  <c r="E7446" i="1"/>
  <c r="A7447" i="1"/>
  <c r="B7447" i="1"/>
  <c r="C7447" i="1"/>
  <c r="D7447" i="1"/>
  <c r="E7447" i="1"/>
  <c r="A7448" i="1"/>
  <c r="B7448" i="1"/>
  <c r="C7448" i="1"/>
  <c r="D7448" i="1"/>
  <c r="E7448" i="1"/>
  <c r="A7449" i="1"/>
  <c r="B7449" i="1"/>
  <c r="C7449" i="1"/>
  <c r="D7449" i="1"/>
  <c r="E7449" i="1"/>
  <c r="A7450" i="1"/>
  <c r="B7450" i="1"/>
  <c r="C7450" i="1"/>
  <c r="D7450" i="1"/>
  <c r="E7450" i="1"/>
  <c r="A7451" i="1"/>
  <c r="B7451" i="1"/>
  <c r="C7451" i="1"/>
  <c r="D7451" i="1"/>
  <c r="E7451" i="1"/>
  <c r="A7452" i="1"/>
  <c r="B7452" i="1"/>
  <c r="C7452" i="1"/>
  <c r="D7452" i="1"/>
  <c r="E7452" i="1"/>
  <c r="A7453" i="1"/>
  <c r="B7453" i="1"/>
  <c r="C7453" i="1"/>
  <c r="D7453" i="1"/>
  <c r="E7453" i="1"/>
  <c r="A7454" i="1"/>
  <c r="B7454" i="1"/>
  <c r="C7454" i="1"/>
  <c r="D7454" i="1"/>
  <c r="E7454" i="1"/>
  <c r="A7455" i="1"/>
  <c r="B7455" i="1"/>
  <c r="C7455" i="1"/>
  <c r="D7455" i="1"/>
  <c r="E7455" i="1"/>
  <c r="A7456" i="1"/>
  <c r="B7456" i="1"/>
  <c r="C7456" i="1"/>
  <c r="D7456" i="1"/>
  <c r="E7456" i="1"/>
  <c r="A7457" i="1"/>
  <c r="B7457" i="1"/>
  <c r="C7457" i="1"/>
  <c r="D7457" i="1"/>
  <c r="E7457" i="1"/>
  <c r="A7458" i="1"/>
  <c r="B7458" i="1"/>
  <c r="C7458" i="1"/>
  <c r="D7458" i="1"/>
  <c r="E7458" i="1"/>
  <c r="A7459" i="1"/>
  <c r="B7459" i="1"/>
  <c r="C7459" i="1"/>
  <c r="D7459" i="1"/>
  <c r="E7459" i="1"/>
  <c r="A7460" i="1"/>
  <c r="B7460" i="1"/>
  <c r="C7460" i="1"/>
  <c r="D7460" i="1"/>
  <c r="E7460" i="1"/>
  <c r="A7461" i="1"/>
  <c r="B7461" i="1"/>
  <c r="C7461" i="1"/>
  <c r="D7461" i="1"/>
  <c r="E7461" i="1"/>
  <c r="A7462" i="1"/>
  <c r="B7462" i="1"/>
  <c r="C7462" i="1"/>
  <c r="D7462" i="1"/>
  <c r="E7462" i="1"/>
  <c r="A7463" i="1"/>
  <c r="B7463" i="1"/>
  <c r="C7463" i="1"/>
  <c r="D7463" i="1"/>
  <c r="E7463" i="1"/>
  <c r="A7464" i="1"/>
  <c r="B7464" i="1"/>
  <c r="C7464" i="1"/>
  <c r="D7464" i="1"/>
  <c r="E7464" i="1"/>
  <c r="A7465" i="1"/>
  <c r="B7465" i="1"/>
  <c r="C7465" i="1"/>
  <c r="D7465" i="1"/>
  <c r="E7465" i="1"/>
  <c r="A7466" i="1"/>
  <c r="B7466" i="1"/>
  <c r="C7466" i="1"/>
  <c r="D7466" i="1"/>
  <c r="E7466" i="1"/>
  <c r="A7467" i="1"/>
  <c r="B7467" i="1"/>
  <c r="C7467" i="1"/>
  <c r="D7467" i="1"/>
  <c r="E7467" i="1"/>
  <c r="A7468" i="1"/>
  <c r="B7468" i="1"/>
  <c r="C7468" i="1"/>
  <c r="D7468" i="1"/>
  <c r="E7468" i="1"/>
  <c r="A7469" i="1"/>
  <c r="B7469" i="1"/>
  <c r="C7469" i="1"/>
  <c r="D7469" i="1"/>
  <c r="E7469" i="1"/>
  <c r="A7470" i="1"/>
  <c r="B7470" i="1"/>
  <c r="C7470" i="1"/>
  <c r="D7470" i="1"/>
  <c r="E7470" i="1"/>
  <c r="A7471" i="1"/>
  <c r="B7471" i="1"/>
  <c r="C7471" i="1"/>
  <c r="D7471" i="1"/>
  <c r="E7471" i="1"/>
  <c r="A7472" i="1"/>
  <c r="B7472" i="1"/>
  <c r="C7472" i="1"/>
  <c r="D7472" i="1"/>
  <c r="E7472" i="1"/>
  <c r="A7473" i="1"/>
  <c r="B7473" i="1"/>
  <c r="C7473" i="1"/>
  <c r="D7473" i="1"/>
  <c r="E7473" i="1"/>
  <c r="A7474" i="1"/>
  <c r="B7474" i="1"/>
  <c r="C7474" i="1"/>
  <c r="D7474" i="1"/>
  <c r="E7474" i="1"/>
  <c r="A7475" i="1"/>
  <c r="B7475" i="1"/>
  <c r="C7475" i="1"/>
  <c r="D7475" i="1"/>
  <c r="E7475" i="1"/>
  <c r="A7476" i="1"/>
  <c r="B7476" i="1"/>
  <c r="C7476" i="1"/>
  <c r="D7476" i="1"/>
  <c r="E7476" i="1"/>
  <c r="A7477" i="1"/>
  <c r="B7477" i="1"/>
  <c r="C7477" i="1"/>
  <c r="D7477" i="1"/>
  <c r="E7477" i="1"/>
  <c r="A7478" i="1"/>
  <c r="B7478" i="1"/>
  <c r="C7478" i="1"/>
  <c r="D7478" i="1"/>
  <c r="E7478" i="1"/>
  <c r="A7479" i="1"/>
  <c r="B7479" i="1"/>
  <c r="C7479" i="1"/>
  <c r="D7479" i="1"/>
  <c r="E7479" i="1"/>
  <c r="A7480" i="1"/>
  <c r="B7480" i="1"/>
  <c r="C7480" i="1"/>
  <c r="D7480" i="1"/>
  <c r="E7480" i="1"/>
  <c r="A7481" i="1"/>
  <c r="B7481" i="1"/>
  <c r="C7481" i="1"/>
  <c r="D7481" i="1"/>
  <c r="E7481" i="1"/>
  <c r="A7482" i="1"/>
  <c r="B7482" i="1"/>
  <c r="C7482" i="1"/>
  <c r="D7482" i="1"/>
  <c r="E7482" i="1"/>
  <c r="A7483" i="1"/>
  <c r="B7483" i="1"/>
  <c r="C7483" i="1"/>
  <c r="D7483" i="1"/>
  <c r="E7483" i="1"/>
  <c r="A7484" i="1"/>
  <c r="B7484" i="1"/>
  <c r="C7484" i="1"/>
  <c r="D7484" i="1"/>
  <c r="E7484" i="1"/>
  <c r="A7485" i="1"/>
  <c r="B7485" i="1"/>
  <c r="C7485" i="1"/>
  <c r="D7485" i="1"/>
  <c r="E7485" i="1"/>
  <c r="A7486" i="1"/>
  <c r="B7486" i="1"/>
  <c r="C7486" i="1"/>
  <c r="D7486" i="1"/>
  <c r="E7486" i="1"/>
  <c r="A7487" i="1"/>
  <c r="B7487" i="1"/>
  <c r="C7487" i="1"/>
  <c r="D7487" i="1"/>
  <c r="E7487" i="1"/>
  <c r="A7488" i="1"/>
  <c r="B7488" i="1"/>
  <c r="C7488" i="1"/>
  <c r="D7488" i="1"/>
  <c r="E7488" i="1"/>
  <c r="A7489" i="1"/>
  <c r="B7489" i="1"/>
  <c r="C7489" i="1"/>
  <c r="D7489" i="1"/>
  <c r="E7489" i="1"/>
  <c r="A7490" i="1"/>
  <c r="B7490" i="1"/>
  <c r="C7490" i="1"/>
  <c r="D7490" i="1"/>
  <c r="E7490" i="1"/>
  <c r="A7491" i="1"/>
  <c r="B7491" i="1"/>
  <c r="C7491" i="1"/>
  <c r="D7491" i="1"/>
  <c r="E7491" i="1"/>
  <c r="A7492" i="1"/>
  <c r="B7492" i="1"/>
  <c r="C7492" i="1"/>
  <c r="D7492" i="1"/>
  <c r="E7492" i="1"/>
  <c r="A7493" i="1"/>
  <c r="B7493" i="1"/>
  <c r="C7493" i="1"/>
  <c r="D7493" i="1"/>
  <c r="E7493" i="1"/>
  <c r="A7494" i="1"/>
  <c r="B7494" i="1"/>
  <c r="C7494" i="1"/>
  <c r="D7494" i="1"/>
  <c r="E7494" i="1"/>
  <c r="A7495" i="1"/>
  <c r="B7495" i="1"/>
  <c r="C7495" i="1"/>
  <c r="D7495" i="1"/>
  <c r="E7495" i="1"/>
  <c r="A7496" i="1"/>
  <c r="B7496" i="1"/>
  <c r="C7496" i="1"/>
  <c r="D7496" i="1"/>
  <c r="E7496" i="1"/>
  <c r="A7497" i="1"/>
  <c r="B7497" i="1"/>
  <c r="C7497" i="1"/>
  <c r="D7497" i="1"/>
  <c r="E7497" i="1"/>
  <c r="A7498" i="1"/>
  <c r="B7498" i="1"/>
  <c r="C7498" i="1"/>
  <c r="D7498" i="1"/>
  <c r="E7498" i="1"/>
  <c r="A7499" i="1"/>
  <c r="B7499" i="1"/>
  <c r="C7499" i="1"/>
  <c r="D7499" i="1"/>
  <c r="E7499" i="1"/>
  <c r="A7500" i="1"/>
  <c r="B7500" i="1"/>
  <c r="C7500" i="1"/>
  <c r="D7500" i="1"/>
  <c r="E7500" i="1"/>
  <c r="A7501" i="1"/>
  <c r="B7501" i="1"/>
  <c r="C7501" i="1"/>
  <c r="D7501" i="1"/>
  <c r="E7501" i="1"/>
  <c r="A7502" i="1"/>
  <c r="B7502" i="1"/>
  <c r="C7502" i="1"/>
  <c r="D7502" i="1"/>
  <c r="E7502" i="1"/>
  <c r="A7503" i="1"/>
  <c r="B7503" i="1"/>
  <c r="C7503" i="1"/>
  <c r="D7503" i="1"/>
  <c r="E7503" i="1"/>
  <c r="A7504" i="1"/>
  <c r="B7504" i="1"/>
  <c r="C7504" i="1"/>
  <c r="D7504" i="1"/>
  <c r="E7504" i="1"/>
  <c r="A7505" i="1"/>
  <c r="B7505" i="1"/>
  <c r="C7505" i="1"/>
  <c r="D7505" i="1"/>
  <c r="E7505" i="1"/>
  <c r="A7506" i="1"/>
  <c r="B7506" i="1"/>
  <c r="C7506" i="1"/>
  <c r="D7506" i="1"/>
  <c r="E7506" i="1"/>
  <c r="A7507" i="1"/>
  <c r="B7507" i="1"/>
  <c r="C7507" i="1"/>
  <c r="D7507" i="1"/>
  <c r="E7507" i="1"/>
  <c r="A7508" i="1"/>
  <c r="B7508" i="1"/>
  <c r="C7508" i="1"/>
  <c r="D7508" i="1"/>
  <c r="E7508" i="1"/>
  <c r="A7509" i="1"/>
  <c r="B7509" i="1"/>
  <c r="C7509" i="1"/>
  <c r="D7509" i="1"/>
  <c r="E7509" i="1"/>
  <c r="A7510" i="1"/>
  <c r="B7510" i="1"/>
  <c r="C7510" i="1"/>
  <c r="D7510" i="1"/>
  <c r="E7510" i="1"/>
  <c r="A7511" i="1"/>
  <c r="B7511" i="1"/>
  <c r="C7511" i="1"/>
  <c r="D7511" i="1"/>
  <c r="E7511" i="1"/>
  <c r="A7512" i="1"/>
  <c r="B7512" i="1"/>
  <c r="C7512" i="1"/>
  <c r="D7512" i="1"/>
  <c r="E7512" i="1"/>
  <c r="A7513" i="1"/>
  <c r="B7513" i="1"/>
  <c r="C7513" i="1"/>
  <c r="D7513" i="1"/>
  <c r="E7513" i="1"/>
  <c r="A7514" i="1"/>
  <c r="B7514" i="1"/>
  <c r="C7514" i="1"/>
  <c r="D7514" i="1"/>
  <c r="E7514" i="1"/>
  <c r="A7515" i="1"/>
  <c r="B7515" i="1"/>
  <c r="C7515" i="1"/>
  <c r="D7515" i="1"/>
  <c r="E7515" i="1"/>
  <c r="A7516" i="1"/>
  <c r="B7516" i="1"/>
  <c r="C7516" i="1"/>
  <c r="D7516" i="1"/>
  <c r="E7516" i="1"/>
  <c r="A7517" i="1"/>
  <c r="B7517" i="1"/>
  <c r="C7517" i="1"/>
  <c r="D7517" i="1"/>
  <c r="E7517" i="1"/>
  <c r="A7518" i="1"/>
  <c r="B7518" i="1"/>
  <c r="C7518" i="1"/>
  <c r="D7518" i="1"/>
  <c r="E7518" i="1"/>
  <c r="A7519" i="1"/>
  <c r="B7519" i="1"/>
  <c r="C7519" i="1"/>
  <c r="D7519" i="1"/>
  <c r="E7519" i="1"/>
  <c r="A7520" i="1"/>
  <c r="B7520" i="1"/>
  <c r="C7520" i="1"/>
  <c r="D7520" i="1"/>
  <c r="E7520" i="1"/>
  <c r="A7521" i="1"/>
  <c r="B7521" i="1"/>
  <c r="C7521" i="1"/>
  <c r="D7521" i="1"/>
  <c r="E7521" i="1"/>
  <c r="A7522" i="1"/>
  <c r="B7522" i="1"/>
  <c r="C7522" i="1"/>
  <c r="D7522" i="1"/>
  <c r="E7522" i="1"/>
  <c r="A7523" i="1"/>
  <c r="B7523" i="1"/>
  <c r="C7523" i="1"/>
  <c r="D7523" i="1"/>
  <c r="E7523" i="1"/>
  <c r="A7524" i="1"/>
  <c r="B7524" i="1"/>
  <c r="C7524" i="1"/>
  <c r="D7524" i="1"/>
  <c r="E7524" i="1"/>
  <c r="A7525" i="1"/>
  <c r="B7525" i="1"/>
  <c r="C7525" i="1"/>
  <c r="D7525" i="1"/>
  <c r="E7525" i="1"/>
  <c r="A7526" i="1"/>
  <c r="B7526" i="1"/>
  <c r="C7526" i="1"/>
  <c r="D7526" i="1"/>
  <c r="E7526" i="1"/>
  <c r="A7527" i="1"/>
  <c r="B7527" i="1"/>
  <c r="C7527" i="1"/>
  <c r="D7527" i="1"/>
  <c r="E7527" i="1"/>
  <c r="A7528" i="1"/>
  <c r="B7528" i="1"/>
  <c r="C7528" i="1"/>
  <c r="D7528" i="1"/>
  <c r="E7528" i="1"/>
  <c r="A7529" i="1"/>
  <c r="B7529" i="1"/>
  <c r="C7529" i="1"/>
  <c r="D7529" i="1"/>
  <c r="E7529" i="1"/>
  <c r="A7530" i="1"/>
  <c r="B7530" i="1"/>
  <c r="C7530" i="1"/>
  <c r="D7530" i="1"/>
  <c r="E7530" i="1"/>
  <c r="A7531" i="1"/>
  <c r="B7531" i="1"/>
  <c r="C7531" i="1"/>
  <c r="D7531" i="1"/>
  <c r="E7531" i="1"/>
  <c r="A7532" i="1"/>
  <c r="B7532" i="1"/>
  <c r="C7532" i="1"/>
  <c r="D7532" i="1"/>
  <c r="E7532" i="1"/>
  <c r="A7533" i="1"/>
  <c r="B7533" i="1"/>
  <c r="C7533" i="1"/>
  <c r="D7533" i="1"/>
  <c r="E7533" i="1"/>
  <c r="A7534" i="1"/>
  <c r="B7534" i="1"/>
  <c r="C7534" i="1"/>
  <c r="D7534" i="1"/>
  <c r="E7534" i="1"/>
  <c r="A7535" i="1"/>
  <c r="B7535" i="1"/>
  <c r="C7535" i="1"/>
  <c r="D7535" i="1"/>
  <c r="E7535" i="1"/>
  <c r="A7536" i="1"/>
  <c r="B7536" i="1"/>
  <c r="C7536" i="1"/>
  <c r="D7536" i="1"/>
  <c r="E7536" i="1"/>
  <c r="A7537" i="1"/>
  <c r="B7537" i="1"/>
  <c r="C7537" i="1"/>
  <c r="D7537" i="1"/>
  <c r="E7537" i="1"/>
  <c r="A7538" i="1"/>
  <c r="B7538" i="1"/>
  <c r="C7538" i="1"/>
  <c r="D7538" i="1"/>
  <c r="E7538" i="1"/>
  <c r="A7539" i="1"/>
  <c r="B7539" i="1"/>
  <c r="C7539" i="1"/>
  <c r="D7539" i="1"/>
  <c r="E7539" i="1"/>
  <c r="A7540" i="1"/>
  <c r="B7540" i="1"/>
  <c r="C7540" i="1"/>
  <c r="D7540" i="1"/>
  <c r="E7540" i="1"/>
  <c r="A7541" i="1"/>
  <c r="B7541" i="1"/>
  <c r="C7541" i="1"/>
  <c r="D7541" i="1"/>
  <c r="E7541" i="1"/>
  <c r="A7542" i="1"/>
  <c r="B7542" i="1"/>
  <c r="C7542" i="1"/>
  <c r="D7542" i="1"/>
  <c r="E7542" i="1"/>
  <c r="A7543" i="1"/>
  <c r="B7543" i="1"/>
  <c r="C7543" i="1"/>
  <c r="D7543" i="1"/>
  <c r="E7543" i="1"/>
  <c r="A7544" i="1"/>
  <c r="B7544" i="1"/>
  <c r="C7544" i="1"/>
  <c r="D7544" i="1"/>
  <c r="E7544" i="1"/>
  <c r="A7545" i="1"/>
  <c r="B7545" i="1"/>
  <c r="C7545" i="1"/>
  <c r="D7545" i="1"/>
  <c r="E7545" i="1"/>
  <c r="A7546" i="1"/>
  <c r="B7546" i="1"/>
  <c r="C7546" i="1"/>
  <c r="D7546" i="1"/>
  <c r="E7546" i="1"/>
  <c r="A7547" i="1"/>
  <c r="B7547" i="1"/>
  <c r="C7547" i="1"/>
  <c r="D7547" i="1"/>
  <c r="E7547" i="1"/>
  <c r="A7548" i="1"/>
  <c r="B7548" i="1"/>
  <c r="C7548" i="1"/>
  <c r="D7548" i="1"/>
  <c r="E7548" i="1"/>
  <c r="A7549" i="1"/>
  <c r="B7549" i="1"/>
  <c r="C7549" i="1"/>
  <c r="D7549" i="1"/>
  <c r="E7549" i="1"/>
  <c r="A7550" i="1"/>
  <c r="B7550" i="1"/>
  <c r="C7550" i="1"/>
  <c r="D7550" i="1"/>
  <c r="E7550" i="1"/>
  <c r="A7551" i="1"/>
  <c r="B7551" i="1"/>
  <c r="C7551" i="1"/>
  <c r="D7551" i="1"/>
  <c r="E7551" i="1"/>
  <c r="A7552" i="1"/>
  <c r="B7552" i="1"/>
  <c r="C7552" i="1"/>
  <c r="D7552" i="1"/>
  <c r="E7552" i="1"/>
  <c r="A7553" i="1"/>
  <c r="B7553" i="1"/>
  <c r="C7553" i="1"/>
  <c r="D7553" i="1"/>
  <c r="E7553" i="1"/>
  <c r="A7554" i="1"/>
  <c r="B7554" i="1"/>
  <c r="C7554" i="1"/>
  <c r="D7554" i="1"/>
  <c r="E7554" i="1"/>
  <c r="A7555" i="1"/>
  <c r="B7555" i="1"/>
  <c r="C7555" i="1"/>
  <c r="D7555" i="1"/>
  <c r="E7555" i="1"/>
  <c r="A7556" i="1"/>
  <c r="B7556" i="1"/>
  <c r="C7556" i="1"/>
  <c r="D7556" i="1"/>
  <c r="E7556" i="1"/>
  <c r="A7557" i="1"/>
  <c r="B7557" i="1"/>
  <c r="C7557" i="1"/>
  <c r="D7557" i="1"/>
  <c r="E7557" i="1"/>
  <c r="A7558" i="1"/>
  <c r="B7558" i="1"/>
  <c r="C7558" i="1"/>
  <c r="D7558" i="1"/>
  <c r="E7558" i="1"/>
  <c r="A7559" i="1"/>
  <c r="B7559" i="1"/>
  <c r="C7559" i="1"/>
  <c r="D7559" i="1"/>
  <c r="E7559" i="1"/>
  <c r="A7560" i="1"/>
  <c r="B7560" i="1"/>
  <c r="C7560" i="1"/>
  <c r="D7560" i="1"/>
  <c r="E7560" i="1"/>
  <c r="A7561" i="1"/>
  <c r="B7561" i="1"/>
  <c r="C7561" i="1"/>
  <c r="D7561" i="1"/>
  <c r="E7561" i="1"/>
  <c r="A7562" i="1"/>
  <c r="B7562" i="1"/>
  <c r="C7562" i="1"/>
  <c r="D7562" i="1"/>
  <c r="E7562" i="1"/>
  <c r="A7563" i="1"/>
  <c r="B7563" i="1"/>
  <c r="C7563" i="1"/>
  <c r="D7563" i="1"/>
  <c r="E7563" i="1"/>
  <c r="A7564" i="1"/>
  <c r="B7564" i="1"/>
  <c r="C7564" i="1"/>
  <c r="D7564" i="1"/>
  <c r="E7564" i="1"/>
  <c r="A7565" i="1"/>
  <c r="B7565" i="1"/>
  <c r="C7565" i="1"/>
  <c r="D7565" i="1"/>
  <c r="E7565" i="1"/>
  <c r="A7566" i="1"/>
  <c r="B7566" i="1"/>
  <c r="C7566" i="1"/>
  <c r="D7566" i="1"/>
  <c r="E7566" i="1"/>
  <c r="A7567" i="1"/>
  <c r="B7567" i="1"/>
  <c r="C7567" i="1"/>
  <c r="D7567" i="1"/>
  <c r="E7567" i="1"/>
  <c r="A7568" i="1"/>
  <c r="B7568" i="1"/>
  <c r="C7568" i="1"/>
  <c r="D7568" i="1"/>
  <c r="E7568" i="1"/>
  <c r="A7569" i="1"/>
  <c r="B7569" i="1"/>
  <c r="C7569" i="1"/>
  <c r="D7569" i="1"/>
  <c r="E7569" i="1"/>
  <c r="A7570" i="1"/>
  <c r="B7570" i="1"/>
  <c r="C7570" i="1"/>
  <c r="D7570" i="1"/>
  <c r="E7570" i="1"/>
  <c r="A7571" i="1"/>
  <c r="B7571" i="1"/>
  <c r="C7571" i="1"/>
  <c r="D7571" i="1"/>
  <c r="E7571" i="1"/>
  <c r="A7572" i="1"/>
  <c r="B7572" i="1"/>
  <c r="C7572" i="1"/>
  <c r="D7572" i="1"/>
  <c r="E7572" i="1"/>
  <c r="A7573" i="1"/>
  <c r="B7573" i="1"/>
  <c r="C7573" i="1"/>
  <c r="D7573" i="1"/>
  <c r="E7573" i="1"/>
  <c r="A7574" i="1"/>
  <c r="B7574" i="1"/>
  <c r="C7574" i="1"/>
  <c r="D7574" i="1"/>
  <c r="E7574" i="1"/>
  <c r="A7575" i="1"/>
  <c r="B7575" i="1"/>
  <c r="C7575" i="1"/>
  <c r="D7575" i="1"/>
  <c r="E7575" i="1"/>
  <c r="A7576" i="1"/>
  <c r="B7576" i="1"/>
  <c r="C7576" i="1"/>
  <c r="D7576" i="1"/>
  <c r="E7576" i="1"/>
  <c r="A7577" i="1"/>
  <c r="B7577" i="1"/>
  <c r="C7577" i="1"/>
  <c r="D7577" i="1"/>
  <c r="E7577" i="1"/>
  <c r="A7578" i="1"/>
  <c r="B7578" i="1"/>
  <c r="C7578" i="1"/>
  <c r="D7578" i="1"/>
  <c r="E7578" i="1"/>
  <c r="A7579" i="1"/>
  <c r="B7579" i="1"/>
  <c r="C7579" i="1"/>
  <c r="D7579" i="1"/>
  <c r="E7579" i="1"/>
  <c r="A7580" i="1"/>
  <c r="B7580" i="1"/>
  <c r="C7580" i="1"/>
  <c r="D7580" i="1"/>
  <c r="E7580" i="1"/>
  <c r="A7581" i="1"/>
  <c r="B7581" i="1"/>
  <c r="C7581" i="1"/>
  <c r="D7581" i="1"/>
  <c r="E7581" i="1"/>
  <c r="A7582" i="1"/>
  <c r="B7582" i="1"/>
  <c r="C7582" i="1"/>
  <c r="D7582" i="1"/>
  <c r="E7582" i="1"/>
  <c r="A7583" i="1"/>
  <c r="B7583" i="1"/>
  <c r="C7583" i="1"/>
  <c r="D7583" i="1"/>
  <c r="E7583" i="1"/>
  <c r="A7584" i="1"/>
  <c r="B7584" i="1"/>
  <c r="C7584" i="1"/>
  <c r="D7584" i="1"/>
  <c r="E7584" i="1"/>
  <c r="A7585" i="1"/>
  <c r="B7585" i="1"/>
  <c r="C7585" i="1"/>
  <c r="D7585" i="1"/>
  <c r="E7585" i="1"/>
  <c r="A7586" i="1"/>
  <c r="B7586" i="1"/>
  <c r="C7586" i="1"/>
  <c r="D7586" i="1"/>
  <c r="E7586" i="1"/>
  <c r="A7587" i="1"/>
  <c r="B7587" i="1"/>
  <c r="C7587" i="1"/>
  <c r="D7587" i="1"/>
  <c r="E7587" i="1"/>
  <c r="A7588" i="1"/>
  <c r="B7588" i="1"/>
  <c r="C7588" i="1"/>
  <c r="D7588" i="1"/>
  <c r="E7588" i="1"/>
  <c r="A7589" i="1"/>
  <c r="B7589" i="1"/>
  <c r="C7589" i="1"/>
  <c r="D7589" i="1"/>
  <c r="E7589" i="1"/>
  <c r="A7590" i="1"/>
  <c r="B7590" i="1"/>
  <c r="C7590" i="1"/>
  <c r="D7590" i="1"/>
  <c r="E7590" i="1"/>
  <c r="A7591" i="1"/>
  <c r="B7591" i="1"/>
  <c r="C7591" i="1"/>
  <c r="D7591" i="1"/>
  <c r="E7591" i="1"/>
  <c r="A7592" i="1"/>
  <c r="B7592" i="1"/>
  <c r="C7592" i="1"/>
  <c r="D7592" i="1"/>
  <c r="E7592" i="1"/>
  <c r="A7593" i="1"/>
  <c r="B7593" i="1"/>
  <c r="C7593" i="1"/>
  <c r="D7593" i="1"/>
  <c r="E7593" i="1"/>
  <c r="A7594" i="1"/>
  <c r="B7594" i="1"/>
  <c r="C7594" i="1"/>
  <c r="D7594" i="1"/>
  <c r="E7594" i="1"/>
  <c r="A7595" i="1"/>
  <c r="B7595" i="1"/>
  <c r="C7595" i="1"/>
  <c r="D7595" i="1"/>
  <c r="E7595" i="1"/>
  <c r="A7596" i="1"/>
  <c r="B7596" i="1"/>
  <c r="C7596" i="1"/>
  <c r="D7596" i="1"/>
  <c r="E7596" i="1"/>
  <c r="A7597" i="1"/>
  <c r="B7597" i="1"/>
  <c r="C7597" i="1"/>
  <c r="D7597" i="1"/>
  <c r="E7597" i="1"/>
  <c r="A7598" i="1"/>
  <c r="B7598" i="1"/>
  <c r="C7598" i="1"/>
  <c r="D7598" i="1"/>
  <c r="E7598" i="1"/>
  <c r="A7599" i="1"/>
  <c r="B7599" i="1"/>
  <c r="C7599" i="1"/>
  <c r="D7599" i="1"/>
  <c r="E7599" i="1"/>
  <c r="A7600" i="1"/>
  <c r="B7600" i="1"/>
  <c r="C7600" i="1"/>
  <c r="D7600" i="1"/>
  <c r="E7600" i="1"/>
  <c r="A7601" i="1"/>
  <c r="B7601" i="1"/>
  <c r="C7601" i="1"/>
  <c r="D7601" i="1"/>
  <c r="E7601" i="1"/>
  <c r="A7602" i="1"/>
  <c r="B7602" i="1"/>
  <c r="C7602" i="1"/>
  <c r="D7602" i="1"/>
  <c r="E7602" i="1"/>
  <c r="A7603" i="1"/>
  <c r="B7603" i="1"/>
  <c r="C7603" i="1"/>
  <c r="D7603" i="1"/>
  <c r="E7603" i="1"/>
  <c r="A7604" i="1"/>
  <c r="B7604" i="1"/>
  <c r="C7604" i="1"/>
  <c r="D7604" i="1"/>
  <c r="E7604" i="1"/>
  <c r="A7605" i="1"/>
  <c r="B7605" i="1"/>
  <c r="C7605" i="1"/>
  <c r="D7605" i="1"/>
  <c r="E7605" i="1"/>
  <c r="A7606" i="1"/>
  <c r="B7606" i="1"/>
  <c r="C7606" i="1"/>
  <c r="D7606" i="1"/>
  <c r="E7606" i="1"/>
  <c r="A7607" i="1"/>
  <c r="B7607" i="1"/>
  <c r="C7607" i="1"/>
  <c r="D7607" i="1"/>
  <c r="E7607" i="1"/>
  <c r="A7608" i="1"/>
  <c r="B7608" i="1"/>
  <c r="C7608" i="1"/>
  <c r="D7608" i="1"/>
  <c r="E7608" i="1"/>
  <c r="A7609" i="1"/>
  <c r="B7609" i="1"/>
  <c r="C7609" i="1"/>
  <c r="D7609" i="1"/>
  <c r="E7609" i="1"/>
  <c r="A7610" i="1"/>
  <c r="B7610" i="1"/>
  <c r="C7610" i="1"/>
  <c r="D7610" i="1"/>
  <c r="E7610" i="1"/>
  <c r="A7611" i="1"/>
  <c r="B7611" i="1"/>
  <c r="C7611" i="1"/>
  <c r="D7611" i="1"/>
  <c r="E7611" i="1"/>
  <c r="A7612" i="1"/>
  <c r="B7612" i="1"/>
  <c r="C7612" i="1"/>
  <c r="D7612" i="1"/>
  <c r="E7612" i="1"/>
  <c r="A7613" i="1"/>
  <c r="B7613" i="1"/>
  <c r="C7613" i="1"/>
  <c r="D7613" i="1"/>
  <c r="E7613" i="1"/>
  <c r="A7614" i="1"/>
  <c r="B7614" i="1"/>
  <c r="C7614" i="1"/>
  <c r="D7614" i="1"/>
  <c r="E7614" i="1"/>
  <c r="A7615" i="1"/>
  <c r="B7615" i="1"/>
  <c r="C7615" i="1"/>
  <c r="D7615" i="1"/>
  <c r="E7615" i="1"/>
  <c r="A7616" i="1"/>
  <c r="B7616" i="1"/>
  <c r="C7616" i="1"/>
  <c r="D7616" i="1"/>
  <c r="E7616" i="1"/>
  <c r="A7617" i="1"/>
  <c r="B7617" i="1"/>
  <c r="C7617" i="1"/>
  <c r="D7617" i="1"/>
  <c r="E7617" i="1"/>
  <c r="A7618" i="1"/>
  <c r="B7618" i="1"/>
  <c r="C7618" i="1"/>
  <c r="D7618" i="1"/>
  <c r="E7618" i="1"/>
  <c r="A7619" i="1"/>
  <c r="B7619" i="1"/>
  <c r="C7619" i="1"/>
  <c r="D7619" i="1"/>
  <c r="E7619" i="1"/>
  <c r="A7620" i="1"/>
  <c r="B7620" i="1"/>
  <c r="C7620" i="1"/>
  <c r="D7620" i="1"/>
  <c r="E7620" i="1"/>
  <c r="A7621" i="1"/>
  <c r="B7621" i="1"/>
  <c r="C7621" i="1"/>
  <c r="D7621" i="1"/>
  <c r="E7621" i="1"/>
  <c r="A7622" i="1"/>
  <c r="B7622" i="1"/>
  <c r="C7622" i="1"/>
  <c r="D7622" i="1"/>
  <c r="E7622" i="1"/>
  <c r="A7623" i="1"/>
  <c r="B7623" i="1"/>
  <c r="C7623" i="1"/>
  <c r="D7623" i="1"/>
  <c r="E7623" i="1"/>
  <c r="A7624" i="1"/>
  <c r="B7624" i="1"/>
  <c r="C7624" i="1"/>
  <c r="D7624" i="1"/>
  <c r="E7624" i="1"/>
  <c r="A7625" i="1"/>
  <c r="B7625" i="1"/>
  <c r="C7625" i="1"/>
  <c r="D7625" i="1"/>
  <c r="E7625" i="1"/>
  <c r="A7626" i="1"/>
  <c r="B7626" i="1"/>
  <c r="C7626" i="1"/>
  <c r="D7626" i="1"/>
  <c r="E7626" i="1"/>
  <c r="A7627" i="1"/>
  <c r="B7627" i="1"/>
  <c r="C7627" i="1"/>
  <c r="D7627" i="1"/>
  <c r="E7627" i="1"/>
  <c r="A7628" i="1"/>
  <c r="B7628" i="1"/>
  <c r="C7628" i="1"/>
  <c r="D7628" i="1"/>
  <c r="E7628" i="1"/>
  <c r="A7629" i="1"/>
  <c r="B7629" i="1"/>
  <c r="C7629" i="1"/>
  <c r="D7629" i="1"/>
  <c r="E7629" i="1"/>
  <c r="A7630" i="1"/>
  <c r="B7630" i="1"/>
  <c r="C7630" i="1"/>
  <c r="D7630" i="1"/>
  <c r="E7630" i="1"/>
  <c r="A7631" i="1"/>
  <c r="B7631" i="1"/>
  <c r="C7631" i="1"/>
  <c r="D7631" i="1"/>
  <c r="E7631" i="1"/>
  <c r="A7632" i="1"/>
  <c r="B7632" i="1"/>
  <c r="C7632" i="1"/>
  <c r="D7632" i="1"/>
  <c r="E7632" i="1"/>
  <c r="A7633" i="1"/>
  <c r="B7633" i="1"/>
  <c r="C7633" i="1"/>
  <c r="D7633" i="1"/>
  <c r="E7633" i="1"/>
  <c r="A7634" i="1"/>
  <c r="B7634" i="1"/>
  <c r="C7634" i="1"/>
  <c r="D7634" i="1"/>
  <c r="E7634" i="1"/>
  <c r="A7635" i="1"/>
  <c r="B7635" i="1"/>
  <c r="C7635" i="1"/>
  <c r="D7635" i="1"/>
  <c r="E7635" i="1"/>
  <c r="A7636" i="1"/>
  <c r="B7636" i="1"/>
  <c r="C7636" i="1"/>
  <c r="D7636" i="1"/>
  <c r="E7636" i="1"/>
  <c r="A7637" i="1"/>
  <c r="B7637" i="1"/>
  <c r="C7637" i="1"/>
  <c r="D7637" i="1"/>
  <c r="E7637" i="1"/>
  <c r="A7638" i="1"/>
  <c r="B7638" i="1"/>
  <c r="C7638" i="1"/>
  <c r="D7638" i="1"/>
  <c r="E7638" i="1"/>
  <c r="A7639" i="1"/>
  <c r="B7639" i="1"/>
  <c r="C7639" i="1"/>
  <c r="D7639" i="1"/>
  <c r="E7639" i="1"/>
  <c r="A7640" i="1"/>
  <c r="B7640" i="1"/>
  <c r="C7640" i="1"/>
  <c r="D7640" i="1"/>
  <c r="E7640" i="1"/>
  <c r="A7641" i="1"/>
  <c r="B7641" i="1"/>
  <c r="C7641" i="1"/>
  <c r="D7641" i="1"/>
  <c r="E7641" i="1"/>
  <c r="A7642" i="1"/>
  <c r="B7642" i="1"/>
  <c r="C7642" i="1"/>
  <c r="D7642" i="1"/>
  <c r="E7642" i="1"/>
  <c r="A7643" i="1"/>
  <c r="B7643" i="1"/>
  <c r="C7643" i="1"/>
  <c r="D7643" i="1"/>
  <c r="E7643" i="1"/>
  <c r="A7644" i="1"/>
  <c r="B7644" i="1"/>
  <c r="C7644" i="1"/>
  <c r="D7644" i="1"/>
  <c r="E7644" i="1"/>
  <c r="A7645" i="1"/>
  <c r="B7645" i="1"/>
  <c r="C7645" i="1"/>
  <c r="D7645" i="1"/>
  <c r="E7645" i="1"/>
  <c r="A7646" i="1"/>
  <c r="B7646" i="1"/>
  <c r="C7646" i="1"/>
  <c r="D7646" i="1"/>
  <c r="E7646" i="1"/>
  <c r="A7647" i="1"/>
  <c r="B7647" i="1"/>
  <c r="C7647" i="1"/>
  <c r="D7647" i="1"/>
  <c r="E7647" i="1"/>
  <c r="A7648" i="1"/>
  <c r="B7648" i="1"/>
  <c r="C7648" i="1"/>
  <c r="D7648" i="1"/>
  <c r="E7648" i="1"/>
  <c r="A7649" i="1"/>
  <c r="B7649" i="1"/>
  <c r="C7649" i="1"/>
  <c r="D7649" i="1"/>
  <c r="E7649" i="1"/>
  <c r="A7650" i="1"/>
  <c r="B7650" i="1"/>
  <c r="C7650" i="1"/>
  <c r="D7650" i="1"/>
  <c r="E7650" i="1"/>
  <c r="A7651" i="1"/>
  <c r="B7651" i="1"/>
  <c r="C7651" i="1"/>
  <c r="D7651" i="1"/>
  <c r="E7651" i="1"/>
  <c r="A7652" i="1"/>
  <c r="B7652" i="1"/>
  <c r="C7652" i="1"/>
  <c r="D7652" i="1"/>
  <c r="E7652" i="1"/>
  <c r="A7653" i="1"/>
  <c r="B7653" i="1"/>
  <c r="C7653" i="1"/>
  <c r="D7653" i="1"/>
  <c r="E7653" i="1"/>
  <c r="A7654" i="1"/>
  <c r="B7654" i="1"/>
  <c r="C7654" i="1"/>
  <c r="D7654" i="1"/>
  <c r="E7654" i="1"/>
  <c r="A7655" i="1"/>
  <c r="B7655" i="1"/>
  <c r="C7655" i="1"/>
  <c r="D7655" i="1"/>
  <c r="E7655" i="1"/>
  <c r="A7656" i="1"/>
  <c r="B7656" i="1"/>
  <c r="C7656" i="1"/>
  <c r="D7656" i="1"/>
  <c r="E7656" i="1"/>
  <c r="A7657" i="1"/>
  <c r="B7657" i="1"/>
  <c r="C7657" i="1"/>
  <c r="D7657" i="1"/>
  <c r="E7657" i="1"/>
  <c r="A7658" i="1"/>
  <c r="B7658" i="1"/>
  <c r="C7658" i="1"/>
  <c r="D7658" i="1"/>
  <c r="E7658" i="1"/>
  <c r="A7659" i="1"/>
  <c r="B7659" i="1"/>
  <c r="C7659" i="1"/>
  <c r="D7659" i="1"/>
  <c r="E7659" i="1"/>
  <c r="A7660" i="1"/>
  <c r="B7660" i="1"/>
  <c r="C7660" i="1"/>
  <c r="D7660" i="1"/>
  <c r="E7660" i="1"/>
  <c r="A7661" i="1"/>
  <c r="B7661" i="1"/>
  <c r="C7661" i="1"/>
  <c r="D7661" i="1"/>
  <c r="E7661" i="1"/>
  <c r="A7662" i="1"/>
  <c r="B7662" i="1"/>
  <c r="C7662" i="1"/>
  <c r="D7662" i="1"/>
  <c r="E7662" i="1"/>
  <c r="A7663" i="1"/>
  <c r="B7663" i="1"/>
  <c r="C7663" i="1"/>
  <c r="D7663" i="1"/>
  <c r="E7663" i="1"/>
  <c r="A7664" i="1"/>
  <c r="B7664" i="1"/>
  <c r="C7664" i="1"/>
  <c r="D7664" i="1"/>
  <c r="E7664" i="1"/>
  <c r="A7665" i="1"/>
  <c r="B7665" i="1"/>
  <c r="C7665" i="1"/>
  <c r="D7665" i="1"/>
  <c r="E7665" i="1"/>
  <c r="A7666" i="1"/>
  <c r="B7666" i="1"/>
  <c r="C7666" i="1"/>
  <c r="D7666" i="1"/>
  <c r="E7666" i="1"/>
  <c r="A7667" i="1"/>
  <c r="B7667" i="1"/>
  <c r="C7667" i="1"/>
  <c r="D7667" i="1"/>
  <c r="E7667" i="1"/>
  <c r="A7668" i="1"/>
  <c r="B7668" i="1"/>
  <c r="C7668" i="1"/>
  <c r="D7668" i="1"/>
  <c r="E7668" i="1"/>
  <c r="A7669" i="1"/>
  <c r="B7669" i="1"/>
  <c r="C7669" i="1"/>
  <c r="D7669" i="1"/>
  <c r="E7669" i="1"/>
  <c r="A7670" i="1"/>
  <c r="B7670" i="1"/>
  <c r="C7670" i="1"/>
  <c r="D7670" i="1"/>
  <c r="E7670" i="1"/>
  <c r="A7671" i="1"/>
  <c r="B7671" i="1"/>
  <c r="C7671" i="1"/>
  <c r="D7671" i="1"/>
  <c r="E7671" i="1"/>
  <c r="A7672" i="1"/>
  <c r="B7672" i="1"/>
  <c r="C7672" i="1"/>
  <c r="D7672" i="1"/>
  <c r="E7672" i="1"/>
  <c r="A7673" i="1"/>
  <c r="B7673" i="1"/>
  <c r="C7673" i="1"/>
  <c r="D7673" i="1"/>
  <c r="E7673" i="1"/>
  <c r="A7674" i="1"/>
  <c r="B7674" i="1"/>
  <c r="C7674" i="1"/>
  <c r="D7674" i="1"/>
  <c r="E7674" i="1"/>
  <c r="A7675" i="1"/>
  <c r="B7675" i="1"/>
  <c r="C7675" i="1"/>
  <c r="D7675" i="1"/>
  <c r="E7675" i="1"/>
  <c r="A7676" i="1"/>
  <c r="B7676" i="1"/>
  <c r="C7676" i="1"/>
  <c r="D7676" i="1"/>
  <c r="E7676" i="1"/>
  <c r="A7677" i="1"/>
  <c r="B7677" i="1"/>
  <c r="C7677" i="1"/>
  <c r="D7677" i="1"/>
  <c r="E7677" i="1"/>
  <c r="A7678" i="1"/>
  <c r="B7678" i="1"/>
  <c r="C7678" i="1"/>
  <c r="D7678" i="1"/>
  <c r="E7678" i="1"/>
  <c r="A7679" i="1"/>
  <c r="B7679" i="1"/>
  <c r="C7679" i="1"/>
  <c r="D7679" i="1"/>
  <c r="E7679" i="1"/>
  <c r="A7680" i="1"/>
  <c r="B7680" i="1"/>
  <c r="C7680" i="1"/>
  <c r="D7680" i="1"/>
  <c r="E7680" i="1"/>
  <c r="A7681" i="1"/>
  <c r="B7681" i="1"/>
  <c r="C7681" i="1"/>
  <c r="D7681" i="1"/>
  <c r="E7681" i="1"/>
  <c r="A7682" i="1"/>
  <c r="B7682" i="1"/>
  <c r="C7682" i="1"/>
  <c r="D7682" i="1"/>
  <c r="E7682" i="1"/>
  <c r="A7683" i="1"/>
  <c r="B7683" i="1"/>
  <c r="C7683" i="1"/>
  <c r="D7683" i="1"/>
  <c r="E7683" i="1"/>
  <c r="A7684" i="1"/>
  <c r="B7684" i="1"/>
  <c r="C7684" i="1"/>
  <c r="D7684" i="1"/>
  <c r="E7684" i="1"/>
  <c r="A7685" i="1"/>
  <c r="B7685" i="1"/>
  <c r="C7685" i="1"/>
  <c r="D7685" i="1"/>
  <c r="E7685" i="1"/>
  <c r="A7686" i="1"/>
  <c r="B7686" i="1"/>
  <c r="C7686" i="1"/>
  <c r="D7686" i="1"/>
  <c r="E7686" i="1"/>
  <c r="A7687" i="1"/>
  <c r="B7687" i="1"/>
  <c r="C7687" i="1"/>
  <c r="D7687" i="1"/>
  <c r="E7687" i="1"/>
  <c r="A7688" i="1"/>
  <c r="B7688" i="1"/>
  <c r="C7688" i="1"/>
  <c r="D7688" i="1"/>
  <c r="E7688" i="1"/>
  <c r="A7689" i="1"/>
  <c r="B7689" i="1"/>
  <c r="C7689" i="1"/>
  <c r="D7689" i="1"/>
  <c r="E7689" i="1"/>
  <c r="A7690" i="1"/>
  <c r="B7690" i="1"/>
  <c r="C7690" i="1"/>
  <c r="D7690" i="1"/>
  <c r="E7690" i="1"/>
  <c r="A7691" i="1"/>
  <c r="B7691" i="1"/>
  <c r="C7691" i="1"/>
  <c r="D7691" i="1"/>
  <c r="E7691" i="1"/>
  <c r="A7692" i="1"/>
  <c r="B7692" i="1"/>
  <c r="C7692" i="1"/>
  <c r="D7692" i="1"/>
  <c r="E7692" i="1"/>
  <c r="A7693" i="1"/>
  <c r="B7693" i="1"/>
  <c r="C7693" i="1"/>
  <c r="D7693" i="1"/>
  <c r="E7693" i="1"/>
  <c r="A7694" i="1"/>
  <c r="B7694" i="1"/>
  <c r="C7694" i="1"/>
  <c r="D7694" i="1"/>
  <c r="E7694" i="1"/>
  <c r="A7695" i="1"/>
  <c r="B7695" i="1"/>
  <c r="C7695" i="1"/>
  <c r="D7695" i="1"/>
  <c r="E7695" i="1"/>
  <c r="A7696" i="1"/>
  <c r="B7696" i="1"/>
  <c r="C7696" i="1"/>
  <c r="D7696" i="1"/>
  <c r="E7696" i="1"/>
  <c r="A7697" i="1"/>
  <c r="B7697" i="1"/>
  <c r="C7697" i="1"/>
  <c r="D7697" i="1"/>
  <c r="E7697" i="1"/>
  <c r="A7698" i="1"/>
  <c r="B7698" i="1"/>
  <c r="C7698" i="1"/>
  <c r="D7698" i="1"/>
  <c r="E7698" i="1"/>
  <c r="A7699" i="1"/>
  <c r="B7699" i="1"/>
  <c r="C7699" i="1"/>
  <c r="D7699" i="1"/>
  <c r="E7699" i="1"/>
  <c r="A7700" i="1"/>
  <c r="B7700" i="1"/>
  <c r="C7700" i="1"/>
  <c r="D7700" i="1"/>
  <c r="E7700" i="1"/>
  <c r="A7701" i="1"/>
  <c r="B7701" i="1"/>
  <c r="C7701" i="1"/>
  <c r="D7701" i="1"/>
  <c r="E7701" i="1"/>
  <c r="A7702" i="1"/>
  <c r="B7702" i="1"/>
  <c r="C7702" i="1"/>
  <c r="D7702" i="1"/>
  <c r="E7702" i="1"/>
  <c r="A7703" i="1"/>
  <c r="B7703" i="1"/>
  <c r="C7703" i="1"/>
  <c r="D7703" i="1"/>
  <c r="E7703" i="1"/>
  <c r="A7704" i="1"/>
  <c r="B7704" i="1"/>
  <c r="C7704" i="1"/>
  <c r="D7704" i="1"/>
  <c r="E7704" i="1"/>
  <c r="A7705" i="1"/>
  <c r="B7705" i="1"/>
  <c r="C7705" i="1"/>
  <c r="D7705" i="1"/>
  <c r="E7705" i="1"/>
  <c r="A7706" i="1"/>
  <c r="B7706" i="1"/>
  <c r="C7706" i="1"/>
  <c r="D7706" i="1"/>
  <c r="E7706" i="1"/>
  <c r="A7707" i="1"/>
  <c r="B7707" i="1"/>
  <c r="C7707" i="1"/>
  <c r="D7707" i="1"/>
  <c r="E7707" i="1"/>
  <c r="A7708" i="1"/>
  <c r="B7708" i="1"/>
  <c r="C7708" i="1"/>
  <c r="D7708" i="1"/>
  <c r="E7708" i="1"/>
  <c r="A7709" i="1"/>
  <c r="B7709" i="1"/>
  <c r="C7709" i="1"/>
  <c r="D7709" i="1"/>
  <c r="E7709" i="1"/>
  <c r="A7710" i="1"/>
  <c r="B7710" i="1"/>
  <c r="C7710" i="1"/>
  <c r="D7710" i="1"/>
  <c r="E7710" i="1"/>
  <c r="A7711" i="1"/>
  <c r="B7711" i="1"/>
  <c r="C7711" i="1"/>
  <c r="D7711" i="1"/>
  <c r="E7711" i="1"/>
  <c r="A7712" i="1"/>
  <c r="B7712" i="1"/>
  <c r="C7712" i="1"/>
  <c r="D7712" i="1"/>
  <c r="E7712" i="1"/>
  <c r="A7713" i="1"/>
  <c r="B7713" i="1"/>
  <c r="C7713" i="1"/>
  <c r="D7713" i="1"/>
  <c r="E7713" i="1"/>
  <c r="A7714" i="1"/>
  <c r="B7714" i="1"/>
  <c r="C7714" i="1"/>
  <c r="D7714" i="1"/>
  <c r="E7714" i="1"/>
  <c r="A7715" i="1"/>
  <c r="B7715" i="1"/>
  <c r="C7715" i="1"/>
  <c r="D7715" i="1"/>
  <c r="E7715" i="1"/>
  <c r="A7716" i="1"/>
  <c r="B7716" i="1"/>
  <c r="C7716" i="1"/>
  <c r="D7716" i="1"/>
  <c r="E7716" i="1"/>
  <c r="A7717" i="1"/>
  <c r="B7717" i="1"/>
  <c r="C7717" i="1"/>
  <c r="D7717" i="1"/>
  <c r="E7717" i="1"/>
  <c r="A7718" i="1"/>
  <c r="B7718" i="1"/>
  <c r="C7718" i="1"/>
  <c r="D7718" i="1"/>
  <c r="E7718" i="1"/>
  <c r="A7719" i="1"/>
  <c r="B7719" i="1"/>
  <c r="C7719" i="1"/>
  <c r="D7719" i="1"/>
  <c r="E7719" i="1"/>
  <c r="A7720" i="1"/>
  <c r="B7720" i="1"/>
  <c r="C7720" i="1"/>
  <c r="D7720" i="1"/>
  <c r="E7720" i="1"/>
  <c r="A7721" i="1"/>
  <c r="B7721" i="1"/>
  <c r="C7721" i="1"/>
  <c r="D7721" i="1"/>
  <c r="E7721" i="1"/>
  <c r="A7722" i="1"/>
  <c r="B7722" i="1"/>
  <c r="C7722" i="1"/>
  <c r="D7722" i="1"/>
  <c r="E7722" i="1"/>
  <c r="A7723" i="1"/>
  <c r="B7723" i="1"/>
  <c r="C7723" i="1"/>
  <c r="D7723" i="1"/>
  <c r="E7723" i="1"/>
  <c r="A7724" i="1"/>
  <c r="B7724" i="1"/>
  <c r="C7724" i="1"/>
  <c r="D7724" i="1"/>
  <c r="E7724" i="1"/>
  <c r="A7725" i="1"/>
  <c r="B7725" i="1"/>
  <c r="C7725" i="1"/>
  <c r="D7725" i="1"/>
  <c r="E7725" i="1"/>
  <c r="A7726" i="1"/>
  <c r="B7726" i="1"/>
  <c r="C7726" i="1"/>
  <c r="D7726" i="1"/>
  <c r="E7726" i="1"/>
  <c r="A7727" i="1"/>
  <c r="B7727" i="1"/>
  <c r="C7727" i="1"/>
  <c r="D7727" i="1"/>
  <c r="E7727" i="1"/>
  <c r="A7728" i="1"/>
  <c r="B7728" i="1"/>
  <c r="C7728" i="1"/>
  <c r="D7728" i="1"/>
  <c r="E7728" i="1"/>
  <c r="A7729" i="1"/>
  <c r="B7729" i="1"/>
  <c r="C7729" i="1"/>
  <c r="D7729" i="1"/>
  <c r="E7729" i="1"/>
  <c r="A7730" i="1"/>
  <c r="B7730" i="1"/>
  <c r="C7730" i="1"/>
  <c r="D7730" i="1"/>
  <c r="E7730" i="1"/>
  <c r="A7731" i="1"/>
  <c r="B7731" i="1"/>
  <c r="C7731" i="1"/>
  <c r="D7731" i="1"/>
  <c r="E7731" i="1"/>
  <c r="A7732" i="1"/>
  <c r="B7732" i="1"/>
  <c r="C7732" i="1"/>
  <c r="D7732" i="1"/>
  <c r="E7732" i="1"/>
  <c r="A7733" i="1"/>
  <c r="B7733" i="1"/>
  <c r="C7733" i="1"/>
  <c r="D7733" i="1"/>
  <c r="E7733" i="1"/>
  <c r="A7734" i="1"/>
  <c r="B7734" i="1"/>
  <c r="C7734" i="1"/>
  <c r="D7734" i="1"/>
  <c r="E7734" i="1"/>
  <c r="A7735" i="1"/>
  <c r="B7735" i="1"/>
  <c r="C7735" i="1"/>
  <c r="D7735" i="1"/>
  <c r="E7735" i="1"/>
  <c r="A7736" i="1"/>
  <c r="B7736" i="1"/>
  <c r="C7736" i="1"/>
  <c r="D7736" i="1"/>
  <c r="E7736" i="1"/>
  <c r="A7737" i="1"/>
  <c r="B7737" i="1"/>
  <c r="C7737" i="1"/>
  <c r="D7737" i="1"/>
  <c r="E7737" i="1"/>
  <c r="A7738" i="1"/>
  <c r="B7738" i="1"/>
  <c r="C7738" i="1"/>
  <c r="D7738" i="1"/>
  <c r="E7738" i="1"/>
  <c r="A7739" i="1"/>
  <c r="B7739" i="1"/>
  <c r="C7739" i="1"/>
  <c r="D7739" i="1"/>
  <c r="E7739" i="1"/>
  <c r="A7740" i="1"/>
  <c r="B7740" i="1"/>
  <c r="C7740" i="1"/>
  <c r="D7740" i="1"/>
  <c r="E7740" i="1"/>
  <c r="A7741" i="1"/>
  <c r="B7741" i="1"/>
  <c r="C7741" i="1"/>
  <c r="D7741" i="1"/>
  <c r="E7741" i="1"/>
  <c r="A7742" i="1"/>
  <c r="B7742" i="1"/>
  <c r="C7742" i="1"/>
  <c r="D7742" i="1"/>
  <c r="E7742" i="1"/>
  <c r="A7743" i="1"/>
  <c r="B7743" i="1"/>
  <c r="C7743" i="1"/>
  <c r="D7743" i="1"/>
  <c r="E7743" i="1"/>
  <c r="A7744" i="1"/>
  <c r="B7744" i="1"/>
  <c r="C7744" i="1"/>
  <c r="D7744" i="1"/>
  <c r="E7744" i="1"/>
  <c r="A7745" i="1"/>
  <c r="B7745" i="1"/>
  <c r="C7745" i="1"/>
  <c r="D7745" i="1"/>
  <c r="E7745" i="1"/>
  <c r="A7746" i="1"/>
  <c r="B7746" i="1"/>
  <c r="C7746" i="1"/>
  <c r="D7746" i="1"/>
  <c r="E7746" i="1"/>
  <c r="A7747" i="1"/>
  <c r="B7747" i="1"/>
  <c r="C7747" i="1"/>
  <c r="D7747" i="1"/>
  <c r="E7747" i="1"/>
  <c r="A7748" i="1"/>
  <c r="B7748" i="1"/>
  <c r="C7748" i="1"/>
  <c r="D7748" i="1"/>
  <c r="E7748" i="1"/>
  <c r="A7749" i="1"/>
  <c r="B7749" i="1"/>
  <c r="C7749" i="1"/>
  <c r="D7749" i="1"/>
  <c r="E7749" i="1"/>
  <c r="A7750" i="1"/>
  <c r="B7750" i="1"/>
  <c r="C7750" i="1"/>
  <c r="D7750" i="1"/>
  <c r="E7750" i="1"/>
  <c r="A7751" i="1"/>
  <c r="B7751" i="1"/>
  <c r="C7751" i="1"/>
  <c r="D7751" i="1"/>
  <c r="E7751" i="1"/>
  <c r="A7752" i="1"/>
  <c r="B7752" i="1"/>
  <c r="C7752" i="1"/>
  <c r="D7752" i="1"/>
  <c r="E7752" i="1"/>
  <c r="A7753" i="1"/>
  <c r="B7753" i="1"/>
  <c r="C7753" i="1"/>
  <c r="D7753" i="1"/>
  <c r="E7753" i="1"/>
  <c r="A7754" i="1"/>
  <c r="B7754" i="1"/>
  <c r="C7754" i="1"/>
  <c r="D7754" i="1"/>
  <c r="E7754" i="1"/>
  <c r="A7755" i="1"/>
  <c r="B7755" i="1"/>
  <c r="C7755" i="1"/>
  <c r="D7755" i="1"/>
  <c r="E7755" i="1"/>
  <c r="A7756" i="1"/>
  <c r="B7756" i="1"/>
  <c r="C7756" i="1"/>
  <c r="D7756" i="1"/>
  <c r="E7756" i="1"/>
  <c r="A7757" i="1"/>
  <c r="B7757" i="1"/>
  <c r="C7757" i="1"/>
  <c r="D7757" i="1"/>
  <c r="E7757" i="1"/>
  <c r="A7758" i="1"/>
  <c r="B7758" i="1"/>
  <c r="C7758" i="1"/>
  <c r="D7758" i="1"/>
  <c r="E7758" i="1"/>
  <c r="A7759" i="1"/>
  <c r="B7759" i="1"/>
  <c r="C7759" i="1"/>
  <c r="D7759" i="1"/>
  <c r="E7759" i="1"/>
  <c r="A7760" i="1"/>
  <c r="B7760" i="1"/>
  <c r="C7760" i="1"/>
  <c r="D7760" i="1"/>
  <c r="E7760" i="1"/>
  <c r="A7761" i="1"/>
  <c r="B7761" i="1"/>
  <c r="C7761" i="1"/>
  <c r="D7761" i="1"/>
  <c r="E7761" i="1"/>
  <c r="A7762" i="1"/>
  <c r="B7762" i="1"/>
  <c r="C7762" i="1"/>
  <c r="D7762" i="1"/>
  <c r="E7762" i="1"/>
  <c r="A7763" i="1"/>
  <c r="B7763" i="1"/>
  <c r="C7763" i="1"/>
  <c r="D7763" i="1"/>
  <c r="E7763" i="1"/>
  <c r="A7764" i="1"/>
  <c r="B7764" i="1"/>
  <c r="C7764" i="1"/>
  <c r="D7764" i="1"/>
  <c r="E7764" i="1"/>
  <c r="A7765" i="1"/>
  <c r="B7765" i="1"/>
  <c r="C7765" i="1"/>
  <c r="D7765" i="1"/>
  <c r="E7765" i="1"/>
  <c r="A7766" i="1"/>
  <c r="B7766" i="1"/>
  <c r="C7766" i="1"/>
  <c r="D7766" i="1"/>
  <c r="E7766" i="1"/>
  <c r="A7767" i="1"/>
  <c r="B7767" i="1"/>
  <c r="C7767" i="1"/>
  <c r="D7767" i="1"/>
  <c r="E7767" i="1"/>
  <c r="A7768" i="1"/>
  <c r="B7768" i="1"/>
  <c r="C7768" i="1"/>
  <c r="D7768" i="1"/>
  <c r="E7768" i="1"/>
  <c r="A7769" i="1"/>
  <c r="B7769" i="1"/>
  <c r="C7769" i="1"/>
  <c r="D7769" i="1"/>
  <c r="E7769" i="1"/>
  <c r="A7770" i="1"/>
  <c r="B7770" i="1"/>
  <c r="C7770" i="1"/>
  <c r="D7770" i="1"/>
  <c r="E7770" i="1"/>
  <c r="A7771" i="1"/>
  <c r="B7771" i="1"/>
  <c r="C7771" i="1"/>
  <c r="D7771" i="1"/>
  <c r="E7771" i="1"/>
  <c r="A7772" i="1"/>
  <c r="B7772" i="1"/>
  <c r="C7772" i="1"/>
  <c r="D7772" i="1"/>
  <c r="E7772" i="1"/>
  <c r="A7773" i="1"/>
  <c r="B7773" i="1"/>
  <c r="C7773" i="1"/>
  <c r="D7773" i="1"/>
  <c r="E7773" i="1"/>
  <c r="A7774" i="1"/>
  <c r="B7774" i="1"/>
  <c r="C7774" i="1"/>
  <c r="D7774" i="1"/>
  <c r="E7774" i="1"/>
  <c r="A7775" i="1"/>
  <c r="B7775" i="1"/>
  <c r="C7775" i="1"/>
  <c r="D7775" i="1"/>
  <c r="E7775" i="1"/>
  <c r="A7776" i="1"/>
  <c r="B7776" i="1"/>
  <c r="C7776" i="1"/>
  <c r="D7776" i="1"/>
  <c r="E7776" i="1"/>
  <c r="A7777" i="1"/>
  <c r="B7777" i="1"/>
  <c r="C7777" i="1"/>
  <c r="D7777" i="1"/>
  <c r="E7777" i="1"/>
  <c r="A7778" i="1"/>
  <c r="B7778" i="1"/>
  <c r="C7778" i="1"/>
  <c r="D7778" i="1"/>
  <c r="E7778" i="1"/>
  <c r="A7779" i="1"/>
  <c r="B7779" i="1"/>
  <c r="C7779" i="1"/>
  <c r="D7779" i="1"/>
  <c r="E7779" i="1"/>
  <c r="A7780" i="1"/>
  <c r="B7780" i="1"/>
  <c r="C7780" i="1"/>
  <c r="D7780" i="1"/>
  <c r="E7780" i="1"/>
  <c r="A7781" i="1"/>
  <c r="B7781" i="1"/>
  <c r="C7781" i="1"/>
  <c r="D7781" i="1"/>
  <c r="E7781" i="1"/>
  <c r="A7782" i="1"/>
  <c r="B7782" i="1"/>
  <c r="C7782" i="1"/>
  <c r="D7782" i="1"/>
  <c r="E7782" i="1"/>
  <c r="A7783" i="1"/>
  <c r="B7783" i="1"/>
  <c r="C7783" i="1"/>
  <c r="D7783" i="1"/>
  <c r="E7783" i="1"/>
  <c r="A7784" i="1"/>
  <c r="B7784" i="1"/>
  <c r="C7784" i="1"/>
  <c r="D7784" i="1"/>
  <c r="E7784" i="1"/>
  <c r="A7785" i="1"/>
  <c r="B7785" i="1"/>
  <c r="C7785" i="1"/>
  <c r="D7785" i="1"/>
  <c r="E7785" i="1"/>
  <c r="A7786" i="1"/>
  <c r="B7786" i="1"/>
  <c r="C7786" i="1"/>
  <c r="D7786" i="1"/>
  <c r="E7786" i="1"/>
  <c r="A7787" i="1"/>
  <c r="B7787" i="1"/>
  <c r="C7787" i="1"/>
  <c r="D7787" i="1"/>
  <c r="E7787" i="1"/>
  <c r="A7788" i="1"/>
  <c r="B7788" i="1"/>
  <c r="C7788" i="1"/>
  <c r="D7788" i="1"/>
  <c r="E7788" i="1"/>
  <c r="A7789" i="1"/>
  <c r="B7789" i="1"/>
  <c r="C7789" i="1"/>
  <c r="D7789" i="1"/>
  <c r="E7789" i="1"/>
  <c r="A7790" i="1"/>
  <c r="B7790" i="1"/>
  <c r="C7790" i="1"/>
  <c r="D7790" i="1"/>
  <c r="E7790" i="1"/>
  <c r="A7791" i="1"/>
  <c r="B7791" i="1"/>
  <c r="C7791" i="1"/>
  <c r="D7791" i="1"/>
  <c r="E7791" i="1"/>
  <c r="A7792" i="1"/>
  <c r="B7792" i="1"/>
  <c r="C7792" i="1"/>
  <c r="D7792" i="1"/>
  <c r="E7792" i="1"/>
  <c r="A7793" i="1"/>
  <c r="B7793" i="1"/>
  <c r="C7793" i="1"/>
  <c r="D7793" i="1"/>
  <c r="E7793" i="1"/>
  <c r="A7794" i="1"/>
  <c r="B7794" i="1"/>
  <c r="C7794" i="1"/>
  <c r="D7794" i="1"/>
  <c r="E7794" i="1"/>
  <c r="A7795" i="1"/>
  <c r="B7795" i="1"/>
  <c r="C7795" i="1"/>
  <c r="D7795" i="1"/>
  <c r="E7795" i="1"/>
  <c r="A7796" i="1"/>
  <c r="B7796" i="1"/>
  <c r="C7796" i="1"/>
  <c r="D7796" i="1"/>
  <c r="E7796" i="1"/>
  <c r="A7797" i="1"/>
  <c r="B7797" i="1"/>
  <c r="C7797" i="1"/>
  <c r="D7797" i="1"/>
  <c r="E7797" i="1"/>
  <c r="A7798" i="1"/>
  <c r="B7798" i="1"/>
  <c r="C7798" i="1"/>
  <c r="D7798" i="1"/>
  <c r="E7798" i="1"/>
  <c r="A7799" i="1"/>
  <c r="B7799" i="1"/>
  <c r="C7799" i="1"/>
  <c r="D7799" i="1"/>
  <c r="E7799" i="1"/>
  <c r="A7800" i="1"/>
  <c r="B7800" i="1"/>
  <c r="C7800" i="1"/>
  <c r="D7800" i="1"/>
  <c r="E7800" i="1"/>
  <c r="A7801" i="1"/>
  <c r="B7801" i="1"/>
  <c r="C7801" i="1"/>
  <c r="D7801" i="1"/>
  <c r="E7801" i="1"/>
  <c r="A7802" i="1"/>
  <c r="B7802" i="1"/>
  <c r="C7802" i="1"/>
  <c r="D7802" i="1"/>
  <c r="E7802" i="1"/>
  <c r="A7803" i="1"/>
  <c r="B7803" i="1"/>
  <c r="C7803" i="1"/>
  <c r="D7803" i="1"/>
  <c r="E7803" i="1"/>
  <c r="A7804" i="1"/>
  <c r="B7804" i="1"/>
  <c r="C7804" i="1"/>
  <c r="D7804" i="1"/>
  <c r="E7804" i="1"/>
  <c r="A7805" i="1"/>
  <c r="B7805" i="1"/>
  <c r="C7805" i="1"/>
  <c r="D7805" i="1"/>
  <c r="E7805" i="1"/>
  <c r="A7806" i="1"/>
  <c r="B7806" i="1"/>
  <c r="C7806" i="1"/>
  <c r="D7806" i="1"/>
  <c r="E7806" i="1"/>
  <c r="A7807" i="1"/>
  <c r="B7807" i="1"/>
  <c r="C7807" i="1"/>
  <c r="D7807" i="1"/>
  <c r="E7807" i="1"/>
  <c r="A7808" i="1"/>
  <c r="B7808" i="1"/>
  <c r="C7808" i="1"/>
  <c r="D7808" i="1"/>
  <c r="E7808" i="1"/>
  <c r="A7809" i="1"/>
  <c r="B7809" i="1"/>
  <c r="C7809" i="1"/>
  <c r="D7809" i="1"/>
  <c r="E7809" i="1"/>
  <c r="A7810" i="1"/>
  <c r="B7810" i="1"/>
  <c r="C7810" i="1"/>
  <c r="D7810" i="1"/>
  <c r="E7810" i="1"/>
  <c r="A7811" i="1"/>
  <c r="B7811" i="1"/>
  <c r="C7811" i="1"/>
  <c r="D7811" i="1"/>
  <c r="E7811" i="1"/>
  <c r="A7812" i="1"/>
  <c r="B7812" i="1"/>
  <c r="C7812" i="1"/>
  <c r="D7812" i="1"/>
  <c r="E7812" i="1"/>
  <c r="A7813" i="1"/>
  <c r="B7813" i="1"/>
  <c r="C7813" i="1"/>
  <c r="D7813" i="1"/>
  <c r="E7813" i="1"/>
  <c r="A7814" i="1"/>
  <c r="B7814" i="1"/>
  <c r="C7814" i="1"/>
  <c r="D7814" i="1"/>
  <c r="E7814" i="1"/>
  <c r="A7815" i="1"/>
  <c r="B7815" i="1"/>
  <c r="C7815" i="1"/>
  <c r="D7815" i="1"/>
  <c r="E7815" i="1"/>
  <c r="A7816" i="1"/>
  <c r="B7816" i="1"/>
  <c r="C7816" i="1"/>
  <c r="D7816" i="1"/>
  <c r="E7816" i="1"/>
  <c r="A7817" i="1"/>
  <c r="B7817" i="1"/>
  <c r="C7817" i="1"/>
  <c r="D7817" i="1"/>
  <c r="E7817" i="1"/>
  <c r="A7818" i="1"/>
  <c r="B7818" i="1"/>
  <c r="C7818" i="1"/>
  <c r="D7818" i="1"/>
  <c r="E7818" i="1"/>
  <c r="A7819" i="1"/>
  <c r="B7819" i="1"/>
  <c r="C7819" i="1"/>
  <c r="D7819" i="1"/>
  <c r="E7819" i="1"/>
  <c r="A7820" i="1"/>
  <c r="B7820" i="1"/>
  <c r="C7820" i="1"/>
  <c r="D7820" i="1"/>
  <c r="E7820" i="1"/>
  <c r="A7821" i="1"/>
  <c r="B7821" i="1"/>
  <c r="C7821" i="1"/>
  <c r="D7821" i="1"/>
  <c r="E7821" i="1"/>
  <c r="A7822" i="1"/>
  <c r="B7822" i="1"/>
  <c r="C7822" i="1"/>
  <c r="D7822" i="1"/>
  <c r="E7822" i="1"/>
  <c r="A7823" i="1"/>
  <c r="B7823" i="1"/>
  <c r="C7823" i="1"/>
  <c r="D7823" i="1"/>
  <c r="E7823" i="1"/>
  <c r="A7824" i="1"/>
  <c r="B7824" i="1"/>
  <c r="C7824" i="1"/>
  <c r="D7824" i="1"/>
  <c r="E7824" i="1"/>
  <c r="A7825" i="1"/>
  <c r="B7825" i="1"/>
  <c r="C7825" i="1"/>
  <c r="D7825" i="1"/>
  <c r="E7825" i="1"/>
  <c r="A7826" i="1"/>
  <c r="B7826" i="1"/>
  <c r="C7826" i="1"/>
  <c r="D7826" i="1"/>
  <c r="E7826" i="1"/>
  <c r="A7827" i="1"/>
  <c r="B7827" i="1"/>
  <c r="C7827" i="1"/>
  <c r="D7827" i="1"/>
  <c r="E7827" i="1"/>
  <c r="A7828" i="1"/>
  <c r="B7828" i="1"/>
  <c r="C7828" i="1"/>
  <c r="D7828" i="1"/>
  <c r="E7828" i="1"/>
  <c r="A7829" i="1"/>
  <c r="B7829" i="1"/>
  <c r="C7829" i="1"/>
  <c r="D7829" i="1"/>
  <c r="E7829" i="1"/>
  <c r="A7830" i="1"/>
  <c r="B7830" i="1"/>
  <c r="C7830" i="1"/>
  <c r="D7830" i="1"/>
  <c r="E7830" i="1"/>
  <c r="A7831" i="1"/>
  <c r="B7831" i="1"/>
  <c r="C7831" i="1"/>
  <c r="D7831" i="1"/>
  <c r="E7831" i="1"/>
  <c r="A7832" i="1"/>
  <c r="B7832" i="1"/>
  <c r="C7832" i="1"/>
  <c r="D7832" i="1"/>
  <c r="E7832" i="1"/>
  <c r="A7833" i="1"/>
  <c r="B7833" i="1"/>
  <c r="C7833" i="1"/>
  <c r="D7833" i="1"/>
  <c r="E7833" i="1"/>
  <c r="A7834" i="1"/>
  <c r="B7834" i="1"/>
  <c r="C7834" i="1"/>
  <c r="D7834" i="1"/>
  <c r="E7834" i="1"/>
  <c r="A7835" i="1"/>
  <c r="B7835" i="1"/>
  <c r="C7835" i="1"/>
  <c r="D7835" i="1"/>
  <c r="E7835" i="1"/>
  <c r="A7836" i="1"/>
  <c r="B7836" i="1"/>
  <c r="C7836" i="1"/>
  <c r="D7836" i="1"/>
  <c r="E7836" i="1"/>
  <c r="A7837" i="1"/>
  <c r="B7837" i="1"/>
  <c r="C7837" i="1"/>
  <c r="D7837" i="1"/>
  <c r="E7837" i="1"/>
  <c r="A7838" i="1"/>
  <c r="B7838" i="1"/>
  <c r="C7838" i="1"/>
  <c r="D7838" i="1"/>
  <c r="E7838" i="1"/>
  <c r="A7839" i="1"/>
  <c r="B7839" i="1"/>
  <c r="C7839" i="1"/>
  <c r="D7839" i="1"/>
  <c r="E7839" i="1"/>
  <c r="A7840" i="1"/>
  <c r="B7840" i="1"/>
  <c r="C7840" i="1"/>
  <c r="D7840" i="1"/>
  <c r="E7840" i="1"/>
  <c r="A7841" i="1"/>
  <c r="B7841" i="1"/>
  <c r="C7841" i="1"/>
  <c r="D7841" i="1"/>
  <c r="E7841" i="1"/>
  <c r="A7842" i="1"/>
  <c r="B7842" i="1"/>
  <c r="C7842" i="1"/>
  <c r="D7842" i="1"/>
  <c r="E7842" i="1"/>
  <c r="A7843" i="1"/>
  <c r="B7843" i="1"/>
  <c r="C7843" i="1"/>
  <c r="D7843" i="1"/>
  <c r="E7843" i="1"/>
  <c r="A7844" i="1"/>
  <c r="B7844" i="1"/>
  <c r="C7844" i="1"/>
  <c r="D7844" i="1"/>
  <c r="E7844" i="1"/>
  <c r="A7845" i="1"/>
  <c r="B7845" i="1"/>
  <c r="C7845" i="1"/>
  <c r="D7845" i="1"/>
  <c r="E7845" i="1"/>
  <c r="A7846" i="1"/>
  <c r="B7846" i="1"/>
  <c r="C7846" i="1"/>
  <c r="D7846" i="1"/>
  <c r="E7846" i="1"/>
  <c r="A7847" i="1"/>
  <c r="B7847" i="1"/>
  <c r="C7847" i="1"/>
  <c r="D7847" i="1"/>
  <c r="E7847" i="1"/>
  <c r="A7848" i="1"/>
  <c r="B7848" i="1"/>
  <c r="C7848" i="1"/>
  <c r="D7848" i="1"/>
  <c r="E7848" i="1"/>
  <c r="A7849" i="1"/>
  <c r="B7849" i="1"/>
  <c r="C7849" i="1"/>
  <c r="D7849" i="1"/>
  <c r="E7849" i="1"/>
  <c r="A7850" i="1"/>
  <c r="B7850" i="1"/>
  <c r="C7850" i="1"/>
  <c r="D7850" i="1"/>
  <c r="E7850" i="1"/>
  <c r="A7851" i="1"/>
  <c r="B7851" i="1"/>
  <c r="C7851" i="1"/>
  <c r="D7851" i="1"/>
  <c r="E7851" i="1"/>
  <c r="A7852" i="1"/>
  <c r="B7852" i="1"/>
  <c r="C7852" i="1"/>
  <c r="D7852" i="1"/>
  <c r="E7852" i="1"/>
  <c r="A7853" i="1"/>
  <c r="B7853" i="1"/>
  <c r="C7853" i="1"/>
  <c r="D7853" i="1"/>
  <c r="E7853" i="1"/>
  <c r="A7854" i="1"/>
  <c r="B7854" i="1"/>
  <c r="C7854" i="1"/>
  <c r="D7854" i="1"/>
  <c r="E7854" i="1"/>
  <c r="A7855" i="1"/>
  <c r="B7855" i="1"/>
  <c r="C7855" i="1"/>
  <c r="D7855" i="1"/>
  <c r="E7855" i="1"/>
  <c r="A7856" i="1"/>
  <c r="B7856" i="1"/>
  <c r="C7856" i="1"/>
  <c r="D7856" i="1"/>
  <c r="E7856" i="1"/>
  <c r="A7857" i="1"/>
  <c r="B7857" i="1"/>
  <c r="C7857" i="1"/>
  <c r="D7857" i="1"/>
  <c r="E7857" i="1"/>
  <c r="A7858" i="1"/>
  <c r="B7858" i="1"/>
  <c r="C7858" i="1"/>
  <c r="D7858" i="1"/>
  <c r="E7858" i="1"/>
  <c r="A7859" i="1"/>
  <c r="B7859" i="1"/>
  <c r="C7859" i="1"/>
  <c r="D7859" i="1"/>
  <c r="E7859" i="1"/>
  <c r="A7860" i="1"/>
  <c r="B7860" i="1"/>
  <c r="C7860" i="1"/>
  <c r="D7860" i="1"/>
  <c r="E7860" i="1"/>
  <c r="A7861" i="1"/>
  <c r="B7861" i="1"/>
  <c r="C7861" i="1"/>
  <c r="D7861" i="1"/>
  <c r="E7861" i="1"/>
  <c r="A7862" i="1"/>
  <c r="B7862" i="1"/>
  <c r="C7862" i="1"/>
  <c r="D7862" i="1"/>
  <c r="E7862" i="1"/>
  <c r="A7863" i="1"/>
  <c r="B7863" i="1"/>
  <c r="C7863" i="1"/>
  <c r="D7863" i="1"/>
  <c r="E7863" i="1"/>
  <c r="A7864" i="1"/>
  <c r="B7864" i="1"/>
  <c r="C7864" i="1"/>
  <c r="D7864" i="1"/>
  <c r="E7864" i="1"/>
  <c r="A7865" i="1"/>
  <c r="B7865" i="1"/>
  <c r="C7865" i="1"/>
  <c r="D7865" i="1"/>
  <c r="E7865" i="1"/>
  <c r="A7866" i="1"/>
  <c r="B7866" i="1"/>
  <c r="C7866" i="1"/>
  <c r="D7866" i="1"/>
  <c r="E7866" i="1"/>
  <c r="A7867" i="1"/>
  <c r="B7867" i="1"/>
  <c r="C7867" i="1"/>
  <c r="D7867" i="1"/>
  <c r="E7867" i="1"/>
  <c r="A7868" i="1"/>
  <c r="B7868" i="1"/>
  <c r="C7868" i="1"/>
  <c r="D7868" i="1"/>
  <c r="E7868" i="1"/>
  <c r="A7869" i="1"/>
  <c r="B7869" i="1"/>
  <c r="C7869" i="1"/>
  <c r="D7869" i="1"/>
  <c r="E7869" i="1"/>
  <c r="A7870" i="1"/>
  <c r="B7870" i="1"/>
  <c r="C7870" i="1"/>
  <c r="D7870" i="1"/>
  <c r="E7870" i="1"/>
  <c r="A7871" i="1"/>
  <c r="B7871" i="1"/>
  <c r="C7871" i="1"/>
  <c r="D7871" i="1"/>
  <c r="E7871" i="1"/>
  <c r="A7872" i="1"/>
  <c r="B7872" i="1"/>
  <c r="C7872" i="1"/>
  <c r="D7872" i="1"/>
  <c r="E7872" i="1"/>
  <c r="A7873" i="1"/>
  <c r="B7873" i="1"/>
  <c r="C7873" i="1"/>
  <c r="D7873" i="1"/>
  <c r="E7873" i="1"/>
  <c r="A7874" i="1"/>
  <c r="B7874" i="1"/>
  <c r="C7874" i="1"/>
  <c r="D7874" i="1"/>
  <c r="E7874" i="1"/>
  <c r="A7875" i="1"/>
  <c r="B7875" i="1"/>
  <c r="C7875" i="1"/>
  <c r="D7875" i="1"/>
  <c r="E7875" i="1"/>
  <c r="A7876" i="1"/>
  <c r="B7876" i="1"/>
  <c r="C7876" i="1"/>
  <c r="D7876" i="1"/>
  <c r="E7876" i="1"/>
  <c r="A7877" i="1"/>
  <c r="B7877" i="1"/>
  <c r="C7877" i="1"/>
  <c r="D7877" i="1"/>
  <c r="E7877" i="1"/>
  <c r="A7878" i="1"/>
  <c r="B7878" i="1"/>
  <c r="C7878" i="1"/>
  <c r="D7878" i="1"/>
  <c r="E7878" i="1"/>
  <c r="A7879" i="1"/>
  <c r="B7879" i="1"/>
  <c r="C7879" i="1"/>
  <c r="D7879" i="1"/>
  <c r="E7879" i="1"/>
  <c r="A7880" i="1"/>
  <c r="B7880" i="1"/>
  <c r="C7880" i="1"/>
  <c r="D7880" i="1"/>
  <c r="E7880" i="1"/>
  <c r="A7881" i="1"/>
  <c r="B7881" i="1"/>
  <c r="C7881" i="1"/>
  <c r="D7881" i="1"/>
  <c r="E7881" i="1"/>
  <c r="A7882" i="1"/>
  <c r="B7882" i="1"/>
  <c r="C7882" i="1"/>
  <c r="D7882" i="1"/>
  <c r="E7882" i="1"/>
  <c r="A7883" i="1"/>
  <c r="B7883" i="1"/>
  <c r="C7883" i="1"/>
  <c r="D7883" i="1"/>
  <c r="E7883" i="1"/>
  <c r="A7884" i="1"/>
  <c r="B7884" i="1"/>
  <c r="C7884" i="1"/>
  <c r="D7884" i="1"/>
  <c r="E7884" i="1"/>
  <c r="A7885" i="1"/>
  <c r="B7885" i="1"/>
  <c r="C7885" i="1"/>
  <c r="D7885" i="1"/>
  <c r="E7885" i="1"/>
  <c r="A7886" i="1"/>
  <c r="B7886" i="1"/>
  <c r="C7886" i="1"/>
  <c r="D7886" i="1"/>
  <c r="E7886" i="1"/>
  <c r="A7887" i="1"/>
  <c r="B7887" i="1"/>
  <c r="C7887" i="1"/>
  <c r="D7887" i="1"/>
  <c r="E7887" i="1"/>
  <c r="A7888" i="1"/>
  <c r="B7888" i="1"/>
  <c r="C7888" i="1"/>
  <c r="D7888" i="1"/>
  <c r="E7888" i="1"/>
  <c r="A7889" i="1"/>
  <c r="B7889" i="1"/>
  <c r="C7889" i="1"/>
  <c r="D7889" i="1"/>
  <c r="E7889" i="1"/>
  <c r="A7890" i="1"/>
  <c r="B7890" i="1"/>
  <c r="C7890" i="1"/>
  <c r="D7890" i="1"/>
  <c r="E7890" i="1"/>
  <c r="A7891" i="1"/>
  <c r="B7891" i="1"/>
  <c r="C7891" i="1"/>
  <c r="D7891" i="1"/>
  <c r="E7891" i="1"/>
  <c r="A7892" i="1"/>
  <c r="B7892" i="1"/>
  <c r="C7892" i="1"/>
  <c r="D7892" i="1"/>
  <c r="E7892" i="1"/>
  <c r="A7893" i="1"/>
  <c r="B7893" i="1"/>
  <c r="C7893" i="1"/>
  <c r="D7893" i="1"/>
  <c r="E7893" i="1"/>
  <c r="A7894" i="1"/>
  <c r="B7894" i="1"/>
  <c r="C7894" i="1"/>
  <c r="D7894" i="1"/>
  <c r="E7894" i="1"/>
  <c r="A7895" i="1"/>
  <c r="B7895" i="1"/>
  <c r="C7895" i="1"/>
  <c r="D7895" i="1"/>
  <c r="E7895" i="1"/>
  <c r="A7896" i="1"/>
  <c r="B7896" i="1"/>
  <c r="C7896" i="1"/>
  <c r="D7896" i="1"/>
  <c r="E7896" i="1"/>
  <c r="A7897" i="1"/>
  <c r="B7897" i="1"/>
  <c r="C7897" i="1"/>
  <c r="D7897" i="1"/>
  <c r="E7897" i="1"/>
  <c r="A7898" i="1"/>
  <c r="B7898" i="1"/>
  <c r="C7898" i="1"/>
  <c r="D7898" i="1"/>
  <c r="E7898" i="1"/>
  <c r="A7899" i="1"/>
  <c r="B7899" i="1"/>
  <c r="C7899" i="1"/>
  <c r="D7899" i="1"/>
  <c r="E7899" i="1"/>
  <c r="A7900" i="1"/>
  <c r="B7900" i="1"/>
  <c r="C7900" i="1"/>
  <c r="D7900" i="1"/>
  <c r="E7900" i="1"/>
  <c r="A7901" i="1"/>
  <c r="B7901" i="1"/>
  <c r="C7901" i="1"/>
  <c r="D7901" i="1"/>
  <c r="E7901" i="1"/>
  <c r="A7902" i="1"/>
  <c r="B7902" i="1"/>
  <c r="C7902" i="1"/>
  <c r="D7902" i="1"/>
  <c r="E7902" i="1"/>
  <c r="A7903" i="1"/>
  <c r="B7903" i="1"/>
  <c r="C7903" i="1"/>
  <c r="D7903" i="1"/>
  <c r="E7903" i="1"/>
  <c r="A7904" i="1"/>
  <c r="B7904" i="1"/>
  <c r="C7904" i="1"/>
  <c r="D7904" i="1"/>
  <c r="E7904" i="1"/>
  <c r="A7905" i="1"/>
  <c r="B7905" i="1"/>
  <c r="C7905" i="1"/>
  <c r="D7905" i="1"/>
  <c r="E7905" i="1"/>
  <c r="A7906" i="1"/>
  <c r="B7906" i="1"/>
  <c r="C7906" i="1"/>
  <c r="D7906" i="1"/>
  <c r="E7906" i="1"/>
  <c r="A7907" i="1"/>
  <c r="B7907" i="1"/>
  <c r="C7907" i="1"/>
  <c r="D7907" i="1"/>
  <c r="E7907" i="1"/>
  <c r="A7908" i="1"/>
  <c r="B7908" i="1"/>
  <c r="C7908" i="1"/>
  <c r="D7908" i="1"/>
  <c r="E7908" i="1"/>
  <c r="A7909" i="1"/>
  <c r="B7909" i="1"/>
  <c r="C7909" i="1"/>
  <c r="D7909" i="1"/>
  <c r="E7909" i="1"/>
  <c r="A7910" i="1"/>
  <c r="B7910" i="1"/>
  <c r="C7910" i="1"/>
  <c r="D7910" i="1"/>
  <c r="E7910" i="1"/>
  <c r="A7911" i="1"/>
  <c r="B7911" i="1"/>
  <c r="C7911" i="1"/>
  <c r="D7911" i="1"/>
  <c r="E7911" i="1"/>
  <c r="A7912" i="1"/>
  <c r="B7912" i="1"/>
  <c r="C7912" i="1"/>
  <c r="D7912" i="1"/>
  <c r="E7912" i="1"/>
  <c r="A7913" i="1"/>
  <c r="B7913" i="1"/>
  <c r="C7913" i="1"/>
  <c r="D7913" i="1"/>
  <c r="E7913" i="1"/>
  <c r="A7914" i="1"/>
  <c r="B7914" i="1"/>
  <c r="C7914" i="1"/>
  <c r="D7914" i="1"/>
  <c r="E7914" i="1"/>
  <c r="A7915" i="1"/>
  <c r="B7915" i="1"/>
  <c r="C7915" i="1"/>
  <c r="D7915" i="1"/>
  <c r="E7915" i="1"/>
  <c r="A7916" i="1"/>
  <c r="B7916" i="1"/>
  <c r="C7916" i="1"/>
  <c r="D7916" i="1"/>
  <c r="E7916" i="1"/>
  <c r="A7917" i="1"/>
  <c r="B7917" i="1"/>
  <c r="C7917" i="1"/>
  <c r="D7917" i="1"/>
  <c r="E7917" i="1"/>
  <c r="A7918" i="1"/>
  <c r="B7918" i="1"/>
  <c r="C7918" i="1"/>
  <c r="D7918" i="1"/>
  <c r="E7918" i="1"/>
  <c r="A7919" i="1"/>
  <c r="B7919" i="1"/>
  <c r="C7919" i="1"/>
  <c r="D7919" i="1"/>
  <c r="E7919" i="1"/>
  <c r="A7920" i="1"/>
  <c r="B7920" i="1"/>
  <c r="C7920" i="1"/>
  <c r="D7920" i="1"/>
  <c r="E7920" i="1"/>
  <c r="A7921" i="1"/>
  <c r="B7921" i="1"/>
  <c r="C7921" i="1"/>
  <c r="D7921" i="1"/>
  <c r="E7921" i="1"/>
  <c r="A7922" i="1"/>
  <c r="B7922" i="1"/>
  <c r="C7922" i="1"/>
  <c r="D7922" i="1"/>
  <c r="E7922" i="1"/>
  <c r="A7923" i="1"/>
  <c r="B7923" i="1"/>
  <c r="C7923" i="1"/>
  <c r="D7923" i="1"/>
  <c r="E7923" i="1"/>
  <c r="A7924" i="1"/>
  <c r="B7924" i="1"/>
  <c r="C7924" i="1"/>
  <c r="D7924" i="1"/>
  <c r="E7924" i="1"/>
  <c r="A7925" i="1"/>
  <c r="B7925" i="1"/>
  <c r="C7925" i="1"/>
  <c r="D7925" i="1"/>
  <c r="E7925" i="1"/>
  <c r="A7926" i="1"/>
  <c r="B7926" i="1"/>
  <c r="C7926" i="1"/>
  <c r="D7926" i="1"/>
  <c r="E7926" i="1"/>
  <c r="A7927" i="1"/>
  <c r="B7927" i="1"/>
  <c r="C7927" i="1"/>
  <c r="D7927" i="1"/>
  <c r="E7927" i="1"/>
  <c r="A7928" i="1"/>
  <c r="B7928" i="1"/>
  <c r="C7928" i="1"/>
  <c r="D7928" i="1"/>
  <c r="E7928" i="1"/>
  <c r="A7929" i="1"/>
  <c r="B7929" i="1"/>
  <c r="C7929" i="1"/>
  <c r="D7929" i="1"/>
  <c r="E7929" i="1"/>
  <c r="A7930" i="1"/>
  <c r="B7930" i="1"/>
  <c r="C7930" i="1"/>
  <c r="D7930" i="1"/>
  <c r="E7930" i="1"/>
  <c r="A7931" i="1"/>
  <c r="B7931" i="1"/>
  <c r="C7931" i="1"/>
  <c r="D7931" i="1"/>
  <c r="E7931" i="1"/>
  <c r="A7932" i="1"/>
  <c r="B7932" i="1"/>
  <c r="C7932" i="1"/>
  <c r="D7932" i="1"/>
  <c r="E7932" i="1"/>
  <c r="A7933" i="1"/>
  <c r="B7933" i="1"/>
  <c r="C7933" i="1"/>
  <c r="D7933" i="1"/>
  <c r="E7933" i="1"/>
  <c r="A7934" i="1"/>
  <c r="B7934" i="1"/>
  <c r="C7934" i="1"/>
  <c r="D7934" i="1"/>
  <c r="E7934" i="1"/>
  <c r="A7935" i="1"/>
  <c r="B7935" i="1"/>
  <c r="C7935" i="1"/>
  <c r="D7935" i="1"/>
  <c r="E7935" i="1"/>
  <c r="A7936" i="1"/>
  <c r="B7936" i="1"/>
  <c r="C7936" i="1"/>
  <c r="D7936" i="1"/>
  <c r="E7936" i="1"/>
  <c r="A7937" i="1"/>
  <c r="B7937" i="1"/>
  <c r="C7937" i="1"/>
  <c r="D7937" i="1"/>
  <c r="E7937" i="1"/>
  <c r="A7938" i="1"/>
  <c r="B7938" i="1"/>
  <c r="C7938" i="1"/>
  <c r="D7938" i="1"/>
  <c r="E7938" i="1"/>
  <c r="A7939" i="1"/>
  <c r="B7939" i="1"/>
  <c r="C7939" i="1"/>
  <c r="D7939" i="1"/>
  <c r="E7939" i="1"/>
  <c r="A7940" i="1"/>
  <c r="B7940" i="1"/>
  <c r="C7940" i="1"/>
  <c r="D7940" i="1"/>
  <c r="E7940" i="1"/>
  <c r="A7941" i="1"/>
  <c r="B7941" i="1"/>
  <c r="C7941" i="1"/>
  <c r="D7941" i="1"/>
  <c r="E7941" i="1"/>
  <c r="A7942" i="1"/>
  <c r="B7942" i="1"/>
  <c r="C7942" i="1"/>
  <c r="D7942" i="1"/>
  <c r="E7942" i="1"/>
  <c r="A7943" i="1"/>
  <c r="B7943" i="1"/>
  <c r="C7943" i="1"/>
  <c r="D7943" i="1"/>
  <c r="E7943" i="1"/>
  <c r="A7944" i="1"/>
  <c r="B7944" i="1"/>
  <c r="C7944" i="1"/>
  <c r="D7944" i="1"/>
  <c r="E7944" i="1"/>
  <c r="A7945" i="1"/>
  <c r="B7945" i="1"/>
  <c r="C7945" i="1"/>
  <c r="D7945" i="1"/>
  <c r="E7945" i="1"/>
  <c r="A7946" i="1"/>
  <c r="B7946" i="1"/>
  <c r="C7946" i="1"/>
  <c r="D7946" i="1"/>
  <c r="E7946" i="1"/>
  <c r="A7947" i="1"/>
  <c r="B7947" i="1"/>
  <c r="C7947" i="1"/>
  <c r="D7947" i="1"/>
  <c r="E7947" i="1"/>
  <c r="A7948" i="1"/>
  <c r="B7948" i="1"/>
  <c r="C7948" i="1"/>
  <c r="D7948" i="1"/>
  <c r="E7948" i="1"/>
  <c r="A7949" i="1"/>
  <c r="B7949" i="1"/>
  <c r="C7949" i="1"/>
  <c r="D7949" i="1"/>
  <c r="E7949" i="1"/>
  <c r="A7950" i="1"/>
  <c r="B7950" i="1"/>
  <c r="C7950" i="1"/>
  <c r="D7950" i="1"/>
  <c r="E7950" i="1"/>
  <c r="A7951" i="1"/>
  <c r="B7951" i="1"/>
  <c r="C7951" i="1"/>
  <c r="D7951" i="1"/>
  <c r="E7951" i="1"/>
  <c r="A7952" i="1"/>
  <c r="B7952" i="1"/>
  <c r="C7952" i="1"/>
  <c r="D7952" i="1"/>
  <c r="E7952" i="1"/>
  <c r="A7953" i="1"/>
  <c r="B7953" i="1"/>
  <c r="C7953" i="1"/>
  <c r="D7953" i="1"/>
  <c r="E7953" i="1"/>
  <c r="A7954" i="1"/>
  <c r="B7954" i="1"/>
  <c r="C7954" i="1"/>
  <c r="D7954" i="1"/>
  <c r="E7954" i="1"/>
  <c r="A7955" i="1"/>
  <c r="B7955" i="1"/>
  <c r="C7955" i="1"/>
  <c r="D7955" i="1"/>
  <c r="E7955" i="1"/>
  <c r="A7956" i="1"/>
  <c r="B7956" i="1"/>
  <c r="C7956" i="1"/>
  <c r="D7956" i="1"/>
  <c r="E7956" i="1"/>
  <c r="A7957" i="1"/>
  <c r="B7957" i="1"/>
  <c r="C7957" i="1"/>
  <c r="D7957" i="1"/>
  <c r="E7957" i="1"/>
  <c r="A7958" i="1"/>
  <c r="B7958" i="1"/>
  <c r="C7958" i="1"/>
  <c r="D7958" i="1"/>
  <c r="E7958" i="1"/>
  <c r="A7959" i="1"/>
  <c r="B7959" i="1"/>
  <c r="C7959" i="1"/>
  <c r="D7959" i="1"/>
  <c r="E7959" i="1"/>
  <c r="A7960" i="1"/>
  <c r="B7960" i="1"/>
  <c r="C7960" i="1"/>
  <c r="D7960" i="1"/>
  <c r="E7960" i="1"/>
  <c r="A7961" i="1"/>
  <c r="B7961" i="1"/>
  <c r="C7961" i="1"/>
  <c r="D7961" i="1"/>
  <c r="E7961" i="1"/>
  <c r="A7962" i="1"/>
  <c r="B7962" i="1"/>
  <c r="C7962" i="1"/>
  <c r="D7962" i="1"/>
  <c r="E7962" i="1"/>
  <c r="A7963" i="1"/>
  <c r="B7963" i="1"/>
  <c r="C7963" i="1"/>
  <c r="D7963" i="1"/>
  <c r="E7963" i="1"/>
  <c r="A7964" i="1"/>
  <c r="B7964" i="1"/>
  <c r="C7964" i="1"/>
  <c r="D7964" i="1"/>
  <c r="E7964" i="1"/>
  <c r="A7965" i="1"/>
  <c r="B7965" i="1"/>
  <c r="C7965" i="1"/>
  <c r="D7965" i="1"/>
  <c r="E7965" i="1"/>
  <c r="A7966" i="1"/>
  <c r="B7966" i="1"/>
  <c r="C7966" i="1"/>
  <c r="D7966" i="1"/>
  <c r="E7966" i="1"/>
  <c r="A7967" i="1"/>
  <c r="B7967" i="1"/>
  <c r="C7967" i="1"/>
  <c r="D7967" i="1"/>
  <c r="E7967" i="1"/>
  <c r="A7968" i="1"/>
  <c r="B7968" i="1"/>
  <c r="C7968" i="1"/>
  <c r="D7968" i="1"/>
  <c r="E7968" i="1"/>
  <c r="A7969" i="1"/>
  <c r="B7969" i="1"/>
  <c r="C7969" i="1"/>
  <c r="D7969" i="1"/>
  <c r="E7969" i="1"/>
  <c r="A7970" i="1"/>
  <c r="B7970" i="1"/>
  <c r="C7970" i="1"/>
  <c r="D7970" i="1"/>
  <c r="E7970" i="1"/>
  <c r="A7971" i="1"/>
  <c r="B7971" i="1"/>
  <c r="C7971" i="1"/>
  <c r="D7971" i="1"/>
  <c r="E7971" i="1"/>
  <c r="A7972" i="1"/>
  <c r="B7972" i="1"/>
  <c r="C7972" i="1"/>
  <c r="D7972" i="1"/>
  <c r="E7972" i="1"/>
  <c r="A7973" i="1"/>
  <c r="B7973" i="1"/>
  <c r="C7973" i="1"/>
  <c r="D7973" i="1"/>
  <c r="E7973" i="1"/>
  <c r="A7974" i="1"/>
  <c r="B7974" i="1"/>
  <c r="C7974" i="1"/>
  <c r="D7974" i="1"/>
  <c r="E7974" i="1"/>
  <c r="A7975" i="1"/>
  <c r="B7975" i="1"/>
  <c r="C7975" i="1"/>
  <c r="D7975" i="1"/>
  <c r="E7975" i="1"/>
  <c r="A7976" i="1"/>
  <c r="B7976" i="1"/>
  <c r="C7976" i="1"/>
  <c r="D7976" i="1"/>
  <c r="E7976" i="1"/>
  <c r="A7977" i="1"/>
  <c r="B7977" i="1"/>
  <c r="C7977" i="1"/>
  <c r="D7977" i="1"/>
  <c r="E7977" i="1"/>
  <c r="A7978" i="1"/>
  <c r="B7978" i="1"/>
  <c r="C7978" i="1"/>
  <c r="D7978" i="1"/>
  <c r="E7978" i="1"/>
  <c r="A7979" i="1"/>
  <c r="B7979" i="1"/>
  <c r="C7979" i="1"/>
  <c r="D7979" i="1"/>
  <c r="E7979" i="1"/>
  <c r="A7980" i="1"/>
  <c r="B7980" i="1"/>
  <c r="C7980" i="1"/>
  <c r="D7980" i="1"/>
  <c r="E7980" i="1"/>
  <c r="A7981" i="1"/>
  <c r="B7981" i="1"/>
  <c r="C7981" i="1"/>
  <c r="D7981" i="1"/>
  <c r="E7981" i="1"/>
  <c r="A7982" i="1"/>
  <c r="B7982" i="1"/>
  <c r="C7982" i="1"/>
  <c r="D7982" i="1"/>
  <c r="E7982" i="1"/>
  <c r="A7983" i="1"/>
  <c r="B7983" i="1"/>
  <c r="C7983" i="1"/>
  <c r="D7983" i="1"/>
  <c r="E7983" i="1"/>
  <c r="A7984" i="1"/>
  <c r="B7984" i="1"/>
  <c r="C7984" i="1"/>
  <c r="D7984" i="1"/>
  <c r="E7984" i="1"/>
  <c r="A7985" i="1"/>
  <c r="B7985" i="1"/>
  <c r="C7985" i="1"/>
  <c r="D7985" i="1"/>
  <c r="E7985" i="1"/>
  <c r="A7986" i="1"/>
  <c r="B7986" i="1"/>
  <c r="C7986" i="1"/>
  <c r="D7986" i="1"/>
  <c r="E7986" i="1"/>
  <c r="A7987" i="1"/>
  <c r="B7987" i="1"/>
  <c r="C7987" i="1"/>
  <c r="D7987" i="1"/>
  <c r="E7987" i="1"/>
  <c r="A7988" i="1"/>
  <c r="B7988" i="1"/>
  <c r="C7988" i="1"/>
  <c r="D7988" i="1"/>
  <c r="E7988" i="1"/>
  <c r="A7989" i="1"/>
  <c r="B7989" i="1"/>
  <c r="C7989" i="1"/>
  <c r="D7989" i="1"/>
  <c r="E7989" i="1"/>
  <c r="A7990" i="1"/>
  <c r="B7990" i="1"/>
  <c r="C7990" i="1"/>
  <c r="D7990" i="1"/>
  <c r="E7990" i="1"/>
  <c r="A7991" i="1"/>
  <c r="B7991" i="1"/>
  <c r="C7991" i="1"/>
  <c r="D7991" i="1"/>
  <c r="E7991" i="1"/>
  <c r="A7992" i="1"/>
  <c r="B7992" i="1"/>
  <c r="C7992" i="1"/>
  <c r="D7992" i="1"/>
  <c r="E7992" i="1"/>
  <c r="A7993" i="1"/>
  <c r="B7993" i="1"/>
  <c r="C7993" i="1"/>
  <c r="D7993" i="1"/>
  <c r="E7993" i="1"/>
  <c r="A7994" i="1"/>
  <c r="B7994" i="1"/>
  <c r="C7994" i="1"/>
  <c r="D7994" i="1"/>
  <c r="E7994" i="1"/>
</calcChain>
</file>

<file path=xl/sharedStrings.xml><?xml version="1.0" encoding="utf-8"?>
<sst xmlns="http://schemas.openxmlformats.org/spreadsheetml/2006/main" count="23989" uniqueCount="22">
  <si>
    <t>2022 Delta County Primary Election RECOUNT</t>
  </si>
  <si>
    <t>5.13.14.1</t>
  </si>
  <si>
    <t>Secretary of State - REP (Vote For=1)</t>
  </si>
  <si>
    <t>Tina Peters</t>
  </si>
  <si>
    <t>Mike O'Donnell</t>
  </si>
  <si>
    <t>Pam Anderson</t>
  </si>
  <si>
    <t>CvrNumber</t>
  </si>
  <si>
    <t>TabulatorNum</t>
  </si>
  <si>
    <t>BatchId</t>
  </si>
  <si>
    <t>RecordId</t>
  </si>
  <si>
    <t>ImprintedId</t>
  </si>
  <si>
    <t>CountingGroup</t>
  </si>
  <si>
    <t>PrecinctPortion</t>
  </si>
  <si>
    <t>BallotType</t>
  </si>
  <si>
    <t>REP</t>
  </si>
  <si>
    <t>Regular</t>
  </si>
  <si>
    <t>101 (101)</t>
  </si>
  <si>
    <t>REP-54</t>
  </si>
  <si>
    <t>102 (102)</t>
  </si>
  <si>
    <t>REP-54-7</t>
  </si>
  <si>
    <t>103 (103)</t>
  </si>
  <si>
    <t>REP-58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</si>
</sst>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94"/>
  <sheetViews>
    <sheetView tabSelected="1" workbookViewId="0">
      <selection activeCell="H1" sqref="H1"/>
    </sheetView>
  </sheetViews>
  <sheetFormatPr defaultRowHeight="15" x14ac:dyDescent="0.25"/>
  <cols>
    <col min="9" max="11" width="33.5703125" bestFit="1" customWidth="1"/>
  </cols>
  <sheetData>
    <row r="1" spans="1:11" x14ac:dyDescent="0.25">
      <c r="A1" t="s">
        <v>0</v>
      </c>
      <c r="B1" t="s">
        <v>1</v>
      </c>
    </row>
    <row r="2" spans="1:11" x14ac:dyDescent="0.25">
      <c r="I2" t="s">
        <v>2</v>
      </c>
      <c r="J2" t="s">
        <v>2</v>
      </c>
      <c r="K2" t="s">
        <v>2</v>
      </c>
    </row>
    <row r="3" spans="1:11" x14ac:dyDescent="0.25">
      <c r="I3" t="s">
        <v>3</v>
      </c>
      <c r="J3" t="s">
        <v>4</v>
      </c>
      <c r="K3" t="s">
        <v>5</v>
      </c>
    </row>
    <row r="4" spans="1:1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  <c r="J4" t="s">
        <v>14</v>
      </c>
      <c r="K4" t="s">
        <v>14</v>
      </c>
    </row>
    <row r="5" spans="1:11" x14ac:dyDescent="0.25">
      <c r="A5" t="str">
        <f>"1"</f>
        <v>1</v>
      </c>
      <c r="B5" t="str">
        <f>"1"</f>
        <v>1</v>
      </c>
      <c r="C5" t="str">
        <f>"1"</f>
        <v>1</v>
      </c>
      <c r="D5" t="str">
        <f>"22"</f>
        <v>22</v>
      </c>
      <c r="E5" t="str">
        <f>"1-1-22"</f>
        <v>1-1-22</v>
      </c>
      <c r="F5" t="s">
        <v>15</v>
      </c>
      <c r="G5" t="s">
        <v>16</v>
      </c>
      <c r="H5" t="s">
        <v>17</v>
      </c>
      <c r="I5">
        <v>0</v>
      </c>
      <c r="J5">
        <v>1</v>
      </c>
      <c r="K5">
        <v>0</v>
      </c>
    </row>
    <row r="6" spans="1:11" x14ac:dyDescent="0.25">
      <c r="A6" t="str">
        <f>"2"</f>
        <v>2</v>
      </c>
      <c r="B6" t="str">
        <f t="shared" ref="B6:C29" si="0">"1"</f>
        <v>1</v>
      </c>
      <c r="C6" t="str">
        <f t="shared" si="0"/>
        <v>1</v>
      </c>
      <c r="D6" t="str">
        <f>"15"</f>
        <v>15</v>
      </c>
      <c r="E6" t="str">
        <f>"1-1-15"</f>
        <v>1-1-15</v>
      </c>
      <c r="F6" t="s">
        <v>15</v>
      </c>
      <c r="G6" t="s">
        <v>18</v>
      </c>
      <c r="H6" t="s">
        <v>19</v>
      </c>
      <c r="I6">
        <v>0</v>
      </c>
      <c r="J6">
        <v>0</v>
      </c>
      <c r="K6">
        <v>1</v>
      </c>
    </row>
    <row r="7" spans="1:11" x14ac:dyDescent="0.25">
      <c r="A7" t="str">
        <f>"3"</f>
        <v>3</v>
      </c>
      <c r="B7" t="str">
        <f t="shared" si="0"/>
        <v>1</v>
      </c>
      <c r="C7" t="str">
        <f t="shared" si="0"/>
        <v>1</v>
      </c>
      <c r="D7" t="str">
        <f>"1"</f>
        <v>1</v>
      </c>
      <c r="E7" t="str">
        <f>"1-1-1"</f>
        <v>1-1-1</v>
      </c>
      <c r="F7" t="s">
        <v>15</v>
      </c>
      <c r="G7" t="s">
        <v>16</v>
      </c>
      <c r="H7" t="s">
        <v>17</v>
      </c>
      <c r="I7">
        <v>0</v>
      </c>
      <c r="J7">
        <v>0</v>
      </c>
      <c r="K7">
        <v>1</v>
      </c>
    </row>
    <row r="8" spans="1:11" x14ac:dyDescent="0.25">
      <c r="A8" t="str">
        <f>"4"</f>
        <v>4</v>
      </c>
      <c r="B8" t="str">
        <f t="shared" si="0"/>
        <v>1</v>
      </c>
      <c r="C8" t="str">
        <f t="shared" si="0"/>
        <v>1</v>
      </c>
      <c r="D8" t="str">
        <f>"16"</f>
        <v>16</v>
      </c>
      <c r="E8" t="str">
        <f>"1-1-16"</f>
        <v>1-1-16</v>
      </c>
      <c r="F8" t="s">
        <v>15</v>
      </c>
      <c r="G8" t="s">
        <v>16</v>
      </c>
      <c r="H8" t="s">
        <v>17</v>
      </c>
      <c r="I8">
        <v>1</v>
      </c>
      <c r="J8">
        <v>0</v>
      </c>
      <c r="K8">
        <v>0</v>
      </c>
    </row>
    <row r="9" spans="1:11" x14ac:dyDescent="0.25">
      <c r="A9" t="str">
        <f>"5"</f>
        <v>5</v>
      </c>
      <c r="B9" t="str">
        <f t="shared" si="0"/>
        <v>1</v>
      </c>
      <c r="C9" t="str">
        <f t="shared" si="0"/>
        <v>1</v>
      </c>
      <c r="D9" t="str">
        <f>"8"</f>
        <v>8</v>
      </c>
      <c r="E9" t="str">
        <f>"1-1-8"</f>
        <v>1-1-8</v>
      </c>
      <c r="F9" t="s">
        <v>15</v>
      </c>
      <c r="G9" t="s">
        <v>16</v>
      </c>
      <c r="H9" t="s">
        <v>17</v>
      </c>
      <c r="I9">
        <v>0</v>
      </c>
      <c r="J9">
        <v>1</v>
      </c>
      <c r="K9">
        <v>0</v>
      </c>
    </row>
    <row r="10" spans="1:11" x14ac:dyDescent="0.25">
      <c r="A10" t="str">
        <f>"6"</f>
        <v>6</v>
      </c>
      <c r="B10" t="str">
        <f t="shared" si="0"/>
        <v>1</v>
      </c>
      <c r="C10" t="str">
        <f t="shared" si="0"/>
        <v>1</v>
      </c>
      <c r="D10" t="str">
        <f>"2"</f>
        <v>2</v>
      </c>
      <c r="E10" t="str">
        <f>"1-1-2"</f>
        <v>1-1-2</v>
      </c>
      <c r="F10" t="s">
        <v>15</v>
      </c>
      <c r="G10" t="s">
        <v>16</v>
      </c>
      <c r="H10" t="s">
        <v>17</v>
      </c>
      <c r="I10">
        <v>0</v>
      </c>
      <c r="J10">
        <v>0</v>
      </c>
      <c r="K10">
        <v>1</v>
      </c>
    </row>
    <row r="11" spans="1:11" x14ac:dyDescent="0.25">
      <c r="A11" t="str">
        <f>"7"</f>
        <v>7</v>
      </c>
      <c r="B11" t="str">
        <f t="shared" si="0"/>
        <v>1</v>
      </c>
      <c r="C11" t="str">
        <f t="shared" si="0"/>
        <v>1</v>
      </c>
      <c r="D11" t="str">
        <f>"18"</f>
        <v>18</v>
      </c>
      <c r="E11" t="str">
        <f>"1-1-18"</f>
        <v>1-1-18</v>
      </c>
      <c r="F11" t="s">
        <v>15</v>
      </c>
      <c r="G11" t="s">
        <v>16</v>
      </c>
      <c r="H11" t="s">
        <v>17</v>
      </c>
      <c r="I11">
        <v>0</v>
      </c>
      <c r="J11">
        <v>1</v>
      </c>
      <c r="K11">
        <v>0</v>
      </c>
    </row>
    <row r="12" spans="1:11" x14ac:dyDescent="0.25">
      <c r="A12" t="str">
        <f>"8"</f>
        <v>8</v>
      </c>
      <c r="B12" t="str">
        <f t="shared" si="0"/>
        <v>1</v>
      </c>
      <c r="C12" t="str">
        <f t="shared" si="0"/>
        <v>1</v>
      </c>
      <c r="D12" t="str">
        <f>"14"</f>
        <v>14</v>
      </c>
      <c r="E12" t="str">
        <f>"1-1-14"</f>
        <v>1-1-14</v>
      </c>
      <c r="F12" t="s">
        <v>15</v>
      </c>
      <c r="G12" t="s">
        <v>16</v>
      </c>
      <c r="H12" t="s">
        <v>17</v>
      </c>
      <c r="I12">
        <v>0</v>
      </c>
      <c r="J12">
        <v>1</v>
      </c>
      <c r="K12">
        <v>0</v>
      </c>
    </row>
    <row r="13" spans="1:11" x14ac:dyDescent="0.25">
      <c r="A13" t="str">
        <f>"9"</f>
        <v>9</v>
      </c>
      <c r="B13" t="str">
        <f t="shared" si="0"/>
        <v>1</v>
      </c>
      <c r="C13" t="str">
        <f t="shared" si="0"/>
        <v>1</v>
      </c>
      <c r="D13" t="str">
        <f>"19"</f>
        <v>19</v>
      </c>
      <c r="E13" t="str">
        <f>"1-1-19"</f>
        <v>1-1-19</v>
      </c>
      <c r="F13" t="s">
        <v>15</v>
      </c>
      <c r="G13" t="s">
        <v>16</v>
      </c>
      <c r="H13" t="s">
        <v>17</v>
      </c>
      <c r="I13">
        <v>0</v>
      </c>
      <c r="J13">
        <v>1</v>
      </c>
      <c r="K13">
        <v>0</v>
      </c>
    </row>
    <row r="14" spans="1:11" x14ac:dyDescent="0.25">
      <c r="A14" t="str">
        <f>"10"</f>
        <v>10</v>
      </c>
      <c r="B14" t="str">
        <f t="shared" si="0"/>
        <v>1</v>
      </c>
      <c r="C14" t="str">
        <f t="shared" si="0"/>
        <v>1</v>
      </c>
      <c r="D14" t="str">
        <f>"9"</f>
        <v>9</v>
      </c>
      <c r="E14" t="str">
        <f>"1-1-9"</f>
        <v>1-1-9</v>
      </c>
      <c r="F14" t="s">
        <v>15</v>
      </c>
      <c r="G14" t="s">
        <v>16</v>
      </c>
      <c r="H14" t="s">
        <v>17</v>
      </c>
      <c r="I14">
        <v>1</v>
      </c>
      <c r="J14">
        <v>0</v>
      </c>
      <c r="K14">
        <v>0</v>
      </c>
    </row>
    <row r="15" spans="1:11" x14ac:dyDescent="0.25">
      <c r="A15" t="str">
        <f>"11"</f>
        <v>11</v>
      </c>
      <c r="B15" t="str">
        <f t="shared" si="0"/>
        <v>1</v>
      </c>
      <c r="C15" t="str">
        <f t="shared" si="0"/>
        <v>1</v>
      </c>
      <c r="D15" t="str">
        <f>"20"</f>
        <v>20</v>
      </c>
      <c r="E15" t="str">
        <f>"1-1-20"</f>
        <v>1-1-20</v>
      </c>
      <c r="F15" t="s">
        <v>15</v>
      </c>
      <c r="G15" t="s">
        <v>16</v>
      </c>
      <c r="H15" t="s">
        <v>17</v>
      </c>
      <c r="I15">
        <v>0</v>
      </c>
      <c r="J15">
        <v>1</v>
      </c>
      <c r="K15">
        <v>0</v>
      </c>
    </row>
    <row r="16" spans="1:11" x14ac:dyDescent="0.25">
      <c r="A16" t="str">
        <f>"12"</f>
        <v>12</v>
      </c>
      <c r="B16" t="str">
        <f t="shared" si="0"/>
        <v>1</v>
      </c>
      <c r="C16" t="str">
        <f t="shared" si="0"/>
        <v>1</v>
      </c>
      <c r="D16" t="str">
        <f>"7"</f>
        <v>7</v>
      </c>
      <c r="E16" t="str">
        <f>"1-1-7"</f>
        <v>1-1-7</v>
      </c>
      <c r="F16" t="s">
        <v>15</v>
      </c>
      <c r="G16" t="s">
        <v>16</v>
      </c>
      <c r="H16" t="s">
        <v>17</v>
      </c>
      <c r="I16">
        <v>0</v>
      </c>
      <c r="J16">
        <v>1</v>
      </c>
      <c r="K16">
        <v>0</v>
      </c>
    </row>
    <row r="17" spans="1:11" x14ac:dyDescent="0.25">
      <c r="A17" t="str">
        <f>"13"</f>
        <v>13</v>
      </c>
      <c r="B17" t="str">
        <f t="shared" si="0"/>
        <v>1</v>
      </c>
      <c r="C17" t="str">
        <f t="shared" si="0"/>
        <v>1</v>
      </c>
      <c r="D17" t="str">
        <f>"21"</f>
        <v>21</v>
      </c>
      <c r="E17" t="str">
        <f>"1-1-21"</f>
        <v>1-1-21</v>
      </c>
      <c r="F17" t="s">
        <v>15</v>
      </c>
      <c r="G17" t="s">
        <v>16</v>
      </c>
      <c r="H17" t="s">
        <v>17</v>
      </c>
      <c r="I17">
        <v>0</v>
      </c>
      <c r="J17">
        <v>0</v>
      </c>
      <c r="K17">
        <v>1</v>
      </c>
    </row>
    <row r="18" spans="1:11" x14ac:dyDescent="0.25">
      <c r="A18" t="str">
        <f>"14"</f>
        <v>14</v>
      </c>
      <c r="B18" t="str">
        <f t="shared" si="0"/>
        <v>1</v>
      </c>
      <c r="C18" t="str">
        <f t="shared" si="0"/>
        <v>1</v>
      </c>
      <c r="D18" t="str">
        <f>"11"</f>
        <v>11</v>
      </c>
      <c r="E18" t="str">
        <f>"1-1-11"</f>
        <v>1-1-11</v>
      </c>
      <c r="F18" t="s">
        <v>15</v>
      </c>
      <c r="G18" t="s">
        <v>18</v>
      </c>
      <c r="H18" t="s">
        <v>19</v>
      </c>
      <c r="I18">
        <v>1</v>
      </c>
      <c r="J18">
        <v>0</v>
      </c>
      <c r="K18">
        <v>0</v>
      </c>
    </row>
    <row r="19" spans="1:11" x14ac:dyDescent="0.25">
      <c r="A19" t="str">
        <f>"15"</f>
        <v>15</v>
      </c>
      <c r="B19" t="str">
        <f t="shared" si="0"/>
        <v>1</v>
      </c>
      <c r="C19" t="str">
        <f t="shared" si="0"/>
        <v>1</v>
      </c>
      <c r="D19" t="str">
        <f>"23"</f>
        <v>23</v>
      </c>
      <c r="E19" t="str">
        <f>"1-1-23"</f>
        <v>1-1-23</v>
      </c>
      <c r="F19" t="s">
        <v>15</v>
      </c>
      <c r="G19" t="s">
        <v>16</v>
      </c>
      <c r="H19" t="s">
        <v>17</v>
      </c>
      <c r="I19">
        <v>0</v>
      </c>
      <c r="J19">
        <v>0</v>
      </c>
      <c r="K19">
        <v>1</v>
      </c>
    </row>
    <row r="20" spans="1:11" x14ac:dyDescent="0.25">
      <c r="A20" t="str">
        <f>"16"</f>
        <v>16</v>
      </c>
      <c r="B20" t="str">
        <f t="shared" si="0"/>
        <v>1</v>
      </c>
      <c r="C20" t="str">
        <f t="shared" si="0"/>
        <v>1</v>
      </c>
      <c r="D20" t="str">
        <f>"5"</f>
        <v>5</v>
      </c>
      <c r="E20" t="str">
        <f>"1-1-5"</f>
        <v>1-1-5</v>
      </c>
      <c r="F20" t="s">
        <v>15</v>
      </c>
      <c r="G20" t="s">
        <v>20</v>
      </c>
      <c r="H20" t="s">
        <v>21</v>
      </c>
      <c r="I20">
        <v>0</v>
      </c>
      <c r="J20">
        <v>1</v>
      </c>
      <c r="K20">
        <v>0</v>
      </c>
    </row>
    <row r="21" spans="1:11" x14ac:dyDescent="0.25">
      <c r="A21" t="str">
        <f>"17"</f>
        <v>17</v>
      </c>
      <c r="B21" t="str">
        <f t="shared" si="0"/>
        <v>1</v>
      </c>
      <c r="C21" t="str">
        <f t="shared" si="0"/>
        <v>1</v>
      </c>
      <c r="D21" t="str">
        <f>"24"</f>
        <v>24</v>
      </c>
      <c r="E21" t="str">
        <f>"1-1-24"</f>
        <v>1-1-24</v>
      </c>
      <c r="F21" t="s">
        <v>15</v>
      </c>
      <c r="G21" t="s">
        <v>16</v>
      </c>
      <c r="H21" t="s">
        <v>17</v>
      </c>
      <c r="I21">
        <v>0</v>
      </c>
      <c r="J21">
        <v>0</v>
      </c>
      <c r="K21">
        <v>1</v>
      </c>
    </row>
    <row r="22" spans="1:11" x14ac:dyDescent="0.25">
      <c r="A22" t="str">
        <f>"18"</f>
        <v>18</v>
      </c>
      <c r="B22" t="str">
        <f t="shared" si="0"/>
        <v>1</v>
      </c>
      <c r="C22" t="str">
        <f t="shared" si="0"/>
        <v>1</v>
      </c>
      <c r="D22" t="str">
        <f>"4"</f>
        <v>4</v>
      </c>
      <c r="E22" t="str">
        <f>"1-1-4"</f>
        <v>1-1-4</v>
      </c>
      <c r="F22" t="s">
        <v>15</v>
      </c>
      <c r="G22" t="s">
        <v>16</v>
      </c>
      <c r="H22" t="s">
        <v>17</v>
      </c>
      <c r="I22">
        <v>0</v>
      </c>
      <c r="J22">
        <v>0</v>
      </c>
      <c r="K22">
        <v>1</v>
      </c>
    </row>
    <row r="23" spans="1:11" x14ac:dyDescent="0.25">
      <c r="A23" t="str">
        <f>"19"</f>
        <v>19</v>
      </c>
      <c r="B23" t="str">
        <f t="shared" si="0"/>
        <v>1</v>
      </c>
      <c r="C23" t="str">
        <f t="shared" si="0"/>
        <v>1</v>
      </c>
      <c r="D23" t="str">
        <f>"6"</f>
        <v>6</v>
      </c>
      <c r="E23" t="str">
        <f>"1-1-6"</f>
        <v>1-1-6</v>
      </c>
      <c r="F23" t="s">
        <v>15</v>
      </c>
      <c r="G23" t="s">
        <v>16</v>
      </c>
      <c r="H23" t="s">
        <v>17</v>
      </c>
      <c r="I23">
        <v>0</v>
      </c>
      <c r="J23">
        <v>1</v>
      </c>
      <c r="K23">
        <v>0</v>
      </c>
    </row>
    <row r="24" spans="1:11" x14ac:dyDescent="0.25">
      <c r="A24" t="str">
        <f>"20"</f>
        <v>20</v>
      </c>
      <c r="B24" t="str">
        <f t="shared" si="0"/>
        <v>1</v>
      </c>
      <c r="C24" t="str">
        <f t="shared" si="0"/>
        <v>1</v>
      </c>
      <c r="D24" t="str">
        <f>"13"</f>
        <v>13</v>
      </c>
      <c r="E24" t="str">
        <f>"1-1-13"</f>
        <v>1-1-13</v>
      </c>
      <c r="F24" t="s">
        <v>15</v>
      </c>
      <c r="G24" t="s">
        <v>16</v>
      </c>
      <c r="H24" t="s">
        <v>17</v>
      </c>
      <c r="I24">
        <v>1</v>
      </c>
      <c r="J24">
        <v>0</v>
      </c>
      <c r="K24">
        <v>0</v>
      </c>
    </row>
    <row r="25" spans="1:11" x14ac:dyDescent="0.25">
      <c r="A25" t="str">
        <f>"21"</f>
        <v>21</v>
      </c>
      <c r="B25" t="str">
        <f t="shared" si="0"/>
        <v>1</v>
      </c>
      <c r="C25" t="str">
        <f t="shared" si="0"/>
        <v>1</v>
      </c>
      <c r="D25" t="str">
        <f>"10"</f>
        <v>10</v>
      </c>
      <c r="E25" t="str">
        <f>"1-1-10"</f>
        <v>1-1-10</v>
      </c>
      <c r="F25" t="s">
        <v>15</v>
      </c>
      <c r="G25" t="s">
        <v>18</v>
      </c>
      <c r="H25" t="s">
        <v>19</v>
      </c>
      <c r="I25">
        <v>1</v>
      </c>
      <c r="J25">
        <v>0</v>
      </c>
      <c r="K25">
        <v>0</v>
      </c>
    </row>
    <row r="26" spans="1:11" x14ac:dyDescent="0.25">
      <c r="A26" t="str">
        <f>"22"</f>
        <v>22</v>
      </c>
      <c r="B26" t="str">
        <f t="shared" si="0"/>
        <v>1</v>
      </c>
      <c r="C26" t="str">
        <f t="shared" si="0"/>
        <v>1</v>
      </c>
      <c r="D26" t="str">
        <f>"3"</f>
        <v>3</v>
      </c>
      <c r="E26" t="str">
        <f>"1-1-3"</f>
        <v>1-1-3</v>
      </c>
      <c r="F26" t="s">
        <v>15</v>
      </c>
      <c r="G26" t="s">
        <v>16</v>
      </c>
      <c r="H26" t="s">
        <v>17</v>
      </c>
      <c r="I26">
        <v>0</v>
      </c>
      <c r="J26">
        <v>1</v>
      </c>
      <c r="K26">
        <v>0</v>
      </c>
    </row>
    <row r="27" spans="1:11" x14ac:dyDescent="0.25">
      <c r="A27" t="str">
        <f>"23"</f>
        <v>23</v>
      </c>
      <c r="B27" t="str">
        <f t="shared" si="0"/>
        <v>1</v>
      </c>
      <c r="C27" t="str">
        <f t="shared" si="0"/>
        <v>1</v>
      </c>
      <c r="D27" t="str">
        <f>"12"</f>
        <v>12</v>
      </c>
      <c r="E27" t="str">
        <f>"1-1-12"</f>
        <v>1-1-12</v>
      </c>
      <c r="F27" t="s">
        <v>15</v>
      </c>
      <c r="G27" t="s">
        <v>16</v>
      </c>
      <c r="H27" t="s">
        <v>17</v>
      </c>
      <c r="I27">
        <v>0</v>
      </c>
      <c r="J27">
        <v>0</v>
      </c>
      <c r="K27">
        <v>1</v>
      </c>
    </row>
    <row r="28" spans="1:11" x14ac:dyDescent="0.25">
      <c r="A28" t="str">
        <f>"24"</f>
        <v>24</v>
      </c>
      <c r="B28" t="str">
        <f t="shared" si="0"/>
        <v>1</v>
      </c>
      <c r="C28" t="str">
        <f t="shared" si="0"/>
        <v>1</v>
      </c>
      <c r="D28" t="str">
        <f>"17"</f>
        <v>17</v>
      </c>
      <c r="E28" t="str">
        <f>"1-1-17"</f>
        <v>1-1-17</v>
      </c>
      <c r="F28" t="s">
        <v>15</v>
      </c>
      <c r="G28" t="s">
        <v>16</v>
      </c>
      <c r="H28" t="s">
        <v>17</v>
      </c>
      <c r="I28">
        <v>0</v>
      </c>
      <c r="J28">
        <v>0</v>
      </c>
      <c r="K28">
        <v>0</v>
      </c>
    </row>
    <row r="29" spans="1:11" x14ac:dyDescent="0.25">
      <c r="A29" t="str">
        <f>"25"</f>
        <v>25</v>
      </c>
      <c r="B29" t="str">
        <f t="shared" si="0"/>
        <v>1</v>
      </c>
      <c r="C29" t="str">
        <f t="shared" si="0"/>
        <v>1</v>
      </c>
      <c r="D29" t="str">
        <f>"25"</f>
        <v>25</v>
      </c>
      <c r="E29" t="str">
        <f>"1-1-25"</f>
        <v>1-1-25</v>
      </c>
      <c r="F29" t="s">
        <v>15</v>
      </c>
      <c r="G29" t="s">
        <v>16</v>
      </c>
      <c r="H29" t="s">
        <v>17</v>
      </c>
      <c r="I29">
        <v>0</v>
      </c>
      <c r="J29">
        <v>1</v>
      </c>
      <c r="K29">
        <v>0</v>
      </c>
    </row>
    <row r="30" spans="1:11" x14ac:dyDescent="0.25">
      <c r="A30" t="str">
        <f>"26"</f>
        <v>26</v>
      </c>
      <c r="B30" t="str">
        <f t="shared" ref="B30:B82" si="1">"1"</f>
        <v>1</v>
      </c>
      <c r="C30" t="str">
        <f t="shared" ref="C30:C56" si="2">"2"</f>
        <v>2</v>
      </c>
      <c r="D30" t="str">
        <f>"22"</f>
        <v>22</v>
      </c>
      <c r="E30" t="str">
        <f>"1-2-22"</f>
        <v>1-2-22</v>
      </c>
      <c r="F30" t="s">
        <v>15</v>
      </c>
      <c r="G30" t="s">
        <v>20</v>
      </c>
      <c r="H30" t="s">
        <v>21</v>
      </c>
      <c r="I30">
        <v>0</v>
      </c>
      <c r="J30">
        <v>1</v>
      </c>
      <c r="K30">
        <v>0</v>
      </c>
    </row>
    <row r="31" spans="1:11" x14ac:dyDescent="0.25">
      <c r="A31" t="str">
        <f>"27"</f>
        <v>27</v>
      </c>
      <c r="B31" t="str">
        <f t="shared" si="1"/>
        <v>1</v>
      </c>
      <c r="C31" t="str">
        <f t="shared" si="2"/>
        <v>2</v>
      </c>
      <c r="D31" t="str">
        <f>"4"</f>
        <v>4</v>
      </c>
      <c r="E31" t="str">
        <f>"1-2-4"</f>
        <v>1-2-4</v>
      </c>
      <c r="F31" t="s">
        <v>15</v>
      </c>
      <c r="G31" t="s">
        <v>20</v>
      </c>
      <c r="H31" t="s">
        <v>21</v>
      </c>
      <c r="I31">
        <v>1</v>
      </c>
      <c r="J31">
        <v>0</v>
      </c>
      <c r="K31">
        <v>0</v>
      </c>
    </row>
    <row r="32" spans="1:11" x14ac:dyDescent="0.25">
      <c r="A32" t="str">
        <f>"28"</f>
        <v>28</v>
      </c>
      <c r="B32" t="str">
        <f t="shared" si="1"/>
        <v>1</v>
      </c>
      <c r="C32" t="str">
        <f t="shared" si="2"/>
        <v>2</v>
      </c>
      <c r="D32" t="str">
        <f>"21"</f>
        <v>21</v>
      </c>
      <c r="E32" t="str">
        <f>"1-2-21"</f>
        <v>1-2-21</v>
      </c>
      <c r="F32" t="s">
        <v>15</v>
      </c>
      <c r="G32" t="s">
        <v>20</v>
      </c>
      <c r="H32" t="s">
        <v>21</v>
      </c>
      <c r="I32">
        <v>0</v>
      </c>
      <c r="J32">
        <v>1</v>
      </c>
      <c r="K32">
        <v>0</v>
      </c>
    </row>
    <row r="33" spans="1:11" x14ac:dyDescent="0.25">
      <c r="A33" t="str">
        <f>"29"</f>
        <v>29</v>
      </c>
      <c r="B33" t="str">
        <f t="shared" si="1"/>
        <v>1</v>
      </c>
      <c r="C33" t="str">
        <f t="shared" si="2"/>
        <v>2</v>
      </c>
      <c r="D33" t="str">
        <f>"16"</f>
        <v>16</v>
      </c>
      <c r="E33" t="str">
        <f>"1-2-16"</f>
        <v>1-2-16</v>
      </c>
      <c r="F33" t="s">
        <v>15</v>
      </c>
      <c r="G33" t="s">
        <v>20</v>
      </c>
      <c r="H33" t="s">
        <v>21</v>
      </c>
      <c r="I33">
        <v>1</v>
      </c>
      <c r="J33">
        <v>0</v>
      </c>
      <c r="K33">
        <v>0</v>
      </c>
    </row>
    <row r="34" spans="1:11" x14ac:dyDescent="0.25">
      <c r="A34" t="str">
        <f>"30"</f>
        <v>30</v>
      </c>
      <c r="B34" t="str">
        <f t="shared" si="1"/>
        <v>1</v>
      </c>
      <c r="C34" t="str">
        <f t="shared" si="2"/>
        <v>2</v>
      </c>
      <c r="D34" t="str">
        <f>"6"</f>
        <v>6</v>
      </c>
      <c r="E34" t="str">
        <f>"1-2-6"</f>
        <v>1-2-6</v>
      </c>
      <c r="F34" t="s">
        <v>15</v>
      </c>
      <c r="G34" t="s">
        <v>20</v>
      </c>
      <c r="H34" t="s">
        <v>21</v>
      </c>
      <c r="I34">
        <v>1</v>
      </c>
      <c r="J34">
        <v>0</v>
      </c>
      <c r="K34">
        <v>0</v>
      </c>
    </row>
    <row r="35" spans="1:11" x14ac:dyDescent="0.25">
      <c r="A35" t="str">
        <f>"31"</f>
        <v>31</v>
      </c>
      <c r="B35" t="str">
        <f t="shared" si="1"/>
        <v>1</v>
      </c>
      <c r="C35" t="str">
        <f t="shared" si="2"/>
        <v>2</v>
      </c>
      <c r="D35" t="str">
        <f>"17"</f>
        <v>17</v>
      </c>
      <c r="E35" t="str">
        <f>"1-2-17"</f>
        <v>1-2-17</v>
      </c>
      <c r="F35" t="s">
        <v>15</v>
      </c>
      <c r="G35" t="s">
        <v>20</v>
      </c>
      <c r="H35" t="s">
        <v>21</v>
      </c>
      <c r="I35">
        <v>0</v>
      </c>
      <c r="J35">
        <v>1</v>
      </c>
      <c r="K35">
        <v>0</v>
      </c>
    </row>
    <row r="36" spans="1:11" x14ac:dyDescent="0.25">
      <c r="A36" t="str">
        <f>"32"</f>
        <v>32</v>
      </c>
      <c r="B36" t="str">
        <f t="shared" si="1"/>
        <v>1</v>
      </c>
      <c r="C36" t="str">
        <f t="shared" si="2"/>
        <v>2</v>
      </c>
      <c r="D36" t="str">
        <f>"18"</f>
        <v>18</v>
      </c>
      <c r="E36" t="str">
        <f>"1-2-18"</f>
        <v>1-2-18</v>
      </c>
      <c r="F36" t="s">
        <v>15</v>
      </c>
      <c r="G36" t="s">
        <v>20</v>
      </c>
      <c r="H36" t="s">
        <v>21</v>
      </c>
      <c r="I36">
        <v>0</v>
      </c>
      <c r="J36">
        <v>1</v>
      </c>
      <c r="K36">
        <v>0</v>
      </c>
    </row>
    <row r="37" spans="1:11" x14ac:dyDescent="0.25">
      <c r="A37" t="str">
        <f>"33"</f>
        <v>33</v>
      </c>
      <c r="B37" t="str">
        <f t="shared" si="1"/>
        <v>1</v>
      </c>
      <c r="C37" t="str">
        <f t="shared" si="2"/>
        <v>2</v>
      </c>
      <c r="D37" t="str">
        <f>"19"</f>
        <v>19</v>
      </c>
      <c r="E37" t="str">
        <f>"1-2-19"</f>
        <v>1-2-19</v>
      </c>
      <c r="F37" t="s">
        <v>15</v>
      </c>
      <c r="G37" t="s">
        <v>20</v>
      </c>
      <c r="H37" t="s">
        <v>21</v>
      </c>
      <c r="I37">
        <v>0</v>
      </c>
      <c r="J37">
        <v>0</v>
      </c>
      <c r="K37">
        <v>1</v>
      </c>
    </row>
    <row r="38" spans="1:11" x14ac:dyDescent="0.25">
      <c r="A38" t="str">
        <f>"34"</f>
        <v>34</v>
      </c>
      <c r="B38" t="str">
        <f t="shared" si="1"/>
        <v>1</v>
      </c>
      <c r="C38" t="str">
        <f t="shared" si="2"/>
        <v>2</v>
      </c>
      <c r="D38" t="str">
        <f>"2"</f>
        <v>2</v>
      </c>
      <c r="E38" t="str">
        <f>"1-2-2"</f>
        <v>1-2-2</v>
      </c>
      <c r="F38" t="s">
        <v>15</v>
      </c>
      <c r="G38" t="s">
        <v>20</v>
      </c>
      <c r="H38" t="s">
        <v>21</v>
      </c>
      <c r="I38">
        <v>0</v>
      </c>
      <c r="J38">
        <v>1</v>
      </c>
      <c r="K38">
        <v>0</v>
      </c>
    </row>
    <row r="39" spans="1:11" x14ac:dyDescent="0.25">
      <c r="A39" t="str">
        <f>"35"</f>
        <v>35</v>
      </c>
      <c r="B39" t="str">
        <f t="shared" si="1"/>
        <v>1</v>
      </c>
      <c r="C39" t="str">
        <f t="shared" si="2"/>
        <v>2</v>
      </c>
      <c r="D39" t="str">
        <f>"20"</f>
        <v>20</v>
      </c>
      <c r="E39" t="str">
        <f>"1-2-20"</f>
        <v>1-2-20</v>
      </c>
      <c r="F39" t="s">
        <v>15</v>
      </c>
      <c r="G39" t="s">
        <v>20</v>
      </c>
      <c r="H39" t="s">
        <v>21</v>
      </c>
      <c r="I39">
        <v>0</v>
      </c>
      <c r="J39">
        <v>1</v>
      </c>
      <c r="K39">
        <v>0</v>
      </c>
    </row>
    <row r="40" spans="1:11" x14ac:dyDescent="0.25">
      <c r="A40" t="str">
        <f>"36"</f>
        <v>36</v>
      </c>
      <c r="B40" t="str">
        <f t="shared" si="1"/>
        <v>1</v>
      </c>
      <c r="C40" t="str">
        <f t="shared" si="2"/>
        <v>2</v>
      </c>
      <c r="D40" t="str">
        <f>"11"</f>
        <v>11</v>
      </c>
      <c r="E40" t="str">
        <f>"1-2-11"</f>
        <v>1-2-11</v>
      </c>
      <c r="F40" t="s">
        <v>15</v>
      </c>
      <c r="G40" t="s">
        <v>20</v>
      </c>
      <c r="H40" t="s">
        <v>21</v>
      </c>
      <c r="I40">
        <v>0</v>
      </c>
      <c r="J40">
        <v>0</v>
      </c>
      <c r="K40">
        <v>1</v>
      </c>
    </row>
    <row r="41" spans="1:11" x14ac:dyDescent="0.25">
      <c r="A41" t="str">
        <f>"37"</f>
        <v>37</v>
      </c>
      <c r="B41" t="str">
        <f t="shared" si="1"/>
        <v>1</v>
      </c>
      <c r="C41" t="str">
        <f t="shared" si="2"/>
        <v>2</v>
      </c>
      <c r="D41" t="str">
        <f>"23"</f>
        <v>23</v>
      </c>
      <c r="E41" t="str">
        <f>"1-2-23"</f>
        <v>1-2-23</v>
      </c>
      <c r="F41" t="s">
        <v>15</v>
      </c>
      <c r="G41" t="s">
        <v>20</v>
      </c>
      <c r="H41" t="s">
        <v>21</v>
      </c>
      <c r="I41">
        <v>1</v>
      </c>
      <c r="J41">
        <v>0</v>
      </c>
      <c r="K41">
        <v>0</v>
      </c>
    </row>
    <row r="42" spans="1:11" x14ac:dyDescent="0.25">
      <c r="A42" t="str">
        <f>"38"</f>
        <v>38</v>
      </c>
      <c r="B42" t="str">
        <f t="shared" si="1"/>
        <v>1</v>
      </c>
      <c r="C42" t="str">
        <f t="shared" si="2"/>
        <v>2</v>
      </c>
      <c r="D42" t="str">
        <f>"14"</f>
        <v>14</v>
      </c>
      <c r="E42" t="str">
        <f>"1-2-14"</f>
        <v>1-2-14</v>
      </c>
      <c r="F42" t="s">
        <v>15</v>
      </c>
      <c r="G42" t="s">
        <v>20</v>
      </c>
      <c r="H42" t="s">
        <v>21</v>
      </c>
      <c r="I42">
        <v>0</v>
      </c>
      <c r="J42">
        <v>1</v>
      </c>
      <c r="K42">
        <v>0</v>
      </c>
    </row>
    <row r="43" spans="1:11" x14ac:dyDescent="0.25">
      <c r="A43" t="str">
        <f>"39"</f>
        <v>39</v>
      </c>
      <c r="B43" t="str">
        <f t="shared" si="1"/>
        <v>1</v>
      </c>
      <c r="C43" t="str">
        <f t="shared" si="2"/>
        <v>2</v>
      </c>
      <c r="D43" t="str">
        <f>"24"</f>
        <v>24</v>
      </c>
      <c r="E43" t="str">
        <f>"1-2-24"</f>
        <v>1-2-24</v>
      </c>
      <c r="F43" t="s">
        <v>15</v>
      </c>
      <c r="G43" t="s">
        <v>20</v>
      </c>
      <c r="H43" t="s">
        <v>21</v>
      </c>
      <c r="I43">
        <v>1</v>
      </c>
      <c r="J43">
        <v>0</v>
      </c>
      <c r="K43">
        <v>0</v>
      </c>
    </row>
    <row r="44" spans="1:11" x14ac:dyDescent="0.25">
      <c r="A44" t="str">
        <f>"40"</f>
        <v>40</v>
      </c>
      <c r="B44" t="str">
        <f t="shared" si="1"/>
        <v>1</v>
      </c>
      <c r="C44" t="str">
        <f t="shared" si="2"/>
        <v>2</v>
      </c>
      <c r="D44" t="str">
        <f>"13"</f>
        <v>13</v>
      </c>
      <c r="E44" t="str">
        <f>"1-2-13"</f>
        <v>1-2-13</v>
      </c>
      <c r="F44" t="s">
        <v>15</v>
      </c>
      <c r="G44" t="s">
        <v>20</v>
      </c>
      <c r="H44" t="s">
        <v>21</v>
      </c>
      <c r="I44">
        <v>0</v>
      </c>
      <c r="J44">
        <v>1</v>
      </c>
      <c r="K44">
        <v>0</v>
      </c>
    </row>
    <row r="45" spans="1:11" x14ac:dyDescent="0.25">
      <c r="A45" t="str">
        <f>"41"</f>
        <v>41</v>
      </c>
      <c r="B45" t="str">
        <f t="shared" si="1"/>
        <v>1</v>
      </c>
      <c r="C45" t="str">
        <f t="shared" si="2"/>
        <v>2</v>
      </c>
      <c r="D45" t="str">
        <f>"25"</f>
        <v>25</v>
      </c>
      <c r="E45" t="str">
        <f>"1-2-25"</f>
        <v>1-2-25</v>
      </c>
      <c r="F45" t="s">
        <v>15</v>
      </c>
      <c r="G45" t="s">
        <v>20</v>
      </c>
      <c r="H45" t="s">
        <v>21</v>
      </c>
      <c r="I45">
        <v>0</v>
      </c>
      <c r="J45">
        <v>0</v>
      </c>
      <c r="K45">
        <v>1</v>
      </c>
    </row>
    <row r="46" spans="1:11" x14ac:dyDescent="0.25">
      <c r="A46" t="str">
        <f>"42"</f>
        <v>42</v>
      </c>
      <c r="B46" t="str">
        <f t="shared" si="1"/>
        <v>1</v>
      </c>
      <c r="C46" t="str">
        <f t="shared" si="2"/>
        <v>2</v>
      </c>
      <c r="D46" t="str">
        <f>"1"</f>
        <v>1</v>
      </c>
      <c r="E46" t="str">
        <f>"1-2-1"</f>
        <v>1-2-1</v>
      </c>
      <c r="F46" t="s">
        <v>15</v>
      </c>
      <c r="G46" t="s">
        <v>20</v>
      </c>
      <c r="H46" t="s">
        <v>21</v>
      </c>
      <c r="I46">
        <v>0</v>
      </c>
      <c r="J46">
        <v>0</v>
      </c>
      <c r="K46">
        <v>1</v>
      </c>
    </row>
    <row r="47" spans="1:11" x14ac:dyDescent="0.25">
      <c r="A47" t="str">
        <f>"43"</f>
        <v>43</v>
      </c>
      <c r="B47" t="str">
        <f t="shared" si="1"/>
        <v>1</v>
      </c>
      <c r="C47" t="str">
        <f t="shared" si="2"/>
        <v>2</v>
      </c>
      <c r="D47" t="str">
        <f>"26"</f>
        <v>26</v>
      </c>
      <c r="E47" t="str">
        <f>"1-2-26"</f>
        <v>1-2-26</v>
      </c>
      <c r="F47" t="s">
        <v>15</v>
      </c>
      <c r="G47" t="s">
        <v>20</v>
      </c>
      <c r="H47" t="s">
        <v>21</v>
      </c>
      <c r="I47">
        <v>0</v>
      </c>
      <c r="J47">
        <v>0</v>
      </c>
      <c r="K47">
        <v>1</v>
      </c>
    </row>
    <row r="48" spans="1:11" x14ac:dyDescent="0.25">
      <c r="A48" t="str">
        <f>"44"</f>
        <v>44</v>
      </c>
      <c r="B48" t="str">
        <f t="shared" si="1"/>
        <v>1</v>
      </c>
      <c r="C48" t="str">
        <f t="shared" si="2"/>
        <v>2</v>
      </c>
      <c r="D48" t="str">
        <f>"5"</f>
        <v>5</v>
      </c>
      <c r="E48" t="str">
        <f>"1-2-5"</f>
        <v>1-2-5</v>
      </c>
      <c r="F48" t="s">
        <v>15</v>
      </c>
      <c r="G48" t="s">
        <v>20</v>
      </c>
      <c r="H48" t="s">
        <v>21</v>
      </c>
      <c r="I48">
        <v>0</v>
      </c>
      <c r="J48">
        <v>1</v>
      </c>
      <c r="K48">
        <v>0</v>
      </c>
    </row>
    <row r="49" spans="1:11" x14ac:dyDescent="0.25">
      <c r="A49" t="str">
        <f>"45"</f>
        <v>45</v>
      </c>
      <c r="B49" t="str">
        <f t="shared" si="1"/>
        <v>1</v>
      </c>
      <c r="C49" t="str">
        <f t="shared" si="2"/>
        <v>2</v>
      </c>
      <c r="D49" t="str">
        <f>"27"</f>
        <v>27</v>
      </c>
      <c r="E49" t="str">
        <f>"1-2-27"</f>
        <v>1-2-27</v>
      </c>
      <c r="F49" t="s">
        <v>15</v>
      </c>
      <c r="G49" t="s">
        <v>20</v>
      </c>
      <c r="H49" t="s">
        <v>21</v>
      </c>
      <c r="I49">
        <v>0</v>
      </c>
      <c r="J49">
        <v>1</v>
      </c>
      <c r="K49">
        <v>0</v>
      </c>
    </row>
    <row r="50" spans="1:11" x14ac:dyDescent="0.25">
      <c r="A50" t="str">
        <f>"46"</f>
        <v>46</v>
      </c>
      <c r="B50" t="str">
        <f t="shared" si="1"/>
        <v>1</v>
      </c>
      <c r="C50" t="str">
        <f t="shared" si="2"/>
        <v>2</v>
      </c>
      <c r="D50" t="str">
        <f>"12"</f>
        <v>12</v>
      </c>
      <c r="E50" t="str">
        <f>"1-2-12"</f>
        <v>1-2-12</v>
      </c>
      <c r="F50" t="s">
        <v>15</v>
      </c>
      <c r="G50" t="s">
        <v>20</v>
      </c>
      <c r="H50" t="s">
        <v>21</v>
      </c>
      <c r="I50">
        <v>0</v>
      </c>
      <c r="J50">
        <v>0</v>
      </c>
      <c r="K50">
        <v>1</v>
      </c>
    </row>
    <row r="51" spans="1:11" x14ac:dyDescent="0.25">
      <c r="A51" t="str">
        <f>"47"</f>
        <v>47</v>
      </c>
      <c r="B51" t="str">
        <f t="shared" si="1"/>
        <v>1</v>
      </c>
      <c r="C51" t="str">
        <f t="shared" si="2"/>
        <v>2</v>
      </c>
      <c r="D51" t="str">
        <f>"10"</f>
        <v>10</v>
      </c>
      <c r="E51" t="str">
        <f>"1-2-10"</f>
        <v>1-2-10</v>
      </c>
      <c r="F51" t="s">
        <v>15</v>
      </c>
      <c r="G51" t="s">
        <v>20</v>
      </c>
      <c r="H51" t="s">
        <v>21</v>
      </c>
      <c r="I51">
        <v>1</v>
      </c>
      <c r="J51">
        <v>0</v>
      </c>
      <c r="K51">
        <v>0</v>
      </c>
    </row>
    <row r="52" spans="1:11" x14ac:dyDescent="0.25">
      <c r="A52" t="str">
        <f>"48"</f>
        <v>48</v>
      </c>
      <c r="B52" t="str">
        <f t="shared" si="1"/>
        <v>1</v>
      </c>
      <c r="C52" t="str">
        <f t="shared" si="2"/>
        <v>2</v>
      </c>
      <c r="D52" t="str">
        <f>"8"</f>
        <v>8</v>
      </c>
      <c r="E52" t="str">
        <f>"1-2-8"</f>
        <v>1-2-8</v>
      </c>
      <c r="F52" t="s">
        <v>15</v>
      </c>
      <c r="G52" t="s">
        <v>20</v>
      </c>
      <c r="H52" t="s">
        <v>21</v>
      </c>
      <c r="I52">
        <v>0</v>
      </c>
      <c r="J52">
        <v>0</v>
      </c>
      <c r="K52">
        <v>1</v>
      </c>
    </row>
    <row r="53" spans="1:11" x14ac:dyDescent="0.25">
      <c r="A53" t="str">
        <f>"49"</f>
        <v>49</v>
      </c>
      <c r="B53" t="str">
        <f t="shared" si="1"/>
        <v>1</v>
      </c>
      <c r="C53" t="str">
        <f t="shared" si="2"/>
        <v>2</v>
      </c>
      <c r="D53" t="str">
        <f>"3"</f>
        <v>3</v>
      </c>
      <c r="E53" t="str">
        <f>"1-2-3"</f>
        <v>1-2-3</v>
      </c>
      <c r="F53" t="s">
        <v>15</v>
      </c>
      <c r="G53" t="s">
        <v>20</v>
      </c>
      <c r="H53" t="s">
        <v>21</v>
      </c>
      <c r="I53">
        <v>0</v>
      </c>
      <c r="J53">
        <v>0</v>
      </c>
      <c r="K53">
        <v>0</v>
      </c>
    </row>
    <row r="54" spans="1:11" x14ac:dyDescent="0.25">
      <c r="A54" t="str">
        <f>"50"</f>
        <v>50</v>
      </c>
      <c r="B54" t="str">
        <f t="shared" si="1"/>
        <v>1</v>
      </c>
      <c r="C54" t="str">
        <f t="shared" si="2"/>
        <v>2</v>
      </c>
      <c r="D54" t="str">
        <f>"9"</f>
        <v>9</v>
      </c>
      <c r="E54" t="str">
        <f>"1-2-9"</f>
        <v>1-2-9</v>
      </c>
      <c r="F54" t="s">
        <v>15</v>
      </c>
      <c r="G54" t="s">
        <v>20</v>
      </c>
      <c r="H54" t="s">
        <v>21</v>
      </c>
      <c r="I54">
        <v>0</v>
      </c>
      <c r="J54">
        <v>0</v>
      </c>
      <c r="K54">
        <v>0</v>
      </c>
    </row>
    <row r="55" spans="1:11" x14ac:dyDescent="0.25">
      <c r="A55" t="str">
        <f>"51"</f>
        <v>51</v>
      </c>
      <c r="B55" t="str">
        <f t="shared" si="1"/>
        <v>1</v>
      </c>
      <c r="C55" t="str">
        <f t="shared" si="2"/>
        <v>2</v>
      </c>
      <c r="D55" t="str">
        <f>"7"</f>
        <v>7</v>
      </c>
      <c r="E55" t="str">
        <f>"1-2-7"</f>
        <v>1-2-7</v>
      </c>
      <c r="F55" t="s">
        <v>15</v>
      </c>
      <c r="G55" t="s">
        <v>20</v>
      </c>
      <c r="H55" t="s">
        <v>21</v>
      </c>
      <c r="I55">
        <v>0</v>
      </c>
      <c r="J55">
        <v>0</v>
      </c>
      <c r="K55">
        <v>0</v>
      </c>
    </row>
    <row r="56" spans="1:11" x14ac:dyDescent="0.25">
      <c r="A56" t="str">
        <f>"52"</f>
        <v>52</v>
      </c>
      <c r="B56" t="str">
        <f t="shared" si="1"/>
        <v>1</v>
      </c>
      <c r="C56" t="str">
        <f t="shared" si="2"/>
        <v>2</v>
      </c>
      <c r="D56" t="str">
        <f>"15"</f>
        <v>15</v>
      </c>
      <c r="E56" t="str">
        <f>"1-2-15"</f>
        <v>1-2-15</v>
      </c>
      <c r="F56" t="s">
        <v>15</v>
      </c>
      <c r="G56" t="s">
        <v>20</v>
      </c>
      <c r="H56" t="s">
        <v>21</v>
      </c>
      <c r="I56">
        <v>0</v>
      </c>
      <c r="J56">
        <v>0</v>
      </c>
      <c r="K56">
        <v>0</v>
      </c>
    </row>
    <row r="57" spans="1:11" x14ac:dyDescent="0.25">
      <c r="A57" t="str">
        <f>"53"</f>
        <v>53</v>
      </c>
      <c r="B57" t="str">
        <f t="shared" si="1"/>
        <v>1</v>
      </c>
      <c r="C57" t="str">
        <f t="shared" ref="C57:C82" si="3">"3"</f>
        <v>3</v>
      </c>
      <c r="D57" t="str">
        <f>"15"</f>
        <v>15</v>
      </c>
      <c r="E57" t="str">
        <f>"1-3-15"</f>
        <v>1-3-15</v>
      </c>
      <c r="F57" t="s">
        <v>15</v>
      </c>
      <c r="G57" t="s">
        <v>16</v>
      </c>
      <c r="H57" t="s">
        <v>17</v>
      </c>
      <c r="I57">
        <v>0</v>
      </c>
      <c r="J57">
        <v>1</v>
      </c>
      <c r="K57">
        <v>0</v>
      </c>
    </row>
    <row r="58" spans="1:11" x14ac:dyDescent="0.25">
      <c r="A58" t="str">
        <f>"54"</f>
        <v>54</v>
      </c>
      <c r="B58" t="str">
        <f t="shared" si="1"/>
        <v>1</v>
      </c>
      <c r="C58" t="str">
        <f t="shared" si="3"/>
        <v>3</v>
      </c>
      <c r="D58" t="str">
        <f>"2"</f>
        <v>2</v>
      </c>
      <c r="E58" t="str">
        <f>"1-3-2"</f>
        <v>1-3-2</v>
      </c>
      <c r="F58" t="s">
        <v>15</v>
      </c>
      <c r="G58" t="s">
        <v>18</v>
      </c>
      <c r="H58" t="s">
        <v>19</v>
      </c>
      <c r="I58">
        <v>0</v>
      </c>
      <c r="J58">
        <v>1</v>
      </c>
      <c r="K58">
        <v>0</v>
      </c>
    </row>
    <row r="59" spans="1:11" x14ac:dyDescent="0.25">
      <c r="A59" t="str">
        <f>"55"</f>
        <v>55</v>
      </c>
      <c r="B59" t="str">
        <f t="shared" si="1"/>
        <v>1</v>
      </c>
      <c r="C59" t="str">
        <f t="shared" si="3"/>
        <v>3</v>
      </c>
      <c r="D59" t="str">
        <f>"21"</f>
        <v>21</v>
      </c>
      <c r="E59" t="str">
        <f>"1-3-21"</f>
        <v>1-3-21</v>
      </c>
      <c r="F59" t="s">
        <v>15</v>
      </c>
      <c r="G59" t="s">
        <v>16</v>
      </c>
      <c r="H59" t="s">
        <v>17</v>
      </c>
      <c r="I59">
        <v>0</v>
      </c>
      <c r="J59">
        <v>1</v>
      </c>
      <c r="K59">
        <v>0</v>
      </c>
    </row>
    <row r="60" spans="1:11" x14ac:dyDescent="0.25">
      <c r="A60" t="str">
        <f>"56"</f>
        <v>56</v>
      </c>
      <c r="B60" t="str">
        <f t="shared" si="1"/>
        <v>1</v>
      </c>
      <c r="C60" t="str">
        <f t="shared" si="3"/>
        <v>3</v>
      </c>
      <c r="D60" t="str">
        <f>"16"</f>
        <v>16</v>
      </c>
      <c r="E60" t="str">
        <f>"1-3-16"</f>
        <v>1-3-16</v>
      </c>
      <c r="F60" t="s">
        <v>15</v>
      </c>
      <c r="G60" t="s">
        <v>16</v>
      </c>
      <c r="H60" t="s">
        <v>17</v>
      </c>
      <c r="I60">
        <v>1</v>
      </c>
      <c r="J60">
        <v>0</v>
      </c>
      <c r="K60">
        <v>0</v>
      </c>
    </row>
    <row r="61" spans="1:11" x14ac:dyDescent="0.25">
      <c r="A61" t="str">
        <f>"57"</f>
        <v>57</v>
      </c>
      <c r="B61" t="str">
        <f t="shared" si="1"/>
        <v>1</v>
      </c>
      <c r="C61" t="str">
        <f t="shared" si="3"/>
        <v>3</v>
      </c>
      <c r="D61" t="str">
        <f>"9"</f>
        <v>9</v>
      </c>
      <c r="E61" t="str">
        <f>"1-3-9"</f>
        <v>1-3-9</v>
      </c>
      <c r="F61" t="s">
        <v>15</v>
      </c>
      <c r="G61" t="s">
        <v>20</v>
      </c>
      <c r="H61" t="s">
        <v>21</v>
      </c>
      <c r="I61">
        <v>0</v>
      </c>
      <c r="J61">
        <v>1</v>
      </c>
      <c r="K61">
        <v>0</v>
      </c>
    </row>
    <row r="62" spans="1:11" x14ac:dyDescent="0.25">
      <c r="A62" t="str">
        <f>"58"</f>
        <v>58</v>
      </c>
      <c r="B62" t="str">
        <f t="shared" si="1"/>
        <v>1</v>
      </c>
      <c r="C62" t="str">
        <f t="shared" si="3"/>
        <v>3</v>
      </c>
      <c r="D62" t="str">
        <f>"17"</f>
        <v>17</v>
      </c>
      <c r="E62" t="str">
        <f>"1-3-17"</f>
        <v>1-3-17</v>
      </c>
      <c r="F62" t="s">
        <v>15</v>
      </c>
      <c r="G62" t="s">
        <v>16</v>
      </c>
      <c r="H62" t="s">
        <v>17</v>
      </c>
      <c r="I62">
        <v>0</v>
      </c>
      <c r="J62">
        <v>1</v>
      </c>
      <c r="K62">
        <v>0</v>
      </c>
    </row>
    <row r="63" spans="1:11" x14ac:dyDescent="0.25">
      <c r="A63" t="str">
        <f>"59"</f>
        <v>59</v>
      </c>
      <c r="B63" t="str">
        <f t="shared" si="1"/>
        <v>1</v>
      </c>
      <c r="C63" t="str">
        <f t="shared" si="3"/>
        <v>3</v>
      </c>
      <c r="D63" t="str">
        <f>"1"</f>
        <v>1</v>
      </c>
      <c r="E63" t="str">
        <f>"1-3-1"</f>
        <v>1-3-1</v>
      </c>
      <c r="F63" t="s">
        <v>15</v>
      </c>
      <c r="G63" t="s">
        <v>16</v>
      </c>
      <c r="H63" t="s">
        <v>17</v>
      </c>
      <c r="I63">
        <v>0</v>
      </c>
      <c r="J63">
        <v>0</v>
      </c>
      <c r="K63">
        <v>1</v>
      </c>
    </row>
    <row r="64" spans="1:11" x14ac:dyDescent="0.25">
      <c r="A64" t="str">
        <f>"60"</f>
        <v>60</v>
      </c>
      <c r="B64" t="str">
        <f t="shared" si="1"/>
        <v>1</v>
      </c>
      <c r="C64" t="str">
        <f t="shared" si="3"/>
        <v>3</v>
      </c>
      <c r="D64" t="str">
        <f>"18"</f>
        <v>18</v>
      </c>
      <c r="E64" t="str">
        <f>"1-3-18"</f>
        <v>1-3-18</v>
      </c>
      <c r="F64" t="s">
        <v>15</v>
      </c>
      <c r="G64" t="s">
        <v>16</v>
      </c>
      <c r="H64" t="s">
        <v>17</v>
      </c>
      <c r="I64">
        <v>1</v>
      </c>
      <c r="J64">
        <v>0</v>
      </c>
      <c r="K64">
        <v>0</v>
      </c>
    </row>
    <row r="65" spans="1:11" x14ac:dyDescent="0.25">
      <c r="A65" t="str">
        <f>"61"</f>
        <v>61</v>
      </c>
      <c r="B65" t="str">
        <f t="shared" si="1"/>
        <v>1</v>
      </c>
      <c r="C65" t="str">
        <f t="shared" si="3"/>
        <v>3</v>
      </c>
      <c r="D65" t="str">
        <f>"10"</f>
        <v>10</v>
      </c>
      <c r="E65" t="str">
        <f>"1-3-10"</f>
        <v>1-3-10</v>
      </c>
      <c r="F65" t="s">
        <v>15</v>
      </c>
      <c r="G65" t="s">
        <v>16</v>
      </c>
      <c r="H65" t="s">
        <v>17</v>
      </c>
      <c r="I65">
        <v>0</v>
      </c>
      <c r="J65">
        <v>1</v>
      </c>
      <c r="K65">
        <v>0</v>
      </c>
    </row>
    <row r="66" spans="1:11" x14ac:dyDescent="0.25">
      <c r="A66" t="str">
        <f>"62"</f>
        <v>62</v>
      </c>
      <c r="B66" t="str">
        <f t="shared" si="1"/>
        <v>1</v>
      </c>
      <c r="C66" t="str">
        <f t="shared" si="3"/>
        <v>3</v>
      </c>
      <c r="D66" t="str">
        <f>"19"</f>
        <v>19</v>
      </c>
      <c r="E66" t="str">
        <f>"1-3-19"</f>
        <v>1-3-19</v>
      </c>
      <c r="F66" t="s">
        <v>15</v>
      </c>
      <c r="G66" t="s">
        <v>18</v>
      </c>
      <c r="H66" t="s">
        <v>19</v>
      </c>
      <c r="I66">
        <v>0</v>
      </c>
      <c r="J66">
        <v>1</v>
      </c>
      <c r="K66">
        <v>0</v>
      </c>
    </row>
    <row r="67" spans="1:11" x14ac:dyDescent="0.25">
      <c r="A67" t="str">
        <f>"63"</f>
        <v>63</v>
      </c>
      <c r="B67" t="str">
        <f t="shared" si="1"/>
        <v>1</v>
      </c>
      <c r="C67" t="str">
        <f t="shared" si="3"/>
        <v>3</v>
      </c>
      <c r="D67" t="str">
        <f>"12"</f>
        <v>12</v>
      </c>
      <c r="E67" t="str">
        <f>"1-3-12"</f>
        <v>1-3-12</v>
      </c>
      <c r="F67" t="s">
        <v>15</v>
      </c>
      <c r="G67" t="s">
        <v>18</v>
      </c>
      <c r="H67" t="s">
        <v>19</v>
      </c>
      <c r="I67">
        <v>1</v>
      </c>
      <c r="J67">
        <v>0</v>
      </c>
      <c r="K67">
        <v>0</v>
      </c>
    </row>
    <row r="68" spans="1:11" x14ac:dyDescent="0.25">
      <c r="A68" t="str">
        <f>"64"</f>
        <v>64</v>
      </c>
      <c r="B68" t="str">
        <f t="shared" si="1"/>
        <v>1</v>
      </c>
      <c r="C68" t="str">
        <f t="shared" si="3"/>
        <v>3</v>
      </c>
      <c r="D68" t="str">
        <f>"20"</f>
        <v>20</v>
      </c>
      <c r="E68" t="str">
        <f>"1-3-20"</f>
        <v>1-3-20</v>
      </c>
      <c r="F68" t="s">
        <v>15</v>
      </c>
      <c r="G68" t="s">
        <v>16</v>
      </c>
      <c r="H68" t="s">
        <v>17</v>
      </c>
      <c r="I68">
        <v>0</v>
      </c>
      <c r="J68">
        <v>1</v>
      </c>
      <c r="K68">
        <v>0</v>
      </c>
    </row>
    <row r="69" spans="1:11" x14ac:dyDescent="0.25">
      <c r="A69" t="str">
        <f>"65"</f>
        <v>65</v>
      </c>
      <c r="B69" t="str">
        <f t="shared" si="1"/>
        <v>1</v>
      </c>
      <c r="C69" t="str">
        <f t="shared" si="3"/>
        <v>3</v>
      </c>
      <c r="D69" t="str">
        <f>"22"</f>
        <v>22</v>
      </c>
      <c r="E69" t="str">
        <f>"1-3-22"</f>
        <v>1-3-22</v>
      </c>
      <c r="F69" t="s">
        <v>15</v>
      </c>
      <c r="G69" t="s">
        <v>16</v>
      </c>
      <c r="H69" t="s">
        <v>17</v>
      </c>
      <c r="I69">
        <v>1</v>
      </c>
      <c r="J69">
        <v>0</v>
      </c>
      <c r="K69">
        <v>0</v>
      </c>
    </row>
    <row r="70" spans="1:11" x14ac:dyDescent="0.25">
      <c r="A70" t="str">
        <f>"66"</f>
        <v>66</v>
      </c>
      <c r="B70" t="str">
        <f t="shared" si="1"/>
        <v>1</v>
      </c>
      <c r="C70" t="str">
        <f t="shared" si="3"/>
        <v>3</v>
      </c>
      <c r="D70" t="str">
        <f>"11"</f>
        <v>11</v>
      </c>
      <c r="E70" t="str">
        <f>"1-3-11"</f>
        <v>1-3-11</v>
      </c>
      <c r="F70" t="s">
        <v>15</v>
      </c>
      <c r="G70" t="s">
        <v>16</v>
      </c>
      <c r="H70" t="s">
        <v>17</v>
      </c>
      <c r="I70">
        <v>1</v>
      </c>
      <c r="J70">
        <v>0</v>
      </c>
      <c r="K70">
        <v>0</v>
      </c>
    </row>
    <row r="71" spans="1:11" x14ac:dyDescent="0.25">
      <c r="A71" t="str">
        <f>"67"</f>
        <v>67</v>
      </c>
      <c r="B71" t="str">
        <f t="shared" si="1"/>
        <v>1</v>
      </c>
      <c r="C71" t="str">
        <f t="shared" si="3"/>
        <v>3</v>
      </c>
      <c r="D71" t="str">
        <f>"23"</f>
        <v>23</v>
      </c>
      <c r="E71" t="str">
        <f>"1-3-23"</f>
        <v>1-3-23</v>
      </c>
      <c r="F71" t="s">
        <v>15</v>
      </c>
      <c r="G71" t="s">
        <v>16</v>
      </c>
      <c r="H71" t="s">
        <v>17</v>
      </c>
      <c r="I71">
        <v>0</v>
      </c>
      <c r="J71">
        <v>0</v>
      </c>
      <c r="K71">
        <v>1</v>
      </c>
    </row>
    <row r="72" spans="1:11" x14ac:dyDescent="0.25">
      <c r="A72" t="str">
        <f>"68"</f>
        <v>68</v>
      </c>
      <c r="B72" t="str">
        <f t="shared" si="1"/>
        <v>1</v>
      </c>
      <c r="C72" t="str">
        <f t="shared" si="3"/>
        <v>3</v>
      </c>
      <c r="D72" t="str">
        <f>"13"</f>
        <v>13</v>
      </c>
      <c r="E72" t="str">
        <f>"1-3-13"</f>
        <v>1-3-13</v>
      </c>
      <c r="F72" t="s">
        <v>15</v>
      </c>
      <c r="G72" t="s">
        <v>16</v>
      </c>
      <c r="H72" t="s">
        <v>17</v>
      </c>
      <c r="I72">
        <v>0</v>
      </c>
      <c r="J72">
        <v>1</v>
      </c>
      <c r="K72">
        <v>0</v>
      </c>
    </row>
    <row r="73" spans="1:11" x14ac:dyDescent="0.25">
      <c r="A73" t="str">
        <f>"69"</f>
        <v>69</v>
      </c>
      <c r="B73" t="str">
        <f t="shared" si="1"/>
        <v>1</v>
      </c>
      <c r="C73" t="str">
        <f t="shared" si="3"/>
        <v>3</v>
      </c>
      <c r="D73" t="str">
        <f>"24"</f>
        <v>24</v>
      </c>
      <c r="E73" t="str">
        <f>"1-3-24"</f>
        <v>1-3-24</v>
      </c>
      <c r="F73" t="s">
        <v>15</v>
      </c>
      <c r="G73" t="s">
        <v>18</v>
      </c>
      <c r="H73" t="s">
        <v>19</v>
      </c>
      <c r="I73">
        <v>0</v>
      </c>
      <c r="J73">
        <v>0</v>
      </c>
      <c r="K73">
        <v>1</v>
      </c>
    </row>
    <row r="74" spans="1:11" x14ac:dyDescent="0.25">
      <c r="A74" t="str">
        <f>"70"</f>
        <v>70</v>
      </c>
      <c r="B74" t="str">
        <f t="shared" si="1"/>
        <v>1</v>
      </c>
      <c r="C74" t="str">
        <f t="shared" si="3"/>
        <v>3</v>
      </c>
      <c r="D74" t="str">
        <f>"6"</f>
        <v>6</v>
      </c>
      <c r="E74" t="str">
        <f>"1-3-6"</f>
        <v>1-3-6</v>
      </c>
      <c r="F74" t="s">
        <v>15</v>
      </c>
      <c r="G74" t="s">
        <v>16</v>
      </c>
      <c r="H74" t="s">
        <v>17</v>
      </c>
      <c r="I74">
        <v>0</v>
      </c>
      <c r="J74">
        <v>1</v>
      </c>
      <c r="K74">
        <v>0</v>
      </c>
    </row>
    <row r="75" spans="1:11" x14ac:dyDescent="0.25">
      <c r="A75" t="str">
        <f>"71"</f>
        <v>71</v>
      </c>
      <c r="B75" t="str">
        <f t="shared" si="1"/>
        <v>1</v>
      </c>
      <c r="C75" t="str">
        <f t="shared" si="3"/>
        <v>3</v>
      </c>
      <c r="D75" t="str">
        <f>"25"</f>
        <v>25</v>
      </c>
      <c r="E75" t="str">
        <f>"1-3-25"</f>
        <v>1-3-25</v>
      </c>
      <c r="F75" t="s">
        <v>15</v>
      </c>
      <c r="G75" t="s">
        <v>18</v>
      </c>
      <c r="H75" t="s">
        <v>19</v>
      </c>
      <c r="I75">
        <v>0</v>
      </c>
      <c r="J75">
        <v>1</v>
      </c>
      <c r="K75">
        <v>0</v>
      </c>
    </row>
    <row r="76" spans="1:11" x14ac:dyDescent="0.25">
      <c r="A76" t="str">
        <f>"72"</f>
        <v>72</v>
      </c>
      <c r="B76" t="str">
        <f t="shared" si="1"/>
        <v>1</v>
      </c>
      <c r="C76" t="str">
        <f t="shared" si="3"/>
        <v>3</v>
      </c>
      <c r="D76" t="str">
        <f>"5"</f>
        <v>5</v>
      </c>
      <c r="E76" t="str">
        <f>"1-3-5"</f>
        <v>1-3-5</v>
      </c>
      <c r="F76" t="s">
        <v>15</v>
      </c>
      <c r="G76" t="s">
        <v>16</v>
      </c>
      <c r="H76" t="s">
        <v>17</v>
      </c>
      <c r="I76">
        <v>0</v>
      </c>
      <c r="J76">
        <v>1</v>
      </c>
      <c r="K76">
        <v>0</v>
      </c>
    </row>
    <row r="77" spans="1:11" x14ac:dyDescent="0.25">
      <c r="A77" t="str">
        <f>"73"</f>
        <v>73</v>
      </c>
      <c r="B77" t="str">
        <f t="shared" si="1"/>
        <v>1</v>
      </c>
      <c r="C77" t="str">
        <f t="shared" si="3"/>
        <v>3</v>
      </c>
      <c r="D77" t="str">
        <f>"26"</f>
        <v>26</v>
      </c>
      <c r="E77" t="str">
        <f>"1-3-26"</f>
        <v>1-3-26</v>
      </c>
      <c r="F77" t="s">
        <v>15</v>
      </c>
      <c r="G77" t="s">
        <v>16</v>
      </c>
      <c r="H77" t="s">
        <v>17</v>
      </c>
      <c r="I77">
        <v>1</v>
      </c>
      <c r="J77">
        <v>0</v>
      </c>
      <c r="K77">
        <v>0</v>
      </c>
    </row>
    <row r="78" spans="1:11" x14ac:dyDescent="0.25">
      <c r="A78" t="str">
        <f>"74"</f>
        <v>74</v>
      </c>
      <c r="B78" t="str">
        <f t="shared" si="1"/>
        <v>1</v>
      </c>
      <c r="C78" t="str">
        <f t="shared" si="3"/>
        <v>3</v>
      </c>
      <c r="D78" t="str">
        <f>"4"</f>
        <v>4</v>
      </c>
      <c r="E78" t="str">
        <f>"1-3-4"</f>
        <v>1-3-4</v>
      </c>
      <c r="F78" t="s">
        <v>15</v>
      </c>
      <c r="G78" t="s">
        <v>16</v>
      </c>
      <c r="H78" t="s">
        <v>17</v>
      </c>
      <c r="I78">
        <v>0</v>
      </c>
      <c r="J78">
        <v>1</v>
      </c>
      <c r="K78">
        <v>0</v>
      </c>
    </row>
    <row r="79" spans="1:11" x14ac:dyDescent="0.25">
      <c r="A79" t="str">
        <f>"75"</f>
        <v>75</v>
      </c>
      <c r="B79" t="str">
        <f t="shared" si="1"/>
        <v>1</v>
      </c>
      <c r="C79" t="str">
        <f t="shared" si="3"/>
        <v>3</v>
      </c>
      <c r="D79" t="str">
        <f>"3"</f>
        <v>3</v>
      </c>
      <c r="E79" t="str">
        <f>"1-3-3"</f>
        <v>1-3-3</v>
      </c>
      <c r="F79" t="s">
        <v>15</v>
      </c>
      <c r="G79" t="s">
        <v>18</v>
      </c>
      <c r="H79" t="s">
        <v>19</v>
      </c>
      <c r="I79">
        <v>0</v>
      </c>
      <c r="J79">
        <v>1</v>
      </c>
      <c r="K79">
        <v>0</v>
      </c>
    </row>
    <row r="80" spans="1:11" x14ac:dyDescent="0.25">
      <c r="A80" t="str">
        <f>"76"</f>
        <v>76</v>
      </c>
      <c r="B80" t="str">
        <f t="shared" si="1"/>
        <v>1</v>
      </c>
      <c r="C80" t="str">
        <f t="shared" si="3"/>
        <v>3</v>
      </c>
      <c r="D80" t="str">
        <f>"7"</f>
        <v>7</v>
      </c>
      <c r="E80" t="str">
        <f>"1-3-7"</f>
        <v>1-3-7</v>
      </c>
      <c r="F80" t="s">
        <v>15</v>
      </c>
      <c r="G80" t="s">
        <v>16</v>
      </c>
      <c r="H80" t="s">
        <v>17</v>
      </c>
      <c r="I80">
        <v>0</v>
      </c>
      <c r="J80">
        <v>1</v>
      </c>
      <c r="K80">
        <v>0</v>
      </c>
    </row>
    <row r="81" spans="1:11" x14ac:dyDescent="0.25">
      <c r="A81" t="str">
        <f>"77"</f>
        <v>77</v>
      </c>
      <c r="B81" t="str">
        <f t="shared" si="1"/>
        <v>1</v>
      </c>
      <c r="C81" t="str">
        <f t="shared" si="3"/>
        <v>3</v>
      </c>
      <c r="D81" t="str">
        <f>"8"</f>
        <v>8</v>
      </c>
      <c r="E81" t="str">
        <f>"1-3-8"</f>
        <v>1-3-8</v>
      </c>
      <c r="F81" t="s">
        <v>15</v>
      </c>
      <c r="G81" t="s">
        <v>20</v>
      </c>
      <c r="H81" t="s">
        <v>21</v>
      </c>
      <c r="I81">
        <v>0</v>
      </c>
      <c r="J81">
        <v>0</v>
      </c>
      <c r="K81">
        <v>1</v>
      </c>
    </row>
    <row r="82" spans="1:11" x14ac:dyDescent="0.25">
      <c r="A82" t="str">
        <f>"78"</f>
        <v>78</v>
      </c>
      <c r="B82" t="str">
        <f t="shared" si="1"/>
        <v>1</v>
      </c>
      <c r="C82" t="str">
        <f t="shared" si="3"/>
        <v>3</v>
      </c>
      <c r="D82" t="str">
        <f>"14"</f>
        <v>14</v>
      </c>
      <c r="E82" t="str">
        <f>"1-3-14"</f>
        <v>1-3-14</v>
      </c>
      <c r="F82" t="s">
        <v>15</v>
      </c>
      <c r="G82" t="s">
        <v>18</v>
      </c>
      <c r="H82" t="s">
        <v>19</v>
      </c>
      <c r="I82">
        <v>0</v>
      </c>
      <c r="J82">
        <v>1</v>
      </c>
      <c r="K82">
        <v>0</v>
      </c>
    </row>
    <row r="83" spans="1:11" x14ac:dyDescent="0.25">
      <c r="A83" t="str">
        <f>"156"</f>
        <v>156</v>
      </c>
      <c r="B83" t="str">
        <f t="shared" ref="B83:B144" si="4">"1"</f>
        <v>1</v>
      </c>
      <c r="C83" t="str">
        <f t="shared" ref="C83:C112" si="5">"7"</f>
        <v>7</v>
      </c>
      <c r="D83" t="str">
        <f>"19"</f>
        <v>19</v>
      </c>
      <c r="E83" t="str">
        <f>"1-7-19"</f>
        <v>1-7-19</v>
      </c>
      <c r="F83" t="s">
        <v>15</v>
      </c>
      <c r="G83" t="s">
        <v>16</v>
      </c>
      <c r="H83" t="s">
        <v>17</v>
      </c>
      <c r="I83">
        <v>1</v>
      </c>
      <c r="J83">
        <v>0</v>
      </c>
      <c r="K83">
        <v>0</v>
      </c>
    </row>
    <row r="84" spans="1:11" x14ac:dyDescent="0.25">
      <c r="A84" t="str">
        <f>"157"</f>
        <v>157</v>
      </c>
      <c r="B84" t="str">
        <f t="shared" si="4"/>
        <v>1</v>
      </c>
      <c r="C84" t="str">
        <f t="shared" si="5"/>
        <v>7</v>
      </c>
      <c r="D84" t="str">
        <f>"15"</f>
        <v>15</v>
      </c>
      <c r="E84" t="str">
        <f>"1-7-15"</f>
        <v>1-7-15</v>
      </c>
      <c r="F84" t="s">
        <v>15</v>
      </c>
      <c r="G84" t="s">
        <v>18</v>
      </c>
      <c r="H84" t="s">
        <v>19</v>
      </c>
      <c r="I84">
        <v>1</v>
      </c>
      <c r="J84">
        <v>0</v>
      </c>
      <c r="K84">
        <v>0</v>
      </c>
    </row>
    <row r="85" spans="1:11" x14ac:dyDescent="0.25">
      <c r="A85" t="str">
        <f>"158"</f>
        <v>158</v>
      </c>
      <c r="B85" t="str">
        <f t="shared" si="4"/>
        <v>1</v>
      </c>
      <c r="C85" t="str">
        <f t="shared" si="5"/>
        <v>7</v>
      </c>
      <c r="D85" t="str">
        <f>"5"</f>
        <v>5</v>
      </c>
      <c r="E85" t="str">
        <f>"1-7-5"</f>
        <v>1-7-5</v>
      </c>
      <c r="F85" t="s">
        <v>15</v>
      </c>
      <c r="G85" t="s">
        <v>18</v>
      </c>
      <c r="H85" t="s">
        <v>19</v>
      </c>
      <c r="I85">
        <v>0</v>
      </c>
      <c r="J85">
        <v>1</v>
      </c>
      <c r="K85">
        <v>0</v>
      </c>
    </row>
    <row r="86" spans="1:11" x14ac:dyDescent="0.25">
      <c r="A86" t="str">
        <f>"159"</f>
        <v>159</v>
      </c>
      <c r="B86" t="str">
        <f t="shared" si="4"/>
        <v>1</v>
      </c>
      <c r="C86" t="str">
        <f t="shared" si="5"/>
        <v>7</v>
      </c>
      <c r="D86" t="str">
        <f>"28"</f>
        <v>28</v>
      </c>
      <c r="E86" t="str">
        <f>"1-7-28"</f>
        <v>1-7-28</v>
      </c>
      <c r="F86" t="s">
        <v>15</v>
      </c>
      <c r="G86" t="s">
        <v>20</v>
      </c>
      <c r="H86" t="s">
        <v>21</v>
      </c>
      <c r="I86">
        <v>0</v>
      </c>
      <c r="J86">
        <v>0</v>
      </c>
      <c r="K86">
        <v>1</v>
      </c>
    </row>
    <row r="87" spans="1:11" x14ac:dyDescent="0.25">
      <c r="A87" t="str">
        <f>"160"</f>
        <v>160</v>
      </c>
      <c r="B87" t="str">
        <f t="shared" si="4"/>
        <v>1</v>
      </c>
      <c r="C87" t="str">
        <f t="shared" si="5"/>
        <v>7</v>
      </c>
      <c r="D87" t="str">
        <f>"16"</f>
        <v>16</v>
      </c>
      <c r="E87" t="str">
        <f>"1-7-16"</f>
        <v>1-7-16</v>
      </c>
      <c r="F87" t="s">
        <v>15</v>
      </c>
      <c r="G87" t="s">
        <v>16</v>
      </c>
      <c r="H87" t="s">
        <v>17</v>
      </c>
      <c r="I87">
        <v>1</v>
      </c>
      <c r="J87">
        <v>0</v>
      </c>
      <c r="K87">
        <v>0</v>
      </c>
    </row>
    <row r="88" spans="1:11" x14ac:dyDescent="0.25">
      <c r="A88" t="str">
        <f>"161"</f>
        <v>161</v>
      </c>
      <c r="B88" t="str">
        <f t="shared" si="4"/>
        <v>1</v>
      </c>
      <c r="C88" t="str">
        <f t="shared" si="5"/>
        <v>7</v>
      </c>
      <c r="D88" t="str">
        <f>"10"</f>
        <v>10</v>
      </c>
      <c r="E88" t="str">
        <f>"1-7-10"</f>
        <v>1-7-10</v>
      </c>
      <c r="F88" t="s">
        <v>15</v>
      </c>
      <c r="G88" t="s">
        <v>18</v>
      </c>
      <c r="H88" t="s">
        <v>19</v>
      </c>
      <c r="I88">
        <v>0</v>
      </c>
      <c r="J88">
        <v>0</v>
      </c>
      <c r="K88">
        <v>1</v>
      </c>
    </row>
    <row r="89" spans="1:11" x14ac:dyDescent="0.25">
      <c r="A89" t="str">
        <f>"162"</f>
        <v>162</v>
      </c>
      <c r="B89" t="str">
        <f t="shared" si="4"/>
        <v>1</v>
      </c>
      <c r="C89" t="str">
        <f t="shared" si="5"/>
        <v>7</v>
      </c>
      <c r="D89" t="str">
        <f>"17"</f>
        <v>17</v>
      </c>
      <c r="E89" t="str">
        <f>"1-7-17"</f>
        <v>1-7-17</v>
      </c>
      <c r="F89" t="s">
        <v>15</v>
      </c>
      <c r="G89" t="s">
        <v>20</v>
      </c>
      <c r="H89" t="s">
        <v>21</v>
      </c>
      <c r="I89">
        <v>1</v>
      </c>
      <c r="J89">
        <v>0</v>
      </c>
      <c r="K89">
        <v>0</v>
      </c>
    </row>
    <row r="90" spans="1:11" x14ac:dyDescent="0.25">
      <c r="A90" t="str">
        <f>"163"</f>
        <v>163</v>
      </c>
      <c r="B90" t="str">
        <f t="shared" si="4"/>
        <v>1</v>
      </c>
      <c r="C90" t="str">
        <f t="shared" si="5"/>
        <v>7</v>
      </c>
      <c r="D90" t="str">
        <f>"2"</f>
        <v>2</v>
      </c>
      <c r="E90" t="str">
        <f>"1-7-2"</f>
        <v>1-7-2</v>
      </c>
      <c r="F90" t="s">
        <v>15</v>
      </c>
      <c r="G90" t="s">
        <v>20</v>
      </c>
      <c r="H90" t="s">
        <v>21</v>
      </c>
      <c r="I90">
        <v>1</v>
      </c>
      <c r="J90">
        <v>0</v>
      </c>
      <c r="K90">
        <v>0</v>
      </c>
    </row>
    <row r="91" spans="1:11" x14ac:dyDescent="0.25">
      <c r="A91" t="str">
        <f>"164"</f>
        <v>164</v>
      </c>
      <c r="B91" t="str">
        <f t="shared" si="4"/>
        <v>1</v>
      </c>
      <c r="C91" t="str">
        <f t="shared" si="5"/>
        <v>7</v>
      </c>
      <c r="D91" t="str">
        <f>"18"</f>
        <v>18</v>
      </c>
      <c r="E91" t="str">
        <f>"1-7-18"</f>
        <v>1-7-18</v>
      </c>
      <c r="F91" t="s">
        <v>15</v>
      </c>
      <c r="G91" t="s">
        <v>18</v>
      </c>
      <c r="H91" t="s">
        <v>19</v>
      </c>
      <c r="I91">
        <v>0</v>
      </c>
      <c r="J91">
        <v>1</v>
      </c>
      <c r="K91">
        <v>0</v>
      </c>
    </row>
    <row r="92" spans="1:11" x14ac:dyDescent="0.25">
      <c r="A92" t="str">
        <f>"165"</f>
        <v>165</v>
      </c>
      <c r="B92" t="str">
        <f t="shared" si="4"/>
        <v>1</v>
      </c>
      <c r="C92" t="str">
        <f t="shared" si="5"/>
        <v>7</v>
      </c>
      <c r="D92" t="str">
        <f>"1"</f>
        <v>1</v>
      </c>
      <c r="E92" t="str">
        <f>"1-7-1"</f>
        <v>1-7-1</v>
      </c>
      <c r="F92" t="s">
        <v>15</v>
      </c>
      <c r="G92" t="s">
        <v>18</v>
      </c>
      <c r="H92" t="s">
        <v>19</v>
      </c>
      <c r="I92">
        <v>1</v>
      </c>
      <c r="J92">
        <v>0</v>
      </c>
      <c r="K92">
        <v>0</v>
      </c>
    </row>
    <row r="93" spans="1:11" x14ac:dyDescent="0.25">
      <c r="A93" t="str">
        <f>"166"</f>
        <v>166</v>
      </c>
      <c r="B93" t="str">
        <f t="shared" si="4"/>
        <v>1</v>
      </c>
      <c r="C93" t="str">
        <f t="shared" si="5"/>
        <v>7</v>
      </c>
      <c r="D93" t="str">
        <f>"20"</f>
        <v>20</v>
      </c>
      <c r="E93" t="str">
        <f>"1-7-20"</f>
        <v>1-7-20</v>
      </c>
      <c r="F93" t="s">
        <v>15</v>
      </c>
      <c r="G93" t="s">
        <v>16</v>
      </c>
      <c r="H93" t="s">
        <v>17</v>
      </c>
      <c r="I93">
        <v>1</v>
      </c>
      <c r="J93">
        <v>0</v>
      </c>
      <c r="K93">
        <v>0</v>
      </c>
    </row>
    <row r="94" spans="1:11" x14ac:dyDescent="0.25">
      <c r="A94" t="str">
        <f>"167"</f>
        <v>167</v>
      </c>
      <c r="B94" t="str">
        <f t="shared" si="4"/>
        <v>1</v>
      </c>
      <c r="C94" t="str">
        <f t="shared" si="5"/>
        <v>7</v>
      </c>
      <c r="D94" t="str">
        <f>"9"</f>
        <v>9</v>
      </c>
      <c r="E94" t="str">
        <f>"1-7-9"</f>
        <v>1-7-9</v>
      </c>
      <c r="F94" t="s">
        <v>15</v>
      </c>
      <c r="G94" t="s">
        <v>16</v>
      </c>
      <c r="H94" t="s">
        <v>17</v>
      </c>
      <c r="I94">
        <v>1</v>
      </c>
      <c r="J94">
        <v>0</v>
      </c>
      <c r="K94">
        <v>0</v>
      </c>
    </row>
    <row r="95" spans="1:11" x14ac:dyDescent="0.25">
      <c r="A95" t="str">
        <f>"168"</f>
        <v>168</v>
      </c>
      <c r="B95" t="str">
        <f t="shared" si="4"/>
        <v>1</v>
      </c>
      <c r="C95" t="str">
        <f t="shared" si="5"/>
        <v>7</v>
      </c>
      <c r="D95" t="str">
        <f>"21"</f>
        <v>21</v>
      </c>
      <c r="E95" t="str">
        <f>"1-7-21"</f>
        <v>1-7-21</v>
      </c>
      <c r="F95" t="s">
        <v>15</v>
      </c>
      <c r="G95" t="s">
        <v>16</v>
      </c>
      <c r="H95" t="s">
        <v>17</v>
      </c>
      <c r="I95">
        <v>0</v>
      </c>
      <c r="J95">
        <v>1</v>
      </c>
      <c r="K95">
        <v>0</v>
      </c>
    </row>
    <row r="96" spans="1:11" x14ac:dyDescent="0.25">
      <c r="A96" t="str">
        <f>"169"</f>
        <v>169</v>
      </c>
      <c r="B96" t="str">
        <f t="shared" si="4"/>
        <v>1</v>
      </c>
      <c r="C96" t="str">
        <f t="shared" si="5"/>
        <v>7</v>
      </c>
      <c r="D96" t="str">
        <f>"13"</f>
        <v>13</v>
      </c>
      <c r="E96" t="str">
        <f>"1-7-13"</f>
        <v>1-7-13</v>
      </c>
      <c r="F96" t="s">
        <v>15</v>
      </c>
      <c r="G96" t="s">
        <v>18</v>
      </c>
      <c r="H96" t="s">
        <v>19</v>
      </c>
      <c r="I96">
        <v>0</v>
      </c>
      <c r="J96">
        <v>0</v>
      </c>
      <c r="K96">
        <v>1</v>
      </c>
    </row>
    <row r="97" spans="1:11" x14ac:dyDescent="0.25">
      <c r="A97" t="str">
        <f>"170"</f>
        <v>170</v>
      </c>
      <c r="B97" t="str">
        <f t="shared" si="4"/>
        <v>1</v>
      </c>
      <c r="C97" t="str">
        <f t="shared" si="5"/>
        <v>7</v>
      </c>
      <c r="D97" t="str">
        <f>"22"</f>
        <v>22</v>
      </c>
      <c r="E97" t="str">
        <f>"1-7-22"</f>
        <v>1-7-22</v>
      </c>
      <c r="F97" t="s">
        <v>15</v>
      </c>
      <c r="G97" t="s">
        <v>16</v>
      </c>
      <c r="H97" t="s">
        <v>17</v>
      </c>
      <c r="I97">
        <v>0</v>
      </c>
      <c r="J97">
        <v>1</v>
      </c>
      <c r="K97">
        <v>0</v>
      </c>
    </row>
    <row r="98" spans="1:11" x14ac:dyDescent="0.25">
      <c r="A98" t="str">
        <f>"171"</f>
        <v>171</v>
      </c>
      <c r="B98" t="str">
        <f t="shared" si="4"/>
        <v>1</v>
      </c>
      <c r="C98" t="str">
        <f t="shared" si="5"/>
        <v>7</v>
      </c>
      <c r="D98" t="str">
        <f>"14"</f>
        <v>14</v>
      </c>
      <c r="E98" t="str">
        <f>"1-7-14"</f>
        <v>1-7-14</v>
      </c>
      <c r="F98" t="s">
        <v>15</v>
      </c>
      <c r="G98" t="s">
        <v>18</v>
      </c>
      <c r="H98" t="s">
        <v>19</v>
      </c>
      <c r="I98">
        <v>0</v>
      </c>
      <c r="J98">
        <v>1</v>
      </c>
      <c r="K98">
        <v>0</v>
      </c>
    </row>
    <row r="99" spans="1:11" x14ac:dyDescent="0.25">
      <c r="A99" t="str">
        <f>"172"</f>
        <v>172</v>
      </c>
      <c r="B99" t="str">
        <f t="shared" si="4"/>
        <v>1</v>
      </c>
      <c r="C99" t="str">
        <f t="shared" si="5"/>
        <v>7</v>
      </c>
      <c r="D99" t="str">
        <f>"23"</f>
        <v>23</v>
      </c>
      <c r="E99" t="str">
        <f>"1-7-23"</f>
        <v>1-7-23</v>
      </c>
      <c r="F99" t="s">
        <v>15</v>
      </c>
      <c r="G99" t="s">
        <v>16</v>
      </c>
      <c r="H99" t="s">
        <v>17</v>
      </c>
      <c r="I99">
        <v>0</v>
      </c>
      <c r="J99">
        <v>1</v>
      </c>
      <c r="K99">
        <v>0</v>
      </c>
    </row>
    <row r="100" spans="1:11" x14ac:dyDescent="0.25">
      <c r="A100" t="str">
        <f>"173"</f>
        <v>173</v>
      </c>
      <c r="B100" t="str">
        <f t="shared" si="4"/>
        <v>1</v>
      </c>
      <c r="C100" t="str">
        <f t="shared" si="5"/>
        <v>7</v>
      </c>
      <c r="D100" t="str">
        <f>"24"</f>
        <v>24</v>
      </c>
      <c r="E100" t="str">
        <f>"1-7-24"</f>
        <v>1-7-24</v>
      </c>
      <c r="F100" t="s">
        <v>15</v>
      </c>
      <c r="G100" t="s">
        <v>16</v>
      </c>
      <c r="H100" t="s">
        <v>17</v>
      </c>
      <c r="I100">
        <v>0</v>
      </c>
      <c r="J100">
        <v>1</v>
      </c>
      <c r="K100">
        <v>0</v>
      </c>
    </row>
    <row r="101" spans="1:11" x14ac:dyDescent="0.25">
      <c r="A101" t="str">
        <f>"174"</f>
        <v>174</v>
      </c>
      <c r="B101" t="str">
        <f t="shared" si="4"/>
        <v>1</v>
      </c>
      <c r="C101" t="str">
        <f t="shared" si="5"/>
        <v>7</v>
      </c>
      <c r="D101" t="str">
        <f>"6"</f>
        <v>6</v>
      </c>
      <c r="E101" t="str">
        <f>"1-7-6"</f>
        <v>1-7-6</v>
      </c>
      <c r="F101" t="s">
        <v>15</v>
      </c>
      <c r="G101" t="s">
        <v>16</v>
      </c>
      <c r="H101" t="s">
        <v>17</v>
      </c>
      <c r="I101">
        <v>0</v>
      </c>
      <c r="J101">
        <v>1</v>
      </c>
      <c r="K101">
        <v>0</v>
      </c>
    </row>
    <row r="102" spans="1:11" x14ac:dyDescent="0.25">
      <c r="A102" t="str">
        <f>"175"</f>
        <v>175</v>
      </c>
      <c r="B102" t="str">
        <f t="shared" si="4"/>
        <v>1</v>
      </c>
      <c r="C102" t="str">
        <f t="shared" si="5"/>
        <v>7</v>
      </c>
      <c r="D102" t="str">
        <f>"25"</f>
        <v>25</v>
      </c>
      <c r="E102" t="str">
        <f>"1-7-25"</f>
        <v>1-7-25</v>
      </c>
      <c r="F102" t="s">
        <v>15</v>
      </c>
      <c r="G102" t="s">
        <v>16</v>
      </c>
      <c r="H102" t="s">
        <v>17</v>
      </c>
      <c r="I102">
        <v>0</v>
      </c>
      <c r="J102">
        <v>1</v>
      </c>
      <c r="K102">
        <v>0</v>
      </c>
    </row>
    <row r="103" spans="1:11" x14ac:dyDescent="0.25">
      <c r="A103" t="str">
        <f>"176"</f>
        <v>176</v>
      </c>
      <c r="B103" t="str">
        <f t="shared" si="4"/>
        <v>1</v>
      </c>
      <c r="C103" t="str">
        <f t="shared" si="5"/>
        <v>7</v>
      </c>
      <c r="D103" t="str">
        <f>"4"</f>
        <v>4</v>
      </c>
      <c r="E103" t="str">
        <f>"1-7-4"</f>
        <v>1-7-4</v>
      </c>
      <c r="F103" t="s">
        <v>15</v>
      </c>
      <c r="G103" t="s">
        <v>16</v>
      </c>
      <c r="H103" t="s">
        <v>17</v>
      </c>
      <c r="I103">
        <v>0</v>
      </c>
      <c r="J103">
        <v>1</v>
      </c>
      <c r="K103">
        <v>0</v>
      </c>
    </row>
    <row r="104" spans="1:11" x14ac:dyDescent="0.25">
      <c r="A104" t="str">
        <f>"177"</f>
        <v>177</v>
      </c>
      <c r="B104" t="str">
        <f t="shared" si="4"/>
        <v>1</v>
      </c>
      <c r="C104" t="str">
        <f t="shared" si="5"/>
        <v>7</v>
      </c>
      <c r="D104" t="str">
        <f>"26"</f>
        <v>26</v>
      </c>
      <c r="E104" t="str">
        <f>"1-7-26"</f>
        <v>1-7-26</v>
      </c>
      <c r="F104" t="s">
        <v>15</v>
      </c>
      <c r="G104" t="s">
        <v>16</v>
      </c>
      <c r="H104" t="s">
        <v>17</v>
      </c>
      <c r="I104">
        <v>0</v>
      </c>
      <c r="J104">
        <v>1</v>
      </c>
      <c r="K104">
        <v>0</v>
      </c>
    </row>
    <row r="105" spans="1:11" x14ac:dyDescent="0.25">
      <c r="A105" t="str">
        <f>"178"</f>
        <v>178</v>
      </c>
      <c r="B105" t="str">
        <f t="shared" si="4"/>
        <v>1</v>
      </c>
      <c r="C105" t="str">
        <f t="shared" si="5"/>
        <v>7</v>
      </c>
      <c r="D105" t="str">
        <f>"7"</f>
        <v>7</v>
      </c>
      <c r="E105" t="str">
        <f>"1-7-7"</f>
        <v>1-7-7</v>
      </c>
      <c r="F105" t="s">
        <v>15</v>
      </c>
      <c r="G105" t="s">
        <v>18</v>
      </c>
      <c r="H105" t="s">
        <v>19</v>
      </c>
      <c r="I105">
        <v>1</v>
      </c>
      <c r="J105">
        <v>0</v>
      </c>
      <c r="K105">
        <v>0</v>
      </c>
    </row>
    <row r="106" spans="1:11" x14ac:dyDescent="0.25">
      <c r="A106" t="str">
        <f>"179"</f>
        <v>179</v>
      </c>
      <c r="B106" t="str">
        <f t="shared" si="4"/>
        <v>1</v>
      </c>
      <c r="C106" t="str">
        <f t="shared" si="5"/>
        <v>7</v>
      </c>
      <c r="D106" t="str">
        <f>"27"</f>
        <v>27</v>
      </c>
      <c r="E106" t="str">
        <f>"1-7-27"</f>
        <v>1-7-27</v>
      </c>
      <c r="F106" t="s">
        <v>15</v>
      </c>
      <c r="G106" t="s">
        <v>16</v>
      </c>
      <c r="H106" t="s">
        <v>17</v>
      </c>
      <c r="I106">
        <v>0</v>
      </c>
      <c r="J106">
        <v>1</v>
      </c>
      <c r="K106">
        <v>0</v>
      </c>
    </row>
    <row r="107" spans="1:11" x14ac:dyDescent="0.25">
      <c r="A107" t="str">
        <f>"180"</f>
        <v>180</v>
      </c>
      <c r="B107" t="str">
        <f t="shared" si="4"/>
        <v>1</v>
      </c>
      <c r="C107" t="str">
        <f t="shared" si="5"/>
        <v>7</v>
      </c>
      <c r="D107" t="str">
        <f>"3"</f>
        <v>3</v>
      </c>
      <c r="E107" t="str">
        <f>"1-7-3"</f>
        <v>1-7-3</v>
      </c>
      <c r="F107" t="s">
        <v>15</v>
      </c>
      <c r="G107" t="s">
        <v>16</v>
      </c>
      <c r="H107" t="s">
        <v>17</v>
      </c>
      <c r="I107">
        <v>0</v>
      </c>
      <c r="J107">
        <v>0</v>
      </c>
      <c r="K107">
        <v>1</v>
      </c>
    </row>
    <row r="108" spans="1:11" x14ac:dyDescent="0.25">
      <c r="A108" t="str">
        <f>"181"</f>
        <v>181</v>
      </c>
      <c r="B108" t="str">
        <f t="shared" si="4"/>
        <v>1</v>
      </c>
      <c r="C108" t="str">
        <f t="shared" si="5"/>
        <v>7</v>
      </c>
      <c r="D108" t="str">
        <f>"29"</f>
        <v>29</v>
      </c>
      <c r="E108" t="str">
        <f>"1-7-29"</f>
        <v>1-7-29</v>
      </c>
      <c r="F108" t="s">
        <v>15</v>
      </c>
      <c r="G108" t="s">
        <v>20</v>
      </c>
      <c r="H108" t="s">
        <v>21</v>
      </c>
      <c r="I108">
        <v>1</v>
      </c>
      <c r="J108">
        <v>0</v>
      </c>
      <c r="K108">
        <v>0</v>
      </c>
    </row>
    <row r="109" spans="1:11" x14ac:dyDescent="0.25">
      <c r="A109" t="str">
        <f>"182"</f>
        <v>182</v>
      </c>
      <c r="B109" t="str">
        <f t="shared" si="4"/>
        <v>1</v>
      </c>
      <c r="C109" t="str">
        <f t="shared" si="5"/>
        <v>7</v>
      </c>
      <c r="D109" t="str">
        <f>"12"</f>
        <v>12</v>
      </c>
      <c r="E109" t="str">
        <f>"1-7-12"</f>
        <v>1-7-12</v>
      </c>
      <c r="F109" t="s">
        <v>15</v>
      </c>
      <c r="G109" t="s">
        <v>18</v>
      </c>
      <c r="H109" t="s">
        <v>19</v>
      </c>
      <c r="I109">
        <v>1</v>
      </c>
      <c r="J109">
        <v>0</v>
      </c>
      <c r="K109">
        <v>0</v>
      </c>
    </row>
    <row r="110" spans="1:11" x14ac:dyDescent="0.25">
      <c r="A110" t="str">
        <f>"183"</f>
        <v>183</v>
      </c>
      <c r="B110" t="str">
        <f t="shared" si="4"/>
        <v>1</v>
      </c>
      <c r="C110" t="str">
        <f t="shared" si="5"/>
        <v>7</v>
      </c>
      <c r="D110" t="str">
        <f>"30"</f>
        <v>30</v>
      </c>
      <c r="E110" t="str">
        <f>"1-7-30"</f>
        <v>1-7-30</v>
      </c>
      <c r="F110" t="s">
        <v>15</v>
      </c>
      <c r="G110" t="s">
        <v>18</v>
      </c>
      <c r="H110" t="s">
        <v>19</v>
      </c>
      <c r="I110">
        <v>1</v>
      </c>
      <c r="J110">
        <v>0</v>
      </c>
      <c r="K110">
        <v>0</v>
      </c>
    </row>
    <row r="111" spans="1:11" x14ac:dyDescent="0.25">
      <c r="A111" t="str">
        <f>"184"</f>
        <v>184</v>
      </c>
      <c r="B111" t="str">
        <f t="shared" si="4"/>
        <v>1</v>
      </c>
      <c r="C111" t="str">
        <f t="shared" si="5"/>
        <v>7</v>
      </c>
      <c r="D111" t="str">
        <f>"8"</f>
        <v>8</v>
      </c>
      <c r="E111" t="str">
        <f>"1-7-8"</f>
        <v>1-7-8</v>
      </c>
      <c r="F111" t="s">
        <v>15</v>
      </c>
      <c r="G111" t="s">
        <v>16</v>
      </c>
      <c r="H111" t="s">
        <v>17</v>
      </c>
      <c r="I111">
        <v>1</v>
      </c>
      <c r="J111">
        <v>0</v>
      </c>
      <c r="K111">
        <v>0</v>
      </c>
    </row>
    <row r="112" spans="1:11" x14ac:dyDescent="0.25">
      <c r="A112" t="str">
        <f>"185"</f>
        <v>185</v>
      </c>
      <c r="B112" t="str">
        <f t="shared" si="4"/>
        <v>1</v>
      </c>
      <c r="C112" t="str">
        <f t="shared" si="5"/>
        <v>7</v>
      </c>
      <c r="D112" t="str">
        <f>"11"</f>
        <v>11</v>
      </c>
      <c r="E112" t="str">
        <f>"1-7-11"</f>
        <v>1-7-11</v>
      </c>
      <c r="F112" t="s">
        <v>15</v>
      </c>
      <c r="G112" t="s">
        <v>18</v>
      </c>
      <c r="H112" t="s">
        <v>19</v>
      </c>
      <c r="I112">
        <v>0</v>
      </c>
      <c r="J112">
        <v>0</v>
      </c>
      <c r="K112">
        <v>0</v>
      </c>
    </row>
    <row r="113" spans="1:11" x14ac:dyDescent="0.25">
      <c r="A113" t="str">
        <f>"186"</f>
        <v>186</v>
      </c>
      <c r="B113" t="str">
        <f t="shared" si="4"/>
        <v>1</v>
      </c>
      <c r="C113" t="str">
        <f t="shared" ref="C113:C138" si="6">"8"</f>
        <v>8</v>
      </c>
      <c r="D113" t="str">
        <f>"19"</f>
        <v>19</v>
      </c>
      <c r="E113" t="str">
        <f>"1-8-19"</f>
        <v>1-8-19</v>
      </c>
      <c r="F113" t="s">
        <v>15</v>
      </c>
      <c r="G113" t="s">
        <v>20</v>
      </c>
      <c r="H113" t="s">
        <v>21</v>
      </c>
      <c r="I113">
        <v>0</v>
      </c>
      <c r="J113">
        <v>1</v>
      </c>
      <c r="K113">
        <v>0</v>
      </c>
    </row>
    <row r="114" spans="1:11" x14ac:dyDescent="0.25">
      <c r="A114" t="str">
        <f>"187"</f>
        <v>187</v>
      </c>
      <c r="B114" t="str">
        <f t="shared" si="4"/>
        <v>1</v>
      </c>
      <c r="C114" t="str">
        <f t="shared" si="6"/>
        <v>8</v>
      </c>
      <c r="D114" t="str">
        <f>"15"</f>
        <v>15</v>
      </c>
      <c r="E114" t="str">
        <f>"1-8-15"</f>
        <v>1-8-15</v>
      </c>
      <c r="F114" t="s">
        <v>15</v>
      </c>
      <c r="G114" t="s">
        <v>16</v>
      </c>
      <c r="H114" t="s">
        <v>17</v>
      </c>
      <c r="I114">
        <v>0</v>
      </c>
      <c r="J114">
        <v>1</v>
      </c>
      <c r="K114">
        <v>0</v>
      </c>
    </row>
    <row r="115" spans="1:11" x14ac:dyDescent="0.25">
      <c r="A115" t="str">
        <f>"188"</f>
        <v>188</v>
      </c>
      <c r="B115" t="str">
        <f t="shared" si="4"/>
        <v>1</v>
      </c>
      <c r="C115" t="str">
        <f t="shared" si="6"/>
        <v>8</v>
      </c>
      <c r="D115" t="str">
        <f>"4"</f>
        <v>4</v>
      </c>
      <c r="E115" t="str">
        <f>"1-8-4"</f>
        <v>1-8-4</v>
      </c>
      <c r="F115" t="s">
        <v>15</v>
      </c>
      <c r="G115" t="s">
        <v>16</v>
      </c>
      <c r="H115" t="s">
        <v>17</v>
      </c>
      <c r="I115">
        <v>0</v>
      </c>
      <c r="J115">
        <v>1</v>
      </c>
      <c r="K115">
        <v>0</v>
      </c>
    </row>
    <row r="116" spans="1:11" x14ac:dyDescent="0.25">
      <c r="A116" t="str">
        <f>"189"</f>
        <v>189</v>
      </c>
      <c r="B116" t="str">
        <f t="shared" si="4"/>
        <v>1</v>
      </c>
      <c r="C116" t="str">
        <f t="shared" si="6"/>
        <v>8</v>
      </c>
      <c r="D116" t="str">
        <f>"16"</f>
        <v>16</v>
      </c>
      <c r="E116" t="str">
        <f>"1-8-16"</f>
        <v>1-8-16</v>
      </c>
      <c r="F116" t="s">
        <v>15</v>
      </c>
      <c r="G116" t="s">
        <v>16</v>
      </c>
      <c r="H116" t="s">
        <v>17</v>
      </c>
      <c r="I116">
        <v>0</v>
      </c>
      <c r="J116">
        <v>1</v>
      </c>
      <c r="K116">
        <v>0</v>
      </c>
    </row>
    <row r="117" spans="1:11" x14ac:dyDescent="0.25">
      <c r="A117" t="str">
        <f>"190"</f>
        <v>190</v>
      </c>
      <c r="B117" t="str">
        <f t="shared" si="4"/>
        <v>1</v>
      </c>
      <c r="C117" t="str">
        <f t="shared" si="6"/>
        <v>8</v>
      </c>
      <c r="D117" t="str">
        <f>"3"</f>
        <v>3</v>
      </c>
      <c r="E117" t="str">
        <f>"1-8-3"</f>
        <v>1-8-3</v>
      </c>
      <c r="F117" t="s">
        <v>15</v>
      </c>
      <c r="G117" t="s">
        <v>16</v>
      </c>
      <c r="H117" t="s">
        <v>17</v>
      </c>
      <c r="I117">
        <v>0</v>
      </c>
      <c r="J117">
        <v>0</v>
      </c>
      <c r="K117">
        <v>1</v>
      </c>
    </row>
    <row r="118" spans="1:11" x14ac:dyDescent="0.25">
      <c r="A118" t="str">
        <f>"191"</f>
        <v>191</v>
      </c>
      <c r="B118" t="str">
        <f t="shared" si="4"/>
        <v>1</v>
      </c>
      <c r="C118" t="str">
        <f t="shared" si="6"/>
        <v>8</v>
      </c>
      <c r="D118" t="str">
        <f>"17"</f>
        <v>17</v>
      </c>
      <c r="E118" t="str">
        <f>"1-8-17"</f>
        <v>1-8-17</v>
      </c>
      <c r="F118" t="s">
        <v>15</v>
      </c>
      <c r="G118" t="s">
        <v>16</v>
      </c>
      <c r="H118" t="s">
        <v>17</v>
      </c>
      <c r="I118">
        <v>0</v>
      </c>
      <c r="J118">
        <v>0</v>
      </c>
      <c r="K118">
        <v>1</v>
      </c>
    </row>
    <row r="119" spans="1:11" x14ac:dyDescent="0.25">
      <c r="A119" t="str">
        <f>"192"</f>
        <v>192</v>
      </c>
      <c r="B119" t="str">
        <f t="shared" si="4"/>
        <v>1</v>
      </c>
      <c r="C119" t="str">
        <f t="shared" si="6"/>
        <v>8</v>
      </c>
      <c r="D119" t="str">
        <f>"1"</f>
        <v>1</v>
      </c>
      <c r="E119" t="str">
        <f>"1-8-1"</f>
        <v>1-8-1</v>
      </c>
      <c r="F119" t="s">
        <v>15</v>
      </c>
      <c r="G119" t="s">
        <v>16</v>
      </c>
      <c r="H119" t="s">
        <v>17</v>
      </c>
      <c r="I119">
        <v>1</v>
      </c>
      <c r="J119">
        <v>0</v>
      </c>
      <c r="K119">
        <v>0</v>
      </c>
    </row>
    <row r="120" spans="1:11" x14ac:dyDescent="0.25">
      <c r="A120" t="str">
        <f>"193"</f>
        <v>193</v>
      </c>
      <c r="B120" t="str">
        <f t="shared" si="4"/>
        <v>1</v>
      </c>
      <c r="C120" t="str">
        <f t="shared" si="6"/>
        <v>8</v>
      </c>
      <c r="D120" t="str">
        <f>"18"</f>
        <v>18</v>
      </c>
      <c r="E120" t="str">
        <f>"1-8-18"</f>
        <v>1-8-18</v>
      </c>
      <c r="F120" t="s">
        <v>15</v>
      </c>
      <c r="G120" t="s">
        <v>16</v>
      </c>
      <c r="H120" t="s">
        <v>17</v>
      </c>
      <c r="I120">
        <v>0</v>
      </c>
      <c r="J120">
        <v>0</v>
      </c>
      <c r="K120">
        <v>1</v>
      </c>
    </row>
    <row r="121" spans="1:11" x14ac:dyDescent="0.25">
      <c r="A121" t="str">
        <f>"194"</f>
        <v>194</v>
      </c>
      <c r="B121" t="str">
        <f t="shared" si="4"/>
        <v>1</v>
      </c>
      <c r="C121" t="str">
        <f t="shared" si="6"/>
        <v>8</v>
      </c>
      <c r="D121" t="str">
        <f>"2"</f>
        <v>2</v>
      </c>
      <c r="E121" t="str">
        <f>"1-8-2"</f>
        <v>1-8-2</v>
      </c>
      <c r="F121" t="s">
        <v>15</v>
      </c>
      <c r="G121" t="s">
        <v>20</v>
      </c>
      <c r="H121" t="s">
        <v>21</v>
      </c>
      <c r="I121">
        <v>1</v>
      </c>
      <c r="J121">
        <v>0</v>
      </c>
      <c r="K121">
        <v>0</v>
      </c>
    </row>
    <row r="122" spans="1:11" x14ac:dyDescent="0.25">
      <c r="A122" t="str">
        <f>"195"</f>
        <v>195</v>
      </c>
      <c r="B122" t="str">
        <f t="shared" si="4"/>
        <v>1</v>
      </c>
      <c r="C122" t="str">
        <f t="shared" si="6"/>
        <v>8</v>
      </c>
      <c r="D122" t="str">
        <f>"20"</f>
        <v>20</v>
      </c>
      <c r="E122" t="str">
        <f>"1-8-20"</f>
        <v>1-8-20</v>
      </c>
      <c r="F122" t="s">
        <v>15</v>
      </c>
      <c r="G122" t="s">
        <v>20</v>
      </c>
      <c r="H122" t="s">
        <v>21</v>
      </c>
      <c r="I122">
        <v>0</v>
      </c>
      <c r="J122">
        <v>1</v>
      </c>
      <c r="K122">
        <v>0</v>
      </c>
    </row>
    <row r="123" spans="1:11" x14ac:dyDescent="0.25">
      <c r="A123" t="str">
        <f>"196"</f>
        <v>196</v>
      </c>
      <c r="B123" t="str">
        <f t="shared" si="4"/>
        <v>1</v>
      </c>
      <c r="C123" t="str">
        <f t="shared" si="6"/>
        <v>8</v>
      </c>
      <c r="D123" t="str">
        <f>"14"</f>
        <v>14</v>
      </c>
      <c r="E123" t="str">
        <f>"1-8-14"</f>
        <v>1-8-14</v>
      </c>
      <c r="F123" t="s">
        <v>15</v>
      </c>
      <c r="G123" t="s">
        <v>16</v>
      </c>
      <c r="H123" t="s">
        <v>17</v>
      </c>
      <c r="I123">
        <v>0</v>
      </c>
      <c r="J123">
        <v>0</v>
      </c>
      <c r="K123">
        <v>1</v>
      </c>
    </row>
    <row r="124" spans="1:11" x14ac:dyDescent="0.25">
      <c r="A124" t="str">
        <f>"197"</f>
        <v>197</v>
      </c>
      <c r="B124" t="str">
        <f t="shared" si="4"/>
        <v>1</v>
      </c>
      <c r="C124" t="str">
        <f t="shared" si="6"/>
        <v>8</v>
      </c>
      <c r="D124" t="str">
        <f>"21"</f>
        <v>21</v>
      </c>
      <c r="E124" t="str">
        <f>"1-8-21"</f>
        <v>1-8-21</v>
      </c>
      <c r="F124" t="s">
        <v>15</v>
      </c>
      <c r="G124" t="s">
        <v>20</v>
      </c>
      <c r="H124" t="s">
        <v>21</v>
      </c>
      <c r="I124">
        <v>1</v>
      </c>
      <c r="J124">
        <v>0</v>
      </c>
      <c r="K124">
        <v>0</v>
      </c>
    </row>
    <row r="125" spans="1:11" x14ac:dyDescent="0.25">
      <c r="A125" t="str">
        <f>"198"</f>
        <v>198</v>
      </c>
      <c r="B125" t="str">
        <f t="shared" si="4"/>
        <v>1</v>
      </c>
      <c r="C125" t="str">
        <f t="shared" si="6"/>
        <v>8</v>
      </c>
      <c r="D125" t="str">
        <f>"12"</f>
        <v>12</v>
      </c>
      <c r="E125" t="str">
        <f>"1-8-12"</f>
        <v>1-8-12</v>
      </c>
      <c r="F125" t="s">
        <v>15</v>
      </c>
      <c r="G125" t="s">
        <v>20</v>
      </c>
      <c r="H125" t="s">
        <v>21</v>
      </c>
      <c r="I125">
        <v>0</v>
      </c>
      <c r="J125">
        <v>1</v>
      </c>
      <c r="K125">
        <v>0</v>
      </c>
    </row>
    <row r="126" spans="1:11" x14ac:dyDescent="0.25">
      <c r="A126" t="str">
        <f>"199"</f>
        <v>199</v>
      </c>
      <c r="B126" t="str">
        <f t="shared" si="4"/>
        <v>1</v>
      </c>
      <c r="C126" t="str">
        <f t="shared" si="6"/>
        <v>8</v>
      </c>
      <c r="D126" t="str">
        <f>"5"</f>
        <v>5</v>
      </c>
      <c r="E126" t="str">
        <f>"1-8-5"</f>
        <v>1-8-5</v>
      </c>
      <c r="F126" t="s">
        <v>15</v>
      </c>
      <c r="G126" t="s">
        <v>16</v>
      </c>
      <c r="H126" t="s">
        <v>17</v>
      </c>
      <c r="I126">
        <v>0</v>
      </c>
      <c r="J126">
        <v>1</v>
      </c>
      <c r="K126">
        <v>0</v>
      </c>
    </row>
    <row r="127" spans="1:11" x14ac:dyDescent="0.25">
      <c r="A127" t="str">
        <f>"200"</f>
        <v>200</v>
      </c>
      <c r="B127" t="str">
        <f t="shared" si="4"/>
        <v>1</v>
      </c>
      <c r="C127" t="str">
        <f t="shared" si="6"/>
        <v>8</v>
      </c>
      <c r="D127" t="str">
        <f>"23"</f>
        <v>23</v>
      </c>
      <c r="E127" t="str">
        <f>"1-8-23"</f>
        <v>1-8-23</v>
      </c>
      <c r="F127" t="s">
        <v>15</v>
      </c>
      <c r="G127" t="s">
        <v>16</v>
      </c>
      <c r="H127" t="s">
        <v>17</v>
      </c>
      <c r="I127">
        <v>1</v>
      </c>
      <c r="J127">
        <v>0</v>
      </c>
      <c r="K127">
        <v>0</v>
      </c>
    </row>
    <row r="128" spans="1:11" x14ac:dyDescent="0.25">
      <c r="A128" t="str">
        <f>"201"</f>
        <v>201</v>
      </c>
      <c r="B128" t="str">
        <f t="shared" si="4"/>
        <v>1</v>
      </c>
      <c r="C128" t="str">
        <f t="shared" si="6"/>
        <v>8</v>
      </c>
      <c r="D128" t="str">
        <f>"24"</f>
        <v>24</v>
      </c>
      <c r="E128" t="str">
        <f>"1-8-24"</f>
        <v>1-8-24</v>
      </c>
      <c r="F128" t="s">
        <v>15</v>
      </c>
      <c r="G128" t="s">
        <v>18</v>
      </c>
      <c r="H128" t="s">
        <v>19</v>
      </c>
      <c r="I128">
        <v>0</v>
      </c>
      <c r="J128">
        <v>1</v>
      </c>
      <c r="K128">
        <v>0</v>
      </c>
    </row>
    <row r="129" spans="1:11" x14ac:dyDescent="0.25">
      <c r="A129" t="str">
        <f>"202"</f>
        <v>202</v>
      </c>
      <c r="B129" t="str">
        <f t="shared" si="4"/>
        <v>1</v>
      </c>
      <c r="C129" t="str">
        <f t="shared" si="6"/>
        <v>8</v>
      </c>
      <c r="D129" t="str">
        <f>"11"</f>
        <v>11</v>
      </c>
      <c r="E129" t="str">
        <f>"1-8-11"</f>
        <v>1-8-11</v>
      </c>
      <c r="F129" t="s">
        <v>15</v>
      </c>
      <c r="G129" t="s">
        <v>18</v>
      </c>
      <c r="H129" t="s">
        <v>19</v>
      </c>
      <c r="I129">
        <v>0</v>
      </c>
      <c r="J129">
        <v>0</v>
      </c>
      <c r="K129">
        <v>1</v>
      </c>
    </row>
    <row r="130" spans="1:11" x14ac:dyDescent="0.25">
      <c r="A130" t="str">
        <f>"203"</f>
        <v>203</v>
      </c>
      <c r="B130" t="str">
        <f t="shared" si="4"/>
        <v>1</v>
      </c>
      <c r="C130" t="str">
        <f t="shared" si="6"/>
        <v>8</v>
      </c>
      <c r="D130" t="str">
        <f>"25"</f>
        <v>25</v>
      </c>
      <c r="E130" t="str">
        <f>"1-8-25"</f>
        <v>1-8-25</v>
      </c>
      <c r="F130" t="s">
        <v>15</v>
      </c>
      <c r="G130" t="s">
        <v>16</v>
      </c>
      <c r="H130" t="s">
        <v>17</v>
      </c>
      <c r="I130">
        <v>0</v>
      </c>
      <c r="J130">
        <v>0</v>
      </c>
      <c r="K130">
        <v>1</v>
      </c>
    </row>
    <row r="131" spans="1:11" x14ac:dyDescent="0.25">
      <c r="A131" t="str">
        <f>"204"</f>
        <v>204</v>
      </c>
      <c r="B131" t="str">
        <f t="shared" si="4"/>
        <v>1</v>
      </c>
      <c r="C131" t="str">
        <f t="shared" si="6"/>
        <v>8</v>
      </c>
      <c r="D131" t="str">
        <f>"8"</f>
        <v>8</v>
      </c>
      <c r="E131" t="str">
        <f>"1-8-8"</f>
        <v>1-8-8</v>
      </c>
      <c r="F131" t="s">
        <v>15</v>
      </c>
      <c r="G131" t="s">
        <v>18</v>
      </c>
      <c r="H131" t="s">
        <v>19</v>
      </c>
      <c r="I131">
        <v>0</v>
      </c>
      <c r="J131">
        <v>1</v>
      </c>
      <c r="K131">
        <v>0</v>
      </c>
    </row>
    <row r="132" spans="1:11" x14ac:dyDescent="0.25">
      <c r="A132" t="str">
        <f>"205"</f>
        <v>205</v>
      </c>
      <c r="B132" t="str">
        <f t="shared" si="4"/>
        <v>1</v>
      </c>
      <c r="C132" t="str">
        <f t="shared" si="6"/>
        <v>8</v>
      </c>
      <c r="D132" t="str">
        <f>"26"</f>
        <v>26</v>
      </c>
      <c r="E132" t="str">
        <f>"1-8-26"</f>
        <v>1-8-26</v>
      </c>
      <c r="F132" t="s">
        <v>15</v>
      </c>
      <c r="G132" t="s">
        <v>16</v>
      </c>
      <c r="H132" t="s">
        <v>17</v>
      </c>
      <c r="I132">
        <v>1</v>
      </c>
      <c r="J132">
        <v>0</v>
      </c>
      <c r="K132">
        <v>0</v>
      </c>
    </row>
    <row r="133" spans="1:11" x14ac:dyDescent="0.25">
      <c r="A133" t="str">
        <f>"206"</f>
        <v>206</v>
      </c>
      <c r="B133" t="str">
        <f t="shared" si="4"/>
        <v>1</v>
      </c>
      <c r="C133" t="str">
        <f t="shared" si="6"/>
        <v>8</v>
      </c>
      <c r="D133" t="str">
        <f>"13"</f>
        <v>13</v>
      </c>
      <c r="E133" t="str">
        <f>"1-8-13"</f>
        <v>1-8-13</v>
      </c>
      <c r="F133" t="s">
        <v>15</v>
      </c>
      <c r="G133" t="s">
        <v>20</v>
      </c>
      <c r="H133" t="s">
        <v>21</v>
      </c>
      <c r="I133">
        <v>0</v>
      </c>
      <c r="J133">
        <v>0</v>
      </c>
      <c r="K133">
        <v>1</v>
      </c>
    </row>
    <row r="134" spans="1:11" x14ac:dyDescent="0.25">
      <c r="A134" t="str">
        <f>"207"</f>
        <v>207</v>
      </c>
      <c r="B134" t="str">
        <f t="shared" si="4"/>
        <v>1</v>
      </c>
      <c r="C134" t="str">
        <f t="shared" si="6"/>
        <v>8</v>
      </c>
      <c r="D134" t="str">
        <f>"6"</f>
        <v>6</v>
      </c>
      <c r="E134" t="str">
        <f>"1-8-6"</f>
        <v>1-8-6</v>
      </c>
      <c r="F134" t="s">
        <v>15</v>
      </c>
      <c r="G134" t="s">
        <v>16</v>
      </c>
      <c r="H134" t="s">
        <v>17</v>
      </c>
      <c r="I134">
        <v>0</v>
      </c>
      <c r="J134">
        <v>1</v>
      </c>
      <c r="K134">
        <v>0</v>
      </c>
    </row>
    <row r="135" spans="1:11" x14ac:dyDescent="0.25">
      <c r="A135" t="str">
        <f>"208"</f>
        <v>208</v>
      </c>
      <c r="B135" t="str">
        <f t="shared" si="4"/>
        <v>1</v>
      </c>
      <c r="C135" t="str">
        <f t="shared" si="6"/>
        <v>8</v>
      </c>
      <c r="D135" t="str">
        <f>"7"</f>
        <v>7</v>
      </c>
      <c r="E135" t="str">
        <f>"1-8-7"</f>
        <v>1-8-7</v>
      </c>
      <c r="F135" t="s">
        <v>15</v>
      </c>
      <c r="G135" t="s">
        <v>18</v>
      </c>
      <c r="H135" t="s">
        <v>19</v>
      </c>
      <c r="I135">
        <v>1</v>
      </c>
      <c r="J135">
        <v>0</v>
      </c>
      <c r="K135">
        <v>0</v>
      </c>
    </row>
    <row r="136" spans="1:11" x14ac:dyDescent="0.25">
      <c r="A136" t="str">
        <f>"209"</f>
        <v>209</v>
      </c>
      <c r="B136" t="str">
        <f t="shared" si="4"/>
        <v>1</v>
      </c>
      <c r="C136" t="str">
        <f t="shared" si="6"/>
        <v>8</v>
      </c>
      <c r="D136" t="str">
        <f>"9"</f>
        <v>9</v>
      </c>
      <c r="E136" t="str">
        <f>"1-8-9"</f>
        <v>1-8-9</v>
      </c>
      <c r="F136" t="s">
        <v>15</v>
      </c>
      <c r="G136" t="s">
        <v>18</v>
      </c>
      <c r="H136" t="s">
        <v>19</v>
      </c>
      <c r="I136">
        <v>1</v>
      </c>
      <c r="J136">
        <v>0</v>
      </c>
      <c r="K136">
        <v>0</v>
      </c>
    </row>
    <row r="137" spans="1:11" x14ac:dyDescent="0.25">
      <c r="A137" t="str">
        <f>"210"</f>
        <v>210</v>
      </c>
      <c r="B137" t="str">
        <f t="shared" si="4"/>
        <v>1</v>
      </c>
      <c r="C137" t="str">
        <f t="shared" si="6"/>
        <v>8</v>
      </c>
      <c r="D137" t="str">
        <f>"22"</f>
        <v>22</v>
      </c>
      <c r="E137" t="str">
        <f>"1-8-22"</f>
        <v>1-8-22</v>
      </c>
      <c r="F137" t="s">
        <v>15</v>
      </c>
      <c r="G137" t="s">
        <v>16</v>
      </c>
      <c r="H137" t="s">
        <v>17</v>
      </c>
      <c r="I137">
        <v>0</v>
      </c>
      <c r="J137">
        <v>0</v>
      </c>
      <c r="K137">
        <v>0</v>
      </c>
    </row>
    <row r="138" spans="1:11" x14ac:dyDescent="0.25">
      <c r="A138" t="str">
        <f>"211"</f>
        <v>211</v>
      </c>
      <c r="B138" t="str">
        <f t="shared" si="4"/>
        <v>1</v>
      </c>
      <c r="C138" t="str">
        <f t="shared" si="6"/>
        <v>8</v>
      </c>
      <c r="D138" t="str">
        <f>"10"</f>
        <v>10</v>
      </c>
      <c r="E138" t="str">
        <f>"1-8-10"</f>
        <v>1-8-10</v>
      </c>
      <c r="F138" t="s">
        <v>15</v>
      </c>
      <c r="G138" t="s">
        <v>18</v>
      </c>
      <c r="H138" t="s">
        <v>19</v>
      </c>
      <c r="I138">
        <v>0</v>
      </c>
      <c r="J138">
        <v>0</v>
      </c>
      <c r="K138">
        <v>0</v>
      </c>
    </row>
    <row r="139" spans="1:11" x14ac:dyDescent="0.25">
      <c r="A139" t="str">
        <f>"212"</f>
        <v>212</v>
      </c>
      <c r="B139" t="str">
        <f t="shared" si="4"/>
        <v>1</v>
      </c>
      <c r="C139" t="str">
        <f t="shared" ref="C139:C163" si="7">"9"</f>
        <v>9</v>
      </c>
      <c r="D139" t="str">
        <f>"17"</f>
        <v>17</v>
      </c>
      <c r="E139" t="str">
        <f>"1-9-17"</f>
        <v>1-9-17</v>
      </c>
      <c r="F139" t="s">
        <v>15</v>
      </c>
      <c r="G139" t="s">
        <v>16</v>
      </c>
      <c r="H139" t="s">
        <v>17</v>
      </c>
      <c r="I139">
        <v>0</v>
      </c>
      <c r="J139">
        <v>0</v>
      </c>
      <c r="K139">
        <v>1</v>
      </c>
    </row>
    <row r="140" spans="1:11" x14ac:dyDescent="0.25">
      <c r="A140" t="str">
        <f>"213"</f>
        <v>213</v>
      </c>
      <c r="B140" t="str">
        <f t="shared" si="4"/>
        <v>1</v>
      </c>
      <c r="C140" t="str">
        <f t="shared" si="7"/>
        <v>9</v>
      </c>
      <c r="D140" t="str">
        <f>"15"</f>
        <v>15</v>
      </c>
      <c r="E140" t="str">
        <f>"1-9-15"</f>
        <v>1-9-15</v>
      </c>
      <c r="F140" t="s">
        <v>15</v>
      </c>
      <c r="G140" t="s">
        <v>18</v>
      </c>
      <c r="H140" t="s">
        <v>19</v>
      </c>
      <c r="I140">
        <v>0</v>
      </c>
      <c r="J140">
        <v>0</v>
      </c>
      <c r="K140">
        <v>1</v>
      </c>
    </row>
    <row r="141" spans="1:11" x14ac:dyDescent="0.25">
      <c r="A141" t="str">
        <f>"214"</f>
        <v>214</v>
      </c>
      <c r="B141" t="str">
        <f t="shared" si="4"/>
        <v>1</v>
      </c>
      <c r="C141" t="str">
        <f t="shared" si="7"/>
        <v>9</v>
      </c>
      <c r="D141" t="str">
        <f>"16"</f>
        <v>16</v>
      </c>
      <c r="E141" t="str">
        <f>"1-9-16"</f>
        <v>1-9-16</v>
      </c>
      <c r="F141" t="s">
        <v>15</v>
      </c>
      <c r="G141" t="s">
        <v>16</v>
      </c>
      <c r="H141" t="s">
        <v>17</v>
      </c>
      <c r="I141">
        <v>0</v>
      </c>
      <c r="J141">
        <v>0</v>
      </c>
      <c r="K141">
        <v>1</v>
      </c>
    </row>
    <row r="142" spans="1:11" x14ac:dyDescent="0.25">
      <c r="A142" t="str">
        <f>"215"</f>
        <v>215</v>
      </c>
      <c r="B142" t="str">
        <f t="shared" si="4"/>
        <v>1</v>
      </c>
      <c r="C142" t="str">
        <f t="shared" si="7"/>
        <v>9</v>
      </c>
      <c r="D142" t="str">
        <f>"1"</f>
        <v>1</v>
      </c>
      <c r="E142" t="str">
        <f>"1-9-1"</f>
        <v>1-9-1</v>
      </c>
      <c r="F142" t="s">
        <v>15</v>
      </c>
      <c r="G142" t="s">
        <v>16</v>
      </c>
      <c r="H142" t="s">
        <v>17</v>
      </c>
      <c r="I142">
        <v>1</v>
      </c>
      <c r="J142">
        <v>0</v>
      </c>
      <c r="K142">
        <v>0</v>
      </c>
    </row>
    <row r="143" spans="1:11" x14ac:dyDescent="0.25">
      <c r="A143" t="str">
        <f>"216"</f>
        <v>216</v>
      </c>
      <c r="B143" t="str">
        <f t="shared" si="4"/>
        <v>1</v>
      </c>
      <c r="C143" t="str">
        <f t="shared" si="7"/>
        <v>9</v>
      </c>
      <c r="D143" t="str">
        <f>"18"</f>
        <v>18</v>
      </c>
      <c r="E143" t="str">
        <f>"1-9-18"</f>
        <v>1-9-18</v>
      </c>
      <c r="F143" t="s">
        <v>15</v>
      </c>
      <c r="G143" t="s">
        <v>16</v>
      </c>
      <c r="H143" t="s">
        <v>17</v>
      </c>
      <c r="I143">
        <v>0</v>
      </c>
      <c r="J143">
        <v>1</v>
      </c>
      <c r="K143">
        <v>0</v>
      </c>
    </row>
    <row r="144" spans="1:11" x14ac:dyDescent="0.25">
      <c r="A144" t="str">
        <f>"217"</f>
        <v>217</v>
      </c>
      <c r="B144" t="str">
        <f t="shared" si="4"/>
        <v>1</v>
      </c>
      <c r="C144" t="str">
        <f t="shared" si="7"/>
        <v>9</v>
      </c>
      <c r="D144" t="str">
        <f>"13"</f>
        <v>13</v>
      </c>
      <c r="E144" t="str">
        <f>"1-9-13"</f>
        <v>1-9-13</v>
      </c>
      <c r="F144" t="s">
        <v>15</v>
      </c>
      <c r="G144" t="s">
        <v>16</v>
      </c>
      <c r="H144" t="s">
        <v>17</v>
      </c>
      <c r="I144">
        <v>0</v>
      </c>
      <c r="J144">
        <v>1</v>
      </c>
      <c r="K144">
        <v>0</v>
      </c>
    </row>
    <row r="145" spans="1:11" x14ac:dyDescent="0.25">
      <c r="A145" t="str">
        <f>"218"</f>
        <v>218</v>
      </c>
      <c r="B145" t="str">
        <f t="shared" ref="B145:B208" si="8">"1"</f>
        <v>1</v>
      </c>
      <c r="C145" t="str">
        <f t="shared" si="7"/>
        <v>9</v>
      </c>
      <c r="D145" t="str">
        <f>"19"</f>
        <v>19</v>
      </c>
      <c r="E145" t="str">
        <f>"1-9-19"</f>
        <v>1-9-19</v>
      </c>
      <c r="F145" t="s">
        <v>15</v>
      </c>
      <c r="G145" t="s">
        <v>16</v>
      </c>
      <c r="H145" t="s">
        <v>17</v>
      </c>
      <c r="I145">
        <v>0</v>
      </c>
      <c r="J145">
        <v>0</v>
      </c>
      <c r="K145">
        <v>1</v>
      </c>
    </row>
    <row r="146" spans="1:11" x14ac:dyDescent="0.25">
      <c r="A146" t="str">
        <f>"219"</f>
        <v>219</v>
      </c>
      <c r="B146" t="str">
        <f t="shared" si="8"/>
        <v>1</v>
      </c>
      <c r="C146" t="str">
        <f t="shared" si="7"/>
        <v>9</v>
      </c>
      <c r="D146" t="str">
        <f>"6"</f>
        <v>6</v>
      </c>
      <c r="E146" t="str">
        <f>"1-9-6"</f>
        <v>1-9-6</v>
      </c>
      <c r="F146" t="s">
        <v>15</v>
      </c>
      <c r="G146" t="s">
        <v>16</v>
      </c>
      <c r="H146" t="s">
        <v>17</v>
      </c>
      <c r="I146">
        <v>0</v>
      </c>
      <c r="J146">
        <v>0</v>
      </c>
      <c r="K146">
        <v>1</v>
      </c>
    </row>
    <row r="147" spans="1:11" x14ac:dyDescent="0.25">
      <c r="A147" t="str">
        <f>"220"</f>
        <v>220</v>
      </c>
      <c r="B147" t="str">
        <f t="shared" si="8"/>
        <v>1</v>
      </c>
      <c r="C147" t="str">
        <f t="shared" si="7"/>
        <v>9</v>
      </c>
      <c r="D147" t="str">
        <f>"20"</f>
        <v>20</v>
      </c>
      <c r="E147" t="str">
        <f>"1-9-20"</f>
        <v>1-9-20</v>
      </c>
      <c r="F147" t="s">
        <v>15</v>
      </c>
      <c r="G147" t="s">
        <v>16</v>
      </c>
      <c r="H147" t="s">
        <v>17</v>
      </c>
      <c r="I147">
        <v>0</v>
      </c>
      <c r="J147">
        <v>0</v>
      </c>
      <c r="K147">
        <v>1</v>
      </c>
    </row>
    <row r="148" spans="1:11" x14ac:dyDescent="0.25">
      <c r="A148" t="str">
        <f>"221"</f>
        <v>221</v>
      </c>
      <c r="B148" t="str">
        <f t="shared" si="8"/>
        <v>1</v>
      </c>
      <c r="C148" t="str">
        <f t="shared" si="7"/>
        <v>9</v>
      </c>
      <c r="D148" t="str">
        <f>"9"</f>
        <v>9</v>
      </c>
      <c r="E148" t="str">
        <f>"1-9-9"</f>
        <v>1-9-9</v>
      </c>
      <c r="F148" t="s">
        <v>15</v>
      </c>
      <c r="G148" t="s">
        <v>16</v>
      </c>
      <c r="H148" t="s">
        <v>17</v>
      </c>
      <c r="I148">
        <v>0</v>
      </c>
      <c r="J148">
        <v>0</v>
      </c>
      <c r="K148">
        <v>1</v>
      </c>
    </row>
    <row r="149" spans="1:11" x14ac:dyDescent="0.25">
      <c r="A149" t="str">
        <f>"222"</f>
        <v>222</v>
      </c>
      <c r="B149" t="str">
        <f t="shared" si="8"/>
        <v>1</v>
      </c>
      <c r="C149" t="str">
        <f t="shared" si="7"/>
        <v>9</v>
      </c>
      <c r="D149" t="str">
        <f>"21"</f>
        <v>21</v>
      </c>
      <c r="E149" t="str">
        <f>"1-9-21"</f>
        <v>1-9-21</v>
      </c>
      <c r="F149" t="s">
        <v>15</v>
      </c>
      <c r="G149" t="s">
        <v>16</v>
      </c>
      <c r="H149" t="s">
        <v>17</v>
      </c>
      <c r="I149">
        <v>0</v>
      </c>
      <c r="J149">
        <v>1</v>
      </c>
      <c r="K149">
        <v>0</v>
      </c>
    </row>
    <row r="150" spans="1:11" x14ac:dyDescent="0.25">
      <c r="A150" t="str">
        <f>"223"</f>
        <v>223</v>
      </c>
      <c r="B150" t="str">
        <f t="shared" si="8"/>
        <v>1</v>
      </c>
      <c r="C150" t="str">
        <f t="shared" si="7"/>
        <v>9</v>
      </c>
      <c r="D150" t="str">
        <f>"11"</f>
        <v>11</v>
      </c>
      <c r="E150" t="str">
        <f>"1-9-11"</f>
        <v>1-9-11</v>
      </c>
      <c r="F150" t="s">
        <v>15</v>
      </c>
      <c r="G150" t="s">
        <v>16</v>
      </c>
      <c r="H150" t="s">
        <v>17</v>
      </c>
      <c r="I150">
        <v>1</v>
      </c>
      <c r="J150">
        <v>0</v>
      </c>
      <c r="K150">
        <v>0</v>
      </c>
    </row>
    <row r="151" spans="1:11" x14ac:dyDescent="0.25">
      <c r="A151" t="str">
        <f>"224"</f>
        <v>224</v>
      </c>
      <c r="B151" t="str">
        <f t="shared" si="8"/>
        <v>1</v>
      </c>
      <c r="C151" t="str">
        <f t="shared" si="7"/>
        <v>9</v>
      </c>
      <c r="D151" t="str">
        <f>"22"</f>
        <v>22</v>
      </c>
      <c r="E151" t="str">
        <f>"1-9-22"</f>
        <v>1-9-22</v>
      </c>
      <c r="F151" t="s">
        <v>15</v>
      </c>
      <c r="G151" t="s">
        <v>16</v>
      </c>
      <c r="H151" t="s">
        <v>17</v>
      </c>
      <c r="I151">
        <v>1</v>
      </c>
      <c r="J151">
        <v>0</v>
      </c>
      <c r="K151">
        <v>0</v>
      </c>
    </row>
    <row r="152" spans="1:11" x14ac:dyDescent="0.25">
      <c r="A152" t="str">
        <f>"225"</f>
        <v>225</v>
      </c>
      <c r="B152" t="str">
        <f t="shared" si="8"/>
        <v>1</v>
      </c>
      <c r="C152" t="str">
        <f t="shared" si="7"/>
        <v>9</v>
      </c>
      <c r="D152" t="str">
        <f>"23"</f>
        <v>23</v>
      </c>
      <c r="E152" t="str">
        <f>"1-9-23"</f>
        <v>1-9-23</v>
      </c>
      <c r="F152" t="s">
        <v>15</v>
      </c>
      <c r="G152" t="s">
        <v>18</v>
      </c>
      <c r="H152" t="s">
        <v>19</v>
      </c>
      <c r="I152">
        <v>1</v>
      </c>
      <c r="J152">
        <v>0</v>
      </c>
      <c r="K152">
        <v>0</v>
      </c>
    </row>
    <row r="153" spans="1:11" x14ac:dyDescent="0.25">
      <c r="A153" t="str">
        <f>"226"</f>
        <v>226</v>
      </c>
      <c r="B153" t="str">
        <f t="shared" si="8"/>
        <v>1</v>
      </c>
      <c r="C153" t="str">
        <f t="shared" si="7"/>
        <v>9</v>
      </c>
      <c r="D153" t="str">
        <f>"14"</f>
        <v>14</v>
      </c>
      <c r="E153" t="str">
        <f>"1-9-14"</f>
        <v>1-9-14</v>
      </c>
      <c r="F153" t="s">
        <v>15</v>
      </c>
      <c r="G153" t="s">
        <v>16</v>
      </c>
      <c r="H153" t="s">
        <v>17</v>
      </c>
      <c r="I153">
        <v>0</v>
      </c>
      <c r="J153">
        <v>1</v>
      </c>
      <c r="K153">
        <v>0</v>
      </c>
    </row>
    <row r="154" spans="1:11" x14ac:dyDescent="0.25">
      <c r="A154" t="str">
        <f>"227"</f>
        <v>227</v>
      </c>
      <c r="B154" t="str">
        <f t="shared" si="8"/>
        <v>1</v>
      </c>
      <c r="C154" t="str">
        <f t="shared" si="7"/>
        <v>9</v>
      </c>
      <c r="D154" t="str">
        <f>"24"</f>
        <v>24</v>
      </c>
      <c r="E154" t="str">
        <f>"1-9-24"</f>
        <v>1-9-24</v>
      </c>
      <c r="F154" t="s">
        <v>15</v>
      </c>
      <c r="G154" t="s">
        <v>18</v>
      </c>
      <c r="H154" t="s">
        <v>19</v>
      </c>
      <c r="I154">
        <v>1</v>
      </c>
      <c r="J154">
        <v>0</v>
      </c>
      <c r="K154">
        <v>0</v>
      </c>
    </row>
    <row r="155" spans="1:11" x14ac:dyDescent="0.25">
      <c r="A155" t="str">
        <f>"228"</f>
        <v>228</v>
      </c>
      <c r="B155" t="str">
        <f t="shared" si="8"/>
        <v>1</v>
      </c>
      <c r="C155" t="str">
        <f t="shared" si="7"/>
        <v>9</v>
      </c>
      <c r="D155" t="str">
        <f>"12"</f>
        <v>12</v>
      </c>
      <c r="E155" t="str">
        <f>"1-9-12"</f>
        <v>1-9-12</v>
      </c>
      <c r="F155" t="s">
        <v>15</v>
      </c>
      <c r="G155" t="s">
        <v>16</v>
      </c>
      <c r="H155" t="s">
        <v>17</v>
      </c>
      <c r="I155">
        <v>1</v>
      </c>
      <c r="J155">
        <v>0</v>
      </c>
      <c r="K155">
        <v>0</v>
      </c>
    </row>
    <row r="156" spans="1:11" x14ac:dyDescent="0.25">
      <c r="A156" t="str">
        <f>"229"</f>
        <v>229</v>
      </c>
      <c r="B156" t="str">
        <f t="shared" si="8"/>
        <v>1</v>
      </c>
      <c r="C156" t="str">
        <f t="shared" si="7"/>
        <v>9</v>
      </c>
      <c r="D156" t="str">
        <f>"25"</f>
        <v>25</v>
      </c>
      <c r="E156" t="str">
        <f>"1-9-25"</f>
        <v>1-9-25</v>
      </c>
      <c r="F156" t="s">
        <v>15</v>
      </c>
      <c r="G156" t="s">
        <v>16</v>
      </c>
      <c r="H156" t="s">
        <v>17</v>
      </c>
      <c r="I156">
        <v>0</v>
      </c>
      <c r="J156">
        <v>1</v>
      </c>
      <c r="K156">
        <v>0</v>
      </c>
    </row>
    <row r="157" spans="1:11" x14ac:dyDescent="0.25">
      <c r="A157" t="str">
        <f>"230"</f>
        <v>230</v>
      </c>
      <c r="B157" t="str">
        <f t="shared" si="8"/>
        <v>1</v>
      </c>
      <c r="C157" t="str">
        <f t="shared" si="7"/>
        <v>9</v>
      </c>
      <c r="D157" t="str">
        <f>"10"</f>
        <v>10</v>
      </c>
      <c r="E157" t="str">
        <f>"1-9-10"</f>
        <v>1-9-10</v>
      </c>
      <c r="F157" t="s">
        <v>15</v>
      </c>
      <c r="G157" t="s">
        <v>16</v>
      </c>
      <c r="H157" t="s">
        <v>17</v>
      </c>
      <c r="I157">
        <v>0</v>
      </c>
      <c r="J157">
        <v>1</v>
      </c>
      <c r="K157">
        <v>0</v>
      </c>
    </row>
    <row r="158" spans="1:11" x14ac:dyDescent="0.25">
      <c r="A158" t="str">
        <f>"231"</f>
        <v>231</v>
      </c>
      <c r="B158" t="str">
        <f t="shared" si="8"/>
        <v>1</v>
      </c>
      <c r="C158" t="str">
        <f t="shared" si="7"/>
        <v>9</v>
      </c>
      <c r="D158" t="str">
        <f>"2"</f>
        <v>2</v>
      </c>
      <c r="E158" t="str">
        <f>"1-9-2"</f>
        <v>1-9-2</v>
      </c>
      <c r="F158" t="s">
        <v>15</v>
      </c>
      <c r="G158" t="s">
        <v>16</v>
      </c>
      <c r="H158" t="s">
        <v>17</v>
      </c>
      <c r="I158">
        <v>0</v>
      </c>
      <c r="J158">
        <v>1</v>
      </c>
      <c r="K158">
        <v>0</v>
      </c>
    </row>
    <row r="159" spans="1:11" x14ac:dyDescent="0.25">
      <c r="A159" t="str">
        <f>"232"</f>
        <v>232</v>
      </c>
      <c r="B159" t="str">
        <f t="shared" si="8"/>
        <v>1</v>
      </c>
      <c r="C159" t="str">
        <f t="shared" si="7"/>
        <v>9</v>
      </c>
      <c r="D159" t="str">
        <f>"3"</f>
        <v>3</v>
      </c>
      <c r="E159" t="str">
        <f>"1-9-3"</f>
        <v>1-9-3</v>
      </c>
      <c r="F159" t="s">
        <v>15</v>
      </c>
      <c r="G159" t="s">
        <v>16</v>
      </c>
      <c r="H159" t="s">
        <v>17</v>
      </c>
      <c r="I159">
        <v>0</v>
      </c>
      <c r="J159">
        <v>1</v>
      </c>
      <c r="K159">
        <v>0</v>
      </c>
    </row>
    <row r="160" spans="1:11" x14ac:dyDescent="0.25">
      <c r="A160" t="str">
        <f>"233"</f>
        <v>233</v>
      </c>
      <c r="B160" t="str">
        <f t="shared" si="8"/>
        <v>1</v>
      </c>
      <c r="C160" t="str">
        <f t="shared" si="7"/>
        <v>9</v>
      </c>
      <c r="D160" t="str">
        <f>"8"</f>
        <v>8</v>
      </c>
      <c r="E160" t="str">
        <f>"1-9-8"</f>
        <v>1-9-8</v>
      </c>
      <c r="F160" t="s">
        <v>15</v>
      </c>
      <c r="G160" t="s">
        <v>20</v>
      </c>
      <c r="H160" t="s">
        <v>21</v>
      </c>
      <c r="I160">
        <v>0</v>
      </c>
      <c r="J160">
        <v>0</v>
      </c>
      <c r="K160">
        <v>1</v>
      </c>
    </row>
    <row r="161" spans="1:11" x14ac:dyDescent="0.25">
      <c r="A161" t="str">
        <f>"234"</f>
        <v>234</v>
      </c>
      <c r="B161" t="str">
        <f t="shared" si="8"/>
        <v>1</v>
      </c>
      <c r="C161" t="str">
        <f t="shared" si="7"/>
        <v>9</v>
      </c>
      <c r="D161" t="str">
        <f>"5"</f>
        <v>5</v>
      </c>
      <c r="E161" t="str">
        <f>"1-9-5"</f>
        <v>1-9-5</v>
      </c>
      <c r="F161" t="s">
        <v>15</v>
      </c>
      <c r="G161" t="s">
        <v>18</v>
      </c>
      <c r="H161" t="s">
        <v>19</v>
      </c>
      <c r="I161">
        <v>0</v>
      </c>
      <c r="J161">
        <v>0</v>
      </c>
      <c r="K161">
        <v>0</v>
      </c>
    </row>
    <row r="162" spans="1:11" x14ac:dyDescent="0.25">
      <c r="A162" t="str">
        <f>"235"</f>
        <v>235</v>
      </c>
      <c r="B162" t="str">
        <f t="shared" si="8"/>
        <v>1</v>
      </c>
      <c r="C162" t="str">
        <f t="shared" si="7"/>
        <v>9</v>
      </c>
      <c r="D162" t="str">
        <f>"7"</f>
        <v>7</v>
      </c>
      <c r="E162" t="str">
        <f>"1-9-7"</f>
        <v>1-9-7</v>
      </c>
      <c r="F162" t="s">
        <v>15</v>
      </c>
      <c r="G162" t="s">
        <v>16</v>
      </c>
      <c r="H162" t="s">
        <v>17</v>
      </c>
      <c r="I162">
        <v>0</v>
      </c>
      <c r="J162">
        <v>0</v>
      </c>
      <c r="K162">
        <v>0</v>
      </c>
    </row>
    <row r="163" spans="1:11" x14ac:dyDescent="0.25">
      <c r="A163" t="str">
        <f>"236"</f>
        <v>236</v>
      </c>
      <c r="B163" t="str">
        <f t="shared" si="8"/>
        <v>1</v>
      </c>
      <c r="C163" t="str">
        <f t="shared" si="7"/>
        <v>9</v>
      </c>
      <c r="D163" t="str">
        <f>"4"</f>
        <v>4</v>
      </c>
      <c r="E163" t="str">
        <f>"1-9-4"</f>
        <v>1-9-4</v>
      </c>
      <c r="F163" t="s">
        <v>15</v>
      </c>
      <c r="G163" t="s">
        <v>16</v>
      </c>
      <c r="H163" t="s">
        <v>17</v>
      </c>
      <c r="I163">
        <v>0</v>
      </c>
      <c r="J163">
        <v>0</v>
      </c>
      <c r="K163">
        <v>0</v>
      </c>
    </row>
    <row r="164" spans="1:11" x14ac:dyDescent="0.25">
      <c r="A164" t="str">
        <f>"237"</f>
        <v>237</v>
      </c>
      <c r="B164" t="str">
        <f t="shared" si="8"/>
        <v>1</v>
      </c>
      <c r="C164" t="str">
        <f t="shared" ref="C164:C188" si="9">"10"</f>
        <v>10</v>
      </c>
      <c r="D164" t="str">
        <f>"21"</f>
        <v>21</v>
      </c>
      <c r="E164" t="str">
        <f>"1-10-21"</f>
        <v>1-10-21</v>
      </c>
      <c r="F164" t="s">
        <v>15</v>
      </c>
      <c r="G164" t="s">
        <v>16</v>
      </c>
      <c r="H164" t="s">
        <v>17</v>
      </c>
      <c r="I164">
        <v>0</v>
      </c>
      <c r="J164">
        <v>0</v>
      </c>
      <c r="K164">
        <v>1</v>
      </c>
    </row>
    <row r="165" spans="1:11" x14ac:dyDescent="0.25">
      <c r="A165" t="str">
        <f>"238"</f>
        <v>238</v>
      </c>
      <c r="B165" t="str">
        <f t="shared" si="8"/>
        <v>1</v>
      </c>
      <c r="C165" t="str">
        <f t="shared" si="9"/>
        <v>10</v>
      </c>
      <c r="D165" t="str">
        <f>"15"</f>
        <v>15</v>
      </c>
      <c r="E165" t="str">
        <f>"1-10-15"</f>
        <v>1-10-15</v>
      </c>
      <c r="F165" t="s">
        <v>15</v>
      </c>
      <c r="G165" t="s">
        <v>16</v>
      </c>
      <c r="H165" t="s">
        <v>17</v>
      </c>
      <c r="I165">
        <v>0</v>
      </c>
      <c r="J165">
        <v>0</v>
      </c>
      <c r="K165">
        <v>1</v>
      </c>
    </row>
    <row r="166" spans="1:11" x14ac:dyDescent="0.25">
      <c r="A166" t="str">
        <f>"239"</f>
        <v>239</v>
      </c>
      <c r="B166" t="str">
        <f t="shared" si="8"/>
        <v>1</v>
      </c>
      <c r="C166" t="str">
        <f t="shared" si="9"/>
        <v>10</v>
      </c>
      <c r="D166" t="str">
        <f>"4"</f>
        <v>4</v>
      </c>
      <c r="E166" t="str">
        <f>"1-10-4"</f>
        <v>1-10-4</v>
      </c>
      <c r="F166" t="s">
        <v>15</v>
      </c>
      <c r="G166" t="s">
        <v>20</v>
      </c>
      <c r="H166" t="s">
        <v>21</v>
      </c>
      <c r="I166">
        <v>1</v>
      </c>
      <c r="J166">
        <v>0</v>
      </c>
      <c r="K166">
        <v>0</v>
      </c>
    </row>
    <row r="167" spans="1:11" x14ac:dyDescent="0.25">
      <c r="A167" t="str">
        <f>"240"</f>
        <v>240</v>
      </c>
      <c r="B167" t="str">
        <f t="shared" si="8"/>
        <v>1</v>
      </c>
      <c r="C167" t="str">
        <f t="shared" si="9"/>
        <v>10</v>
      </c>
      <c r="D167" t="str">
        <f>"16"</f>
        <v>16</v>
      </c>
      <c r="E167" t="str">
        <f>"1-10-16"</f>
        <v>1-10-16</v>
      </c>
      <c r="F167" t="s">
        <v>15</v>
      </c>
      <c r="G167" t="s">
        <v>16</v>
      </c>
      <c r="H167" t="s">
        <v>17</v>
      </c>
      <c r="I167">
        <v>1</v>
      </c>
      <c r="J167">
        <v>0</v>
      </c>
      <c r="K167">
        <v>0</v>
      </c>
    </row>
    <row r="168" spans="1:11" x14ac:dyDescent="0.25">
      <c r="A168" t="str">
        <f>"241"</f>
        <v>241</v>
      </c>
      <c r="B168" t="str">
        <f t="shared" si="8"/>
        <v>1</v>
      </c>
      <c r="C168" t="str">
        <f t="shared" si="9"/>
        <v>10</v>
      </c>
      <c r="D168" t="str">
        <f>"1"</f>
        <v>1</v>
      </c>
      <c r="E168" t="str">
        <f>"1-10-1"</f>
        <v>1-10-1</v>
      </c>
      <c r="F168" t="s">
        <v>15</v>
      </c>
      <c r="G168" t="s">
        <v>16</v>
      </c>
      <c r="H168" t="s">
        <v>17</v>
      </c>
      <c r="I168">
        <v>1</v>
      </c>
      <c r="J168">
        <v>0</v>
      </c>
      <c r="K168">
        <v>0</v>
      </c>
    </row>
    <row r="169" spans="1:11" x14ac:dyDescent="0.25">
      <c r="A169" t="str">
        <f>"242"</f>
        <v>242</v>
      </c>
      <c r="B169" t="str">
        <f t="shared" si="8"/>
        <v>1</v>
      </c>
      <c r="C169" t="str">
        <f t="shared" si="9"/>
        <v>10</v>
      </c>
      <c r="D169" t="str">
        <f>"17"</f>
        <v>17</v>
      </c>
      <c r="E169" t="str">
        <f>"1-10-17"</f>
        <v>1-10-17</v>
      </c>
      <c r="F169" t="s">
        <v>15</v>
      </c>
      <c r="G169" t="s">
        <v>16</v>
      </c>
      <c r="H169" t="s">
        <v>17</v>
      </c>
      <c r="I169">
        <v>1</v>
      </c>
      <c r="J169">
        <v>0</v>
      </c>
      <c r="K169">
        <v>0</v>
      </c>
    </row>
    <row r="170" spans="1:11" x14ac:dyDescent="0.25">
      <c r="A170" t="str">
        <f>"243"</f>
        <v>243</v>
      </c>
      <c r="B170" t="str">
        <f t="shared" si="8"/>
        <v>1</v>
      </c>
      <c r="C170" t="str">
        <f t="shared" si="9"/>
        <v>10</v>
      </c>
      <c r="D170" t="str">
        <f>"5"</f>
        <v>5</v>
      </c>
      <c r="E170" t="str">
        <f>"1-10-5"</f>
        <v>1-10-5</v>
      </c>
      <c r="F170" t="s">
        <v>15</v>
      </c>
      <c r="G170" t="s">
        <v>20</v>
      </c>
      <c r="H170" t="s">
        <v>21</v>
      </c>
      <c r="I170">
        <v>0</v>
      </c>
      <c r="J170">
        <v>1</v>
      </c>
      <c r="K170">
        <v>0</v>
      </c>
    </row>
    <row r="171" spans="1:11" x14ac:dyDescent="0.25">
      <c r="A171" t="str">
        <f>"244"</f>
        <v>244</v>
      </c>
      <c r="B171" t="str">
        <f t="shared" si="8"/>
        <v>1</v>
      </c>
      <c r="C171" t="str">
        <f t="shared" si="9"/>
        <v>10</v>
      </c>
      <c r="D171" t="str">
        <f>"18"</f>
        <v>18</v>
      </c>
      <c r="E171" t="str">
        <f>"1-10-18"</f>
        <v>1-10-18</v>
      </c>
      <c r="F171" t="s">
        <v>15</v>
      </c>
      <c r="G171" t="s">
        <v>16</v>
      </c>
      <c r="H171" t="s">
        <v>17</v>
      </c>
      <c r="I171">
        <v>0</v>
      </c>
      <c r="J171">
        <v>1</v>
      </c>
      <c r="K171">
        <v>0</v>
      </c>
    </row>
    <row r="172" spans="1:11" x14ac:dyDescent="0.25">
      <c r="A172" t="str">
        <f>"245"</f>
        <v>245</v>
      </c>
      <c r="B172" t="str">
        <f t="shared" si="8"/>
        <v>1</v>
      </c>
      <c r="C172" t="str">
        <f t="shared" si="9"/>
        <v>10</v>
      </c>
      <c r="D172" t="str">
        <f>"7"</f>
        <v>7</v>
      </c>
      <c r="E172" t="str">
        <f>"1-10-7"</f>
        <v>1-10-7</v>
      </c>
      <c r="F172" t="s">
        <v>15</v>
      </c>
      <c r="G172" t="s">
        <v>16</v>
      </c>
      <c r="H172" t="s">
        <v>17</v>
      </c>
      <c r="I172">
        <v>0</v>
      </c>
      <c r="J172">
        <v>0</v>
      </c>
      <c r="K172">
        <v>1</v>
      </c>
    </row>
    <row r="173" spans="1:11" x14ac:dyDescent="0.25">
      <c r="A173" t="str">
        <f>"246"</f>
        <v>246</v>
      </c>
      <c r="B173" t="str">
        <f t="shared" si="8"/>
        <v>1</v>
      </c>
      <c r="C173" t="str">
        <f t="shared" si="9"/>
        <v>10</v>
      </c>
      <c r="D173" t="str">
        <f>"19"</f>
        <v>19</v>
      </c>
      <c r="E173" t="str">
        <f>"1-10-19"</f>
        <v>1-10-19</v>
      </c>
      <c r="F173" t="s">
        <v>15</v>
      </c>
      <c r="G173" t="s">
        <v>16</v>
      </c>
      <c r="H173" t="s">
        <v>17</v>
      </c>
      <c r="I173">
        <v>1</v>
      </c>
      <c r="J173">
        <v>0</v>
      </c>
      <c r="K173">
        <v>0</v>
      </c>
    </row>
    <row r="174" spans="1:11" x14ac:dyDescent="0.25">
      <c r="A174" t="str">
        <f>"247"</f>
        <v>247</v>
      </c>
      <c r="B174" t="str">
        <f t="shared" si="8"/>
        <v>1</v>
      </c>
      <c r="C174" t="str">
        <f t="shared" si="9"/>
        <v>10</v>
      </c>
      <c r="D174" t="str">
        <f>"3"</f>
        <v>3</v>
      </c>
      <c r="E174" t="str">
        <f>"1-10-3"</f>
        <v>1-10-3</v>
      </c>
      <c r="F174" t="s">
        <v>15</v>
      </c>
      <c r="G174" t="s">
        <v>16</v>
      </c>
      <c r="H174" t="s">
        <v>17</v>
      </c>
      <c r="I174">
        <v>0</v>
      </c>
      <c r="J174">
        <v>0</v>
      </c>
      <c r="K174">
        <v>1</v>
      </c>
    </row>
    <row r="175" spans="1:11" x14ac:dyDescent="0.25">
      <c r="A175" t="str">
        <f>"248"</f>
        <v>248</v>
      </c>
      <c r="B175" t="str">
        <f t="shared" si="8"/>
        <v>1</v>
      </c>
      <c r="C175" t="str">
        <f t="shared" si="9"/>
        <v>10</v>
      </c>
      <c r="D175" t="str">
        <f>"20"</f>
        <v>20</v>
      </c>
      <c r="E175" t="str">
        <f>"1-10-20"</f>
        <v>1-10-20</v>
      </c>
      <c r="F175" t="s">
        <v>15</v>
      </c>
      <c r="G175" t="s">
        <v>16</v>
      </c>
      <c r="H175" t="s">
        <v>17</v>
      </c>
      <c r="I175">
        <v>1</v>
      </c>
      <c r="J175">
        <v>0</v>
      </c>
      <c r="K175">
        <v>0</v>
      </c>
    </row>
    <row r="176" spans="1:11" x14ac:dyDescent="0.25">
      <c r="A176" t="str">
        <f>"249"</f>
        <v>249</v>
      </c>
      <c r="B176" t="str">
        <f t="shared" si="8"/>
        <v>1</v>
      </c>
      <c r="C176" t="str">
        <f t="shared" si="9"/>
        <v>10</v>
      </c>
      <c r="D176" t="str">
        <f>"8"</f>
        <v>8</v>
      </c>
      <c r="E176" t="str">
        <f>"1-10-8"</f>
        <v>1-10-8</v>
      </c>
      <c r="F176" t="s">
        <v>15</v>
      </c>
      <c r="G176" t="s">
        <v>16</v>
      </c>
      <c r="H176" t="s">
        <v>17</v>
      </c>
      <c r="I176">
        <v>0</v>
      </c>
      <c r="J176">
        <v>0</v>
      </c>
      <c r="K176">
        <v>1</v>
      </c>
    </row>
    <row r="177" spans="1:11" x14ac:dyDescent="0.25">
      <c r="A177" t="str">
        <f>"250"</f>
        <v>250</v>
      </c>
      <c r="B177" t="str">
        <f t="shared" si="8"/>
        <v>1</v>
      </c>
      <c r="C177" t="str">
        <f t="shared" si="9"/>
        <v>10</v>
      </c>
      <c r="D177" t="str">
        <f>"22"</f>
        <v>22</v>
      </c>
      <c r="E177" t="str">
        <f>"1-10-22"</f>
        <v>1-10-22</v>
      </c>
      <c r="F177" t="s">
        <v>15</v>
      </c>
      <c r="G177" t="s">
        <v>16</v>
      </c>
      <c r="H177" t="s">
        <v>17</v>
      </c>
      <c r="I177">
        <v>0</v>
      </c>
      <c r="J177">
        <v>1</v>
      </c>
      <c r="K177">
        <v>0</v>
      </c>
    </row>
    <row r="178" spans="1:11" x14ac:dyDescent="0.25">
      <c r="A178" t="str">
        <f>"251"</f>
        <v>251</v>
      </c>
      <c r="B178" t="str">
        <f t="shared" si="8"/>
        <v>1</v>
      </c>
      <c r="C178" t="str">
        <f t="shared" si="9"/>
        <v>10</v>
      </c>
      <c r="D178" t="str">
        <f>"10"</f>
        <v>10</v>
      </c>
      <c r="E178" t="str">
        <f>"1-10-10"</f>
        <v>1-10-10</v>
      </c>
      <c r="F178" t="s">
        <v>15</v>
      </c>
      <c r="G178" t="s">
        <v>16</v>
      </c>
      <c r="H178" t="s">
        <v>17</v>
      </c>
      <c r="I178">
        <v>1</v>
      </c>
      <c r="J178">
        <v>0</v>
      </c>
      <c r="K178">
        <v>0</v>
      </c>
    </row>
    <row r="179" spans="1:11" x14ac:dyDescent="0.25">
      <c r="A179" t="str">
        <f>"252"</f>
        <v>252</v>
      </c>
      <c r="B179" t="str">
        <f t="shared" si="8"/>
        <v>1</v>
      </c>
      <c r="C179" t="str">
        <f t="shared" si="9"/>
        <v>10</v>
      </c>
      <c r="D179" t="str">
        <f>"23"</f>
        <v>23</v>
      </c>
      <c r="E179" t="str">
        <f>"1-10-23"</f>
        <v>1-10-23</v>
      </c>
      <c r="F179" t="s">
        <v>15</v>
      </c>
      <c r="G179" t="s">
        <v>16</v>
      </c>
      <c r="H179" t="s">
        <v>17</v>
      </c>
      <c r="I179">
        <v>1</v>
      </c>
      <c r="J179">
        <v>0</v>
      </c>
      <c r="K179">
        <v>0</v>
      </c>
    </row>
    <row r="180" spans="1:11" x14ac:dyDescent="0.25">
      <c r="A180" t="str">
        <f>"253"</f>
        <v>253</v>
      </c>
      <c r="B180" t="str">
        <f t="shared" si="8"/>
        <v>1</v>
      </c>
      <c r="C180" t="str">
        <f t="shared" si="9"/>
        <v>10</v>
      </c>
      <c r="D180" t="str">
        <f>"14"</f>
        <v>14</v>
      </c>
      <c r="E180" t="str">
        <f>"1-10-14"</f>
        <v>1-10-14</v>
      </c>
      <c r="F180" t="s">
        <v>15</v>
      </c>
      <c r="G180" t="s">
        <v>16</v>
      </c>
      <c r="H180" t="s">
        <v>17</v>
      </c>
      <c r="I180">
        <v>0</v>
      </c>
      <c r="J180">
        <v>0</v>
      </c>
      <c r="K180">
        <v>1</v>
      </c>
    </row>
    <row r="181" spans="1:11" x14ac:dyDescent="0.25">
      <c r="A181" t="str">
        <f>"254"</f>
        <v>254</v>
      </c>
      <c r="B181" t="str">
        <f t="shared" si="8"/>
        <v>1</v>
      </c>
      <c r="C181" t="str">
        <f t="shared" si="9"/>
        <v>10</v>
      </c>
      <c r="D181" t="str">
        <f>"24"</f>
        <v>24</v>
      </c>
      <c r="E181" t="str">
        <f>"1-10-24"</f>
        <v>1-10-24</v>
      </c>
      <c r="F181" t="s">
        <v>15</v>
      </c>
      <c r="G181" t="s">
        <v>16</v>
      </c>
      <c r="H181" t="s">
        <v>17</v>
      </c>
      <c r="I181">
        <v>1</v>
      </c>
      <c r="J181">
        <v>0</v>
      </c>
      <c r="K181">
        <v>0</v>
      </c>
    </row>
    <row r="182" spans="1:11" x14ac:dyDescent="0.25">
      <c r="A182" t="str">
        <f>"255"</f>
        <v>255</v>
      </c>
      <c r="B182" t="str">
        <f t="shared" si="8"/>
        <v>1</v>
      </c>
      <c r="C182" t="str">
        <f t="shared" si="9"/>
        <v>10</v>
      </c>
      <c r="D182" t="str">
        <f>"12"</f>
        <v>12</v>
      </c>
      <c r="E182" t="str">
        <f>"1-10-12"</f>
        <v>1-10-12</v>
      </c>
      <c r="F182" t="s">
        <v>15</v>
      </c>
      <c r="G182" t="s">
        <v>18</v>
      </c>
      <c r="H182" t="s">
        <v>19</v>
      </c>
      <c r="I182">
        <v>0</v>
      </c>
      <c r="J182">
        <v>0</v>
      </c>
      <c r="K182">
        <v>1</v>
      </c>
    </row>
    <row r="183" spans="1:11" x14ac:dyDescent="0.25">
      <c r="A183" t="str">
        <f>"256"</f>
        <v>256</v>
      </c>
      <c r="B183" t="str">
        <f t="shared" si="8"/>
        <v>1</v>
      </c>
      <c r="C183" t="str">
        <f t="shared" si="9"/>
        <v>10</v>
      </c>
      <c r="D183" t="str">
        <f>"25"</f>
        <v>25</v>
      </c>
      <c r="E183" t="str">
        <f>"1-10-25"</f>
        <v>1-10-25</v>
      </c>
      <c r="F183" t="s">
        <v>15</v>
      </c>
      <c r="G183" t="s">
        <v>16</v>
      </c>
      <c r="H183" t="s">
        <v>17</v>
      </c>
      <c r="I183">
        <v>1</v>
      </c>
      <c r="J183">
        <v>0</v>
      </c>
      <c r="K183">
        <v>0</v>
      </c>
    </row>
    <row r="184" spans="1:11" x14ac:dyDescent="0.25">
      <c r="A184" t="str">
        <f>"257"</f>
        <v>257</v>
      </c>
      <c r="B184" t="str">
        <f t="shared" si="8"/>
        <v>1</v>
      </c>
      <c r="C184" t="str">
        <f t="shared" si="9"/>
        <v>10</v>
      </c>
      <c r="D184" t="str">
        <f>"13"</f>
        <v>13</v>
      </c>
      <c r="E184" t="str">
        <f>"1-10-13"</f>
        <v>1-10-13</v>
      </c>
      <c r="F184" t="s">
        <v>15</v>
      </c>
      <c r="G184" t="s">
        <v>20</v>
      </c>
      <c r="H184" t="s">
        <v>21</v>
      </c>
      <c r="I184">
        <v>0</v>
      </c>
      <c r="J184">
        <v>0</v>
      </c>
      <c r="K184">
        <v>1</v>
      </c>
    </row>
    <row r="185" spans="1:11" x14ac:dyDescent="0.25">
      <c r="A185" t="str">
        <f>"258"</f>
        <v>258</v>
      </c>
      <c r="B185" t="str">
        <f t="shared" si="8"/>
        <v>1</v>
      </c>
      <c r="C185" t="str">
        <f t="shared" si="9"/>
        <v>10</v>
      </c>
      <c r="D185" t="str">
        <f>"9"</f>
        <v>9</v>
      </c>
      <c r="E185" t="str">
        <f>"1-10-9"</f>
        <v>1-10-9</v>
      </c>
      <c r="F185" t="s">
        <v>15</v>
      </c>
      <c r="G185" t="s">
        <v>16</v>
      </c>
      <c r="H185" t="s">
        <v>17</v>
      </c>
      <c r="I185">
        <v>0</v>
      </c>
      <c r="J185">
        <v>0</v>
      </c>
      <c r="K185">
        <v>1</v>
      </c>
    </row>
    <row r="186" spans="1:11" x14ac:dyDescent="0.25">
      <c r="A186" t="str">
        <f>"259"</f>
        <v>259</v>
      </c>
      <c r="B186" t="str">
        <f t="shared" si="8"/>
        <v>1</v>
      </c>
      <c r="C186" t="str">
        <f t="shared" si="9"/>
        <v>10</v>
      </c>
      <c r="D186" t="str">
        <f>"6"</f>
        <v>6</v>
      </c>
      <c r="E186" t="str">
        <f>"1-10-6"</f>
        <v>1-10-6</v>
      </c>
      <c r="F186" t="s">
        <v>15</v>
      </c>
      <c r="G186" t="s">
        <v>16</v>
      </c>
      <c r="H186" t="s">
        <v>17</v>
      </c>
      <c r="I186">
        <v>1</v>
      </c>
      <c r="J186">
        <v>0</v>
      </c>
      <c r="K186">
        <v>0</v>
      </c>
    </row>
    <row r="187" spans="1:11" x14ac:dyDescent="0.25">
      <c r="A187" t="str">
        <f>"260"</f>
        <v>260</v>
      </c>
      <c r="B187" t="str">
        <f t="shared" si="8"/>
        <v>1</v>
      </c>
      <c r="C187" t="str">
        <f t="shared" si="9"/>
        <v>10</v>
      </c>
      <c r="D187" t="str">
        <f>"2"</f>
        <v>2</v>
      </c>
      <c r="E187" t="str">
        <f>"1-10-2"</f>
        <v>1-10-2</v>
      </c>
      <c r="F187" t="s">
        <v>15</v>
      </c>
      <c r="G187" t="s">
        <v>16</v>
      </c>
      <c r="H187" t="s">
        <v>17</v>
      </c>
      <c r="I187">
        <v>0</v>
      </c>
      <c r="J187">
        <v>1</v>
      </c>
      <c r="K187">
        <v>0</v>
      </c>
    </row>
    <row r="188" spans="1:11" x14ac:dyDescent="0.25">
      <c r="A188" t="str">
        <f>"261"</f>
        <v>261</v>
      </c>
      <c r="B188" t="str">
        <f t="shared" si="8"/>
        <v>1</v>
      </c>
      <c r="C188" t="str">
        <f t="shared" si="9"/>
        <v>10</v>
      </c>
      <c r="D188" t="str">
        <f>"11"</f>
        <v>11</v>
      </c>
      <c r="E188" t="str">
        <f>"1-10-11"</f>
        <v>1-10-11</v>
      </c>
      <c r="F188" t="s">
        <v>15</v>
      </c>
      <c r="G188" t="s">
        <v>16</v>
      </c>
      <c r="H188" t="s">
        <v>17</v>
      </c>
      <c r="I188">
        <v>1</v>
      </c>
      <c r="J188">
        <v>0</v>
      </c>
      <c r="K188">
        <v>0</v>
      </c>
    </row>
    <row r="189" spans="1:11" x14ac:dyDescent="0.25">
      <c r="A189" t="str">
        <f>"262"</f>
        <v>262</v>
      </c>
      <c r="B189" t="str">
        <f t="shared" si="8"/>
        <v>1</v>
      </c>
      <c r="C189" t="str">
        <f t="shared" ref="C189:C213" si="10">"11"</f>
        <v>11</v>
      </c>
      <c r="D189" t="str">
        <f>"20"</f>
        <v>20</v>
      </c>
      <c r="E189" t="str">
        <f>"1-11-20"</f>
        <v>1-11-20</v>
      </c>
      <c r="F189" t="s">
        <v>15</v>
      </c>
      <c r="G189" t="s">
        <v>16</v>
      </c>
      <c r="H189" t="s">
        <v>17</v>
      </c>
      <c r="I189">
        <v>0</v>
      </c>
      <c r="J189">
        <v>1</v>
      </c>
      <c r="K189">
        <v>0</v>
      </c>
    </row>
    <row r="190" spans="1:11" x14ac:dyDescent="0.25">
      <c r="A190" t="str">
        <f>"263"</f>
        <v>263</v>
      </c>
      <c r="B190" t="str">
        <f t="shared" si="8"/>
        <v>1</v>
      </c>
      <c r="C190" t="str">
        <f t="shared" si="10"/>
        <v>11</v>
      </c>
      <c r="D190" t="str">
        <f>"15"</f>
        <v>15</v>
      </c>
      <c r="E190" t="str">
        <f>"1-11-15"</f>
        <v>1-11-15</v>
      </c>
      <c r="F190" t="s">
        <v>15</v>
      </c>
      <c r="G190" t="s">
        <v>16</v>
      </c>
      <c r="H190" t="s">
        <v>17</v>
      </c>
      <c r="I190">
        <v>1</v>
      </c>
      <c r="J190">
        <v>0</v>
      </c>
      <c r="K190">
        <v>0</v>
      </c>
    </row>
    <row r="191" spans="1:11" x14ac:dyDescent="0.25">
      <c r="A191" t="str">
        <f>"264"</f>
        <v>264</v>
      </c>
      <c r="B191" t="str">
        <f t="shared" si="8"/>
        <v>1</v>
      </c>
      <c r="C191" t="str">
        <f t="shared" si="10"/>
        <v>11</v>
      </c>
      <c r="D191" t="str">
        <f>"6"</f>
        <v>6</v>
      </c>
      <c r="E191" t="str">
        <f>"1-11-6"</f>
        <v>1-11-6</v>
      </c>
      <c r="F191" t="s">
        <v>15</v>
      </c>
      <c r="G191" t="s">
        <v>20</v>
      </c>
      <c r="H191" t="s">
        <v>21</v>
      </c>
      <c r="I191">
        <v>0</v>
      </c>
      <c r="J191">
        <v>0</v>
      </c>
      <c r="K191">
        <v>1</v>
      </c>
    </row>
    <row r="192" spans="1:11" x14ac:dyDescent="0.25">
      <c r="A192" t="str">
        <f>"265"</f>
        <v>265</v>
      </c>
      <c r="B192" t="str">
        <f t="shared" si="8"/>
        <v>1</v>
      </c>
      <c r="C192" t="str">
        <f t="shared" si="10"/>
        <v>11</v>
      </c>
      <c r="D192" t="str">
        <f>"16"</f>
        <v>16</v>
      </c>
      <c r="E192" t="str">
        <f>"1-11-16"</f>
        <v>1-11-16</v>
      </c>
      <c r="F192" t="s">
        <v>15</v>
      </c>
      <c r="G192" t="s">
        <v>18</v>
      </c>
      <c r="H192" t="s">
        <v>19</v>
      </c>
      <c r="I192">
        <v>1</v>
      </c>
      <c r="J192">
        <v>0</v>
      </c>
      <c r="K192">
        <v>0</v>
      </c>
    </row>
    <row r="193" spans="1:11" x14ac:dyDescent="0.25">
      <c r="A193" t="str">
        <f>"266"</f>
        <v>266</v>
      </c>
      <c r="B193" t="str">
        <f t="shared" si="8"/>
        <v>1</v>
      </c>
      <c r="C193" t="str">
        <f t="shared" si="10"/>
        <v>11</v>
      </c>
      <c r="D193" t="str">
        <f>"5"</f>
        <v>5</v>
      </c>
      <c r="E193" t="str">
        <f>"1-11-5"</f>
        <v>1-11-5</v>
      </c>
      <c r="F193" t="s">
        <v>15</v>
      </c>
      <c r="G193" t="s">
        <v>16</v>
      </c>
      <c r="H193" t="s">
        <v>17</v>
      </c>
      <c r="I193">
        <v>0</v>
      </c>
      <c r="J193">
        <v>0</v>
      </c>
      <c r="K193">
        <v>1</v>
      </c>
    </row>
    <row r="194" spans="1:11" x14ac:dyDescent="0.25">
      <c r="A194" t="str">
        <f>"267"</f>
        <v>267</v>
      </c>
      <c r="B194" t="str">
        <f t="shared" si="8"/>
        <v>1</v>
      </c>
      <c r="C194" t="str">
        <f t="shared" si="10"/>
        <v>11</v>
      </c>
      <c r="D194" t="str">
        <f>"17"</f>
        <v>17</v>
      </c>
      <c r="E194" t="str">
        <f>"1-11-17"</f>
        <v>1-11-17</v>
      </c>
      <c r="F194" t="s">
        <v>15</v>
      </c>
      <c r="G194" t="s">
        <v>18</v>
      </c>
      <c r="H194" t="s">
        <v>19</v>
      </c>
      <c r="I194">
        <v>1</v>
      </c>
      <c r="J194">
        <v>0</v>
      </c>
      <c r="K194">
        <v>0</v>
      </c>
    </row>
    <row r="195" spans="1:11" x14ac:dyDescent="0.25">
      <c r="A195" t="str">
        <f>"268"</f>
        <v>268</v>
      </c>
      <c r="B195" t="str">
        <f t="shared" si="8"/>
        <v>1</v>
      </c>
      <c r="C195" t="str">
        <f t="shared" si="10"/>
        <v>11</v>
      </c>
      <c r="D195" t="str">
        <f>"8"</f>
        <v>8</v>
      </c>
      <c r="E195" t="str">
        <f>"1-11-8"</f>
        <v>1-11-8</v>
      </c>
      <c r="F195" t="s">
        <v>15</v>
      </c>
      <c r="G195" t="s">
        <v>16</v>
      </c>
      <c r="H195" t="s">
        <v>17</v>
      </c>
      <c r="I195">
        <v>0</v>
      </c>
      <c r="J195">
        <v>1</v>
      </c>
      <c r="K195">
        <v>0</v>
      </c>
    </row>
    <row r="196" spans="1:11" x14ac:dyDescent="0.25">
      <c r="A196" t="str">
        <f>"269"</f>
        <v>269</v>
      </c>
      <c r="B196" t="str">
        <f t="shared" si="8"/>
        <v>1</v>
      </c>
      <c r="C196" t="str">
        <f t="shared" si="10"/>
        <v>11</v>
      </c>
      <c r="D196" t="str">
        <f>"18"</f>
        <v>18</v>
      </c>
      <c r="E196" t="str">
        <f>"1-11-18"</f>
        <v>1-11-18</v>
      </c>
      <c r="F196" t="s">
        <v>15</v>
      </c>
      <c r="G196" t="s">
        <v>20</v>
      </c>
      <c r="H196" t="s">
        <v>21</v>
      </c>
      <c r="I196">
        <v>1</v>
      </c>
      <c r="J196">
        <v>0</v>
      </c>
      <c r="K196">
        <v>0</v>
      </c>
    </row>
    <row r="197" spans="1:11" x14ac:dyDescent="0.25">
      <c r="A197" t="str">
        <f>"270"</f>
        <v>270</v>
      </c>
      <c r="B197" t="str">
        <f t="shared" si="8"/>
        <v>1</v>
      </c>
      <c r="C197" t="str">
        <f t="shared" si="10"/>
        <v>11</v>
      </c>
      <c r="D197" t="str">
        <f>"9"</f>
        <v>9</v>
      </c>
      <c r="E197" t="str">
        <f>"1-11-9"</f>
        <v>1-11-9</v>
      </c>
      <c r="F197" t="s">
        <v>15</v>
      </c>
      <c r="G197" t="s">
        <v>16</v>
      </c>
      <c r="H197" t="s">
        <v>17</v>
      </c>
      <c r="I197">
        <v>0</v>
      </c>
      <c r="J197">
        <v>1</v>
      </c>
      <c r="K197">
        <v>0</v>
      </c>
    </row>
    <row r="198" spans="1:11" x14ac:dyDescent="0.25">
      <c r="A198" t="str">
        <f>"271"</f>
        <v>271</v>
      </c>
      <c r="B198" t="str">
        <f t="shared" si="8"/>
        <v>1</v>
      </c>
      <c r="C198" t="str">
        <f t="shared" si="10"/>
        <v>11</v>
      </c>
      <c r="D198" t="str">
        <f>"19"</f>
        <v>19</v>
      </c>
      <c r="E198" t="str">
        <f>"1-11-19"</f>
        <v>1-11-19</v>
      </c>
      <c r="F198" t="s">
        <v>15</v>
      </c>
      <c r="G198" t="s">
        <v>20</v>
      </c>
      <c r="H198" t="s">
        <v>21</v>
      </c>
      <c r="I198">
        <v>1</v>
      </c>
      <c r="J198">
        <v>0</v>
      </c>
      <c r="K198">
        <v>0</v>
      </c>
    </row>
    <row r="199" spans="1:11" x14ac:dyDescent="0.25">
      <c r="A199" t="str">
        <f>"272"</f>
        <v>272</v>
      </c>
      <c r="B199" t="str">
        <f t="shared" si="8"/>
        <v>1</v>
      </c>
      <c r="C199" t="str">
        <f t="shared" si="10"/>
        <v>11</v>
      </c>
      <c r="D199" t="str">
        <f>"14"</f>
        <v>14</v>
      </c>
      <c r="E199" t="str">
        <f>"1-11-14"</f>
        <v>1-11-14</v>
      </c>
      <c r="F199" t="s">
        <v>15</v>
      </c>
      <c r="G199" t="s">
        <v>16</v>
      </c>
      <c r="H199" t="s">
        <v>17</v>
      </c>
      <c r="I199">
        <v>1</v>
      </c>
      <c r="J199">
        <v>0</v>
      </c>
      <c r="K199">
        <v>0</v>
      </c>
    </row>
    <row r="200" spans="1:11" x14ac:dyDescent="0.25">
      <c r="A200" t="str">
        <f>"273"</f>
        <v>273</v>
      </c>
      <c r="B200" t="str">
        <f t="shared" si="8"/>
        <v>1</v>
      </c>
      <c r="C200" t="str">
        <f t="shared" si="10"/>
        <v>11</v>
      </c>
      <c r="D200" t="str">
        <f>"21"</f>
        <v>21</v>
      </c>
      <c r="E200" t="str">
        <f>"1-11-21"</f>
        <v>1-11-21</v>
      </c>
      <c r="F200" t="s">
        <v>15</v>
      </c>
      <c r="G200" t="s">
        <v>16</v>
      </c>
      <c r="H200" t="s">
        <v>17</v>
      </c>
      <c r="I200">
        <v>0</v>
      </c>
      <c r="J200">
        <v>1</v>
      </c>
      <c r="K200">
        <v>0</v>
      </c>
    </row>
    <row r="201" spans="1:11" x14ac:dyDescent="0.25">
      <c r="A201" t="str">
        <f>"274"</f>
        <v>274</v>
      </c>
      <c r="B201" t="str">
        <f t="shared" si="8"/>
        <v>1</v>
      </c>
      <c r="C201" t="str">
        <f t="shared" si="10"/>
        <v>11</v>
      </c>
      <c r="D201" t="str">
        <f>"4"</f>
        <v>4</v>
      </c>
      <c r="E201" t="str">
        <f>"1-11-4"</f>
        <v>1-11-4</v>
      </c>
      <c r="F201" t="s">
        <v>15</v>
      </c>
      <c r="G201" t="s">
        <v>16</v>
      </c>
      <c r="H201" t="s">
        <v>17</v>
      </c>
      <c r="I201">
        <v>0</v>
      </c>
      <c r="J201">
        <v>0</v>
      </c>
      <c r="K201">
        <v>1</v>
      </c>
    </row>
    <row r="202" spans="1:11" x14ac:dyDescent="0.25">
      <c r="A202" t="str">
        <f>"275"</f>
        <v>275</v>
      </c>
      <c r="B202" t="str">
        <f t="shared" si="8"/>
        <v>1</v>
      </c>
      <c r="C202" t="str">
        <f t="shared" si="10"/>
        <v>11</v>
      </c>
      <c r="D202" t="str">
        <f>"22"</f>
        <v>22</v>
      </c>
      <c r="E202" t="str">
        <f>"1-11-22"</f>
        <v>1-11-22</v>
      </c>
      <c r="F202" t="s">
        <v>15</v>
      </c>
      <c r="G202" t="s">
        <v>16</v>
      </c>
      <c r="H202" t="s">
        <v>17</v>
      </c>
      <c r="I202">
        <v>1</v>
      </c>
      <c r="J202">
        <v>0</v>
      </c>
      <c r="K202">
        <v>0</v>
      </c>
    </row>
    <row r="203" spans="1:11" x14ac:dyDescent="0.25">
      <c r="A203" t="str">
        <f>"276"</f>
        <v>276</v>
      </c>
      <c r="B203" t="str">
        <f t="shared" si="8"/>
        <v>1</v>
      </c>
      <c r="C203" t="str">
        <f t="shared" si="10"/>
        <v>11</v>
      </c>
      <c r="D203" t="str">
        <f>"11"</f>
        <v>11</v>
      </c>
      <c r="E203" t="str">
        <f>"1-11-11"</f>
        <v>1-11-11</v>
      </c>
      <c r="F203" t="s">
        <v>15</v>
      </c>
      <c r="G203" t="s">
        <v>16</v>
      </c>
      <c r="H203" t="s">
        <v>17</v>
      </c>
      <c r="I203">
        <v>0</v>
      </c>
      <c r="J203">
        <v>0</v>
      </c>
      <c r="K203">
        <v>1</v>
      </c>
    </row>
    <row r="204" spans="1:11" x14ac:dyDescent="0.25">
      <c r="A204" t="str">
        <f>"277"</f>
        <v>277</v>
      </c>
      <c r="B204" t="str">
        <f t="shared" si="8"/>
        <v>1</v>
      </c>
      <c r="C204" t="str">
        <f t="shared" si="10"/>
        <v>11</v>
      </c>
      <c r="D204" t="str">
        <f>"23"</f>
        <v>23</v>
      </c>
      <c r="E204" t="str">
        <f>"1-11-23"</f>
        <v>1-11-23</v>
      </c>
      <c r="F204" t="s">
        <v>15</v>
      </c>
      <c r="G204" t="s">
        <v>16</v>
      </c>
      <c r="H204" t="s">
        <v>17</v>
      </c>
      <c r="I204">
        <v>0</v>
      </c>
      <c r="J204">
        <v>0</v>
      </c>
      <c r="K204">
        <v>1</v>
      </c>
    </row>
    <row r="205" spans="1:11" x14ac:dyDescent="0.25">
      <c r="A205" t="str">
        <f>"278"</f>
        <v>278</v>
      </c>
      <c r="B205" t="str">
        <f t="shared" si="8"/>
        <v>1</v>
      </c>
      <c r="C205" t="str">
        <f t="shared" si="10"/>
        <v>11</v>
      </c>
      <c r="D205" t="str">
        <f>"2"</f>
        <v>2</v>
      </c>
      <c r="E205" t="str">
        <f>"1-11-2"</f>
        <v>1-11-2</v>
      </c>
      <c r="F205" t="s">
        <v>15</v>
      </c>
      <c r="G205" t="s">
        <v>18</v>
      </c>
      <c r="H205" t="s">
        <v>19</v>
      </c>
      <c r="I205">
        <v>0</v>
      </c>
      <c r="J205">
        <v>1</v>
      </c>
      <c r="K205">
        <v>0</v>
      </c>
    </row>
    <row r="206" spans="1:11" x14ac:dyDescent="0.25">
      <c r="A206" t="str">
        <f>"279"</f>
        <v>279</v>
      </c>
      <c r="B206" t="str">
        <f t="shared" si="8"/>
        <v>1</v>
      </c>
      <c r="C206" t="str">
        <f t="shared" si="10"/>
        <v>11</v>
      </c>
      <c r="D206" t="str">
        <f>"24"</f>
        <v>24</v>
      </c>
      <c r="E206" t="str">
        <f>"1-11-24"</f>
        <v>1-11-24</v>
      </c>
      <c r="F206" t="s">
        <v>15</v>
      </c>
      <c r="G206" t="s">
        <v>16</v>
      </c>
      <c r="H206" t="s">
        <v>17</v>
      </c>
      <c r="I206">
        <v>0</v>
      </c>
      <c r="J206">
        <v>0</v>
      </c>
      <c r="K206">
        <v>1</v>
      </c>
    </row>
    <row r="207" spans="1:11" x14ac:dyDescent="0.25">
      <c r="A207" t="str">
        <f>"280"</f>
        <v>280</v>
      </c>
      <c r="B207" t="str">
        <f t="shared" si="8"/>
        <v>1</v>
      </c>
      <c r="C207" t="str">
        <f t="shared" si="10"/>
        <v>11</v>
      </c>
      <c r="D207" t="str">
        <f>"1"</f>
        <v>1</v>
      </c>
      <c r="E207" t="str">
        <f>"1-11-1"</f>
        <v>1-11-1</v>
      </c>
      <c r="F207" t="s">
        <v>15</v>
      </c>
      <c r="G207" t="s">
        <v>16</v>
      </c>
      <c r="H207" t="s">
        <v>17</v>
      </c>
      <c r="I207">
        <v>0</v>
      </c>
      <c r="J207">
        <v>0</v>
      </c>
      <c r="K207">
        <v>1</v>
      </c>
    </row>
    <row r="208" spans="1:11" x14ac:dyDescent="0.25">
      <c r="A208" t="str">
        <f>"281"</f>
        <v>281</v>
      </c>
      <c r="B208" t="str">
        <f t="shared" si="8"/>
        <v>1</v>
      </c>
      <c r="C208" t="str">
        <f t="shared" si="10"/>
        <v>11</v>
      </c>
      <c r="D208" t="str">
        <f>"25"</f>
        <v>25</v>
      </c>
      <c r="E208" t="str">
        <f>"1-11-25"</f>
        <v>1-11-25</v>
      </c>
      <c r="F208" t="s">
        <v>15</v>
      </c>
      <c r="G208" t="s">
        <v>16</v>
      </c>
      <c r="H208" t="s">
        <v>17</v>
      </c>
      <c r="I208">
        <v>0</v>
      </c>
      <c r="J208">
        <v>1</v>
      </c>
      <c r="K208">
        <v>0</v>
      </c>
    </row>
    <row r="209" spans="1:11" x14ac:dyDescent="0.25">
      <c r="A209" t="str">
        <f>"282"</f>
        <v>282</v>
      </c>
      <c r="B209" t="str">
        <f t="shared" ref="B209:B251" si="11">"1"</f>
        <v>1</v>
      </c>
      <c r="C209" t="str">
        <f t="shared" si="10"/>
        <v>11</v>
      </c>
      <c r="D209" t="str">
        <f>"3"</f>
        <v>3</v>
      </c>
      <c r="E209" t="str">
        <f>"1-11-3"</f>
        <v>1-11-3</v>
      </c>
      <c r="F209" t="s">
        <v>15</v>
      </c>
      <c r="G209" t="s">
        <v>18</v>
      </c>
      <c r="H209" t="s">
        <v>19</v>
      </c>
      <c r="I209">
        <v>0</v>
      </c>
      <c r="J209">
        <v>1</v>
      </c>
      <c r="K209">
        <v>0</v>
      </c>
    </row>
    <row r="210" spans="1:11" x14ac:dyDescent="0.25">
      <c r="A210" t="str">
        <f>"283"</f>
        <v>283</v>
      </c>
      <c r="B210" t="str">
        <f t="shared" si="11"/>
        <v>1</v>
      </c>
      <c r="C210" t="str">
        <f t="shared" si="10"/>
        <v>11</v>
      </c>
      <c r="D210" t="str">
        <f>"13"</f>
        <v>13</v>
      </c>
      <c r="E210" t="str">
        <f>"1-11-13"</f>
        <v>1-11-13</v>
      </c>
      <c r="F210" t="s">
        <v>15</v>
      </c>
      <c r="G210" t="s">
        <v>16</v>
      </c>
      <c r="H210" t="s">
        <v>17</v>
      </c>
      <c r="I210">
        <v>0</v>
      </c>
      <c r="J210">
        <v>1</v>
      </c>
      <c r="K210">
        <v>0</v>
      </c>
    </row>
    <row r="211" spans="1:11" x14ac:dyDescent="0.25">
      <c r="A211" t="str">
        <f>"284"</f>
        <v>284</v>
      </c>
      <c r="B211" t="str">
        <f t="shared" si="11"/>
        <v>1</v>
      </c>
      <c r="C211" t="str">
        <f t="shared" si="10"/>
        <v>11</v>
      </c>
      <c r="D211" t="str">
        <f>"10"</f>
        <v>10</v>
      </c>
      <c r="E211" t="str">
        <f>"1-11-10"</f>
        <v>1-11-10</v>
      </c>
      <c r="F211" t="s">
        <v>15</v>
      </c>
      <c r="G211" t="s">
        <v>16</v>
      </c>
      <c r="H211" t="s">
        <v>17</v>
      </c>
      <c r="I211">
        <v>0</v>
      </c>
      <c r="J211">
        <v>1</v>
      </c>
      <c r="K211">
        <v>0</v>
      </c>
    </row>
    <row r="212" spans="1:11" x14ac:dyDescent="0.25">
      <c r="A212" t="str">
        <f>"285"</f>
        <v>285</v>
      </c>
      <c r="B212" t="str">
        <f t="shared" si="11"/>
        <v>1</v>
      </c>
      <c r="C212" t="str">
        <f t="shared" si="10"/>
        <v>11</v>
      </c>
      <c r="D212" t="str">
        <f>"12"</f>
        <v>12</v>
      </c>
      <c r="E212" t="str">
        <f>"1-11-12"</f>
        <v>1-11-12</v>
      </c>
      <c r="F212" t="s">
        <v>15</v>
      </c>
      <c r="G212" t="s">
        <v>18</v>
      </c>
      <c r="H212" t="s">
        <v>19</v>
      </c>
      <c r="I212">
        <v>1</v>
      </c>
      <c r="J212">
        <v>0</v>
      </c>
      <c r="K212">
        <v>0</v>
      </c>
    </row>
    <row r="213" spans="1:11" x14ac:dyDescent="0.25">
      <c r="A213" t="str">
        <f>"286"</f>
        <v>286</v>
      </c>
      <c r="B213" t="str">
        <f t="shared" si="11"/>
        <v>1</v>
      </c>
      <c r="C213" t="str">
        <f t="shared" si="10"/>
        <v>11</v>
      </c>
      <c r="D213" t="str">
        <f>"7"</f>
        <v>7</v>
      </c>
      <c r="E213" t="str">
        <f>"1-11-7"</f>
        <v>1-11-7</v>
      </c>
      <c r="F213" t="s">
        <v>15</v>
      </c>
      <c r="G213" t="s">
        <v>18</v>
      </c>
      <c r="H213" t="s">
        <v>19</v>
      </c>
      <c r="I213">
        <v>1</v>
      </c>
      <c r="J213">
        <v>0</v>
      </c>
      <c r="K213">
        <v>0</v>
      </c>
    </row>
    <row r="214" spans="1:11" x14ac:dyDescent="0.25">
      <c r="A214" t="str">
        <f>"287"</f>
        <v>287</v>
      </c>
      <c r="B214" t="str">
        <f t="shared" si="11"/>
        <v>1</v>
      </c>
      <c r="C214" t="str">
        <f t="shared" ref="C214:C233" si="12">"12"</f>
        <v>12</v>
      </c>
      <c r="D214" t="str">
        <f>"15"</f>
        <v>15</v>
      </c>
      <c r="E214" t="str">
        <f>"1-12-15"</f>
        <v>1-12-15</v>
      </c>
      <c r="F214" t="s">
        <v>15</v>
      </c>
      <c r="G214" t="s">
        <v>18</v>
      </c>
      <c r="H214" t="s">
        <v>19</v>
      </c>
      <c r="I214">
        <v>0</v>
      </c>
      <c r="J214">
        <v>1</v>
      </c>
      <c r="K214">
        <v>0</v>
      </c>
    </row>
    <row r="215" spans="1:11" x14ac:dyDescent="0.25">
      <c r="A215" t="str">
        <f>"288"</f>
        <v>288</v>
      </c>
      <c r="B215" t="str">
        <f t="shared" si="11"/>
        <v>1</v>
      </c>
      <c r="C215" t="str">
        <f t="shared" si="12"/>
        <v>12</v>
      </c>
      <c r="D215" t="str">
        <f>"4"</f>
        <v>4</v>
      </c>
      <c r="E215" t="str">
        <f>"1-12-4"</f>
        <v>1-12-4</v>
      </c>
      <c r="F215" t="s">
        <v>15</v>
      </c>
      <c r="G215" t="s">
        <v>16</v>
      </c>
      <c r="H215" t="s">
        <v>17</v>
      </c>
      <c r="I215">
        <v>1</v>
      </c>
      <c r="J215">
        <v>0</v>
      </c>
      <c r="K215">
        <v>0</v>
      </c>
    </row>
    <row r="216" spans="1:11" x14ac:dyDescent="0.25">
      <c r="A216" t="str">
        <f>"289"</f>
        <v>289</v>
      </c>
      <c r="B216" t="str">
        <f t="shared" si="11"/>
        <v>1</v>
      </c>
      <c r="C216" t="str">
        <f t="shared" si="12"/>
        <v>12</v>
      </c>
      <c r="D216" t="str">
        <f>"16"</f>
        <v>16</v>
      </c>
      <c r="E216" t="str">
        <f>"1-12-16"</f>
        <v>1-12-16</v>
      </c>
      <c r="F216" t="s">
        <v>15</v>
      </c>
      <c r="G216" t="s">
        <v>20</v>
      </c>
      <c r="H216" t="s">
        <v>21</v>
      </c>
      <c r="I216">
        <v>0</v>
      </c>
      <c r="J216">
        <v>1</v>
      </c>
      <c r="K216">
        <v>0</v>
      </c>
    </row>
    <row r="217" spans="1:11" x14ac:dyDescent="0.25">
      <c r="A217" t="str">
        <f>"290"</f>
        <v>290</v>
      </c>
      <c r="B217" t="str">
        <f t="shared" si="11"/>
        <v>1</v>
      </c>
      <c r="C217" t="str">
        <f t="shared" si="12"/>
        <v>12</v>
      </c>
      <c r="D217" t="str">
        <f>"8"</f>
        <v>8</v>
      </c>
      <c r="E217" t="str">
        <f>"1-12-8"</f>
        <v>1-12-8</v>
      </c>
      <c r="F217" t="s">
        <v>15</v>
      </c>
      <c r="G217" t="s">
        <v>16</v>
      </c>
      <c r="H217" t="s">
        <v>17</v>
      </c>
      <c r="I217">
        <v>0</v>
      </c>
      <c r="J217">
        <v>1</v>
      </c>
      <c r="K217">
        <v>0</v>
      </c>
    </row>
    <row r="218" spans="1:11" x14ac:dyDescent="0.25">
      <c r="A218" t="str">
        <f>"291"</f>
        <v>291</v>
      </c>
      <c r="B218" t="str">
        <f t="shared" si="11"/>
        <v>1</v>
      </c>
      <c r="C218" t="str">
        <f t="shared" si="12"/>
        <v>12</v>
      </c>
      <c r="D218" t="str">
        <f>"17"</f>
        <v>17</v>
      </c>
      <c r="E218" t="str">
        <f>"1-12-17"</f>
        <v>1-12-17</v>
      </c>
      <c r="F218" t="s">
        <v>15</v>
      </c>
      <c r="G218" t="s">
        <v>16</v>
      </c>
      <c r="H218" t="s">
        <v>17</v>
      </c>
      <c r="I218">
        <v>0</v>
      </c>
      <c r="J218">
        <v>1</v>
      </c>
      <c r="K218">
        <v>0</v>
      </c>
    </row>
    <row r="219" spans="1:11" x14ac:dyDescent="0.25">
      <c r="A219" t="str">
        <f>"292"</f>
        <v>292</v>
      </c>
      <c r="B219" t="str">
        <f t="shared" si="11"/>
        <v>1</v>
      </c>
      <c r="C219" t="str">
        <f t="shared" si="12"/>
        <v>12</v>
      </c>
      <c r="D219" t="str">
        <f>"5"</f>
        <v>5</v>
      </c>
      <c r="E219" t="str">
        <f>"1-12-5"</f>
        <v>1-12-5</v>
      </c>
      <c r="F219" t="s">
        <v>15</v>
      </c>
      <c r="G219" t="s">
        <v>16</v>
      </c>
      <c r="H219" t="s">
        <v>17</v>
      </c>
      <c r="I219">
        <v>0</v>
      </c>
      <c r="J219">
        <v>0</v>
      </c>
      <c r="K219">
        <v>1</v>
      </c>
    </row>
    <row r="220" spans="1:11" x14ac:dyDescent="0.25">
      <c r="A220" t="str">
        <f>"293"</f>
        <v>293</v>
      </c>
      <c r="B220" t="str">
        <f t="shared" si="11"/>
        <v>1</v>
      </c>
      <c r="C220" t="str">
        <f t="shared" si="12"/>
        <v>12</v>
      </c>
      <c r="D220" t="str">
        <f>"18"</f>
        <v>18</v>
      </c>
      <c r="E220" t="str">
        <f>"1-12-18"</f>
        <v>1-12-18</v>
      </c>
      <c r="F220" t="s">
        <v>15</v>
      </c>
      <c r="G220" t="s">
        <v>18</v>
      </c>
      <c r="H220" t="s">
        <v>19</v>
      </c>
      <c r="I220">
        <v>0</v>
      </c>
      <c r="J220">
        <v>1</v>
      </c>
      <c r="K220">
        <v>0</v>
      </c>
    </row>
    <row r="221" spans="1:11" x14ac:dyDescent="0.25">
      <c r="A221" t="str">
        <f>"294"</f>
        <v>294</v>
      </c>
      <c r="B221" t="str">
        <f t="shared" si="11"/>
        <v>1</v>
      </c>
      <c r="C221" t="str">
        <f t="shared" si="12"/>
        <v>12</v>
      </c>
      <c r="D221" t="str">
        <f>"11"</f>
        <v>11</v>
      </c>
      <c r="E221" t="str">
        <f>"1-12-11"</f>
        <v>1-12-11</v>
      </c>
      <c r="F221" t="s">
        <v>15</v>
      </c>
      <c r="G221" t="s">
        <v>16</v>
      </c>
      <c r="H221" t="s">
        <v>17</v>
      </c>
      <c r="I221">
        <v>0</v>
      </c>
      <c r="J221">
        <v>0</v>
      </c>
      <c r="K221">
        <v>1</v>
      </c>
    </row>
    <row r="222" spans="1:11" x14ac:dyDescent="0.25">
      <c r="A222" t="str">
        <f>"295"</f>
        <v>295</v>
      </c>
      <c r="B222" t="str">
        <f t="shared" si="11"/>
        <v>1</v>
      </c>
      <c r="C222" t="str">
        <f t="shared" si="12"/>
        <v>12</v>
      </c>
      <c r="D222" t="str">
        <f>"19"</f>
        <v>19</v>
      </c>
      <c r="E222" t="str">
        <f>"1-12-19"</f>
        <v>1-12-19</v>
      </c>
      <c r="F222" t="s">
        <v>15</v>
      </c>
      <c r="G222" t="s">
        <v>16</v>
      </c>
      <c r="H222" t="s">
        <v>17</v>
      </c>
      <c r="I222">
        <v>0</v>
      </c>
      <c r="J222">
        <v>1</v>
      </c>
      <c r="K222">
        <v>0</v>
      </c>
    </row>
    <row r="223" spans="1:11" x14ac:dyDescent="0.25">
      <c r="A223" t="str">
        <f>"296"</f>
        <v>296</v>
      </c>
      <c r="B223" t="str">
        <f t="shared" si="11"/>
        <v>1</v>
      </c>
      <c r="C223" t="str">
        <f t="shared" si="12"/>
        <v>12</v>
      </c>
      <c r="D223" t="str">
        <f>"3"</f>
        <v>3</v>
      </c>
      <c r="E223" t="str">
        <f>"1-12-3"</f>
        <v>1-12-3</v>
      </c>
      <c r="F223" t="s">
        <v>15</v>
      </c>
      <c r="G223" t="s">
        <v>16</v>
      </c>
      <c r="H223" t="s">
        <v>17</v>
      </c>
      <c r="I223">
        <v>1</v>
      </c>
      <c r="J223">
        <v>0</v>
      </c>
      <c r="K223">
        <v>0</v>
      </c>
    </row>
    <row r="224" spans="1:11" x14ac:dyDescent="0.25">
      <c r="A224" t="str">
        <f>"297"</f>
        <v>297</v>
      </c>
      <c r="B224" t="str">
        <f t="shared" si="11"/>
        <v>1</v>
      </c>
      <c r="C224" t="str">
        <f t="shared" si="12"/>
        <v>12</v>
      </c>
      <c r="D224" t="str">
        <f>"20"</f>
        <v>20</v>
      </c>
      <c r="E224" t="str">
        <f>"1-12-20"</f>
        <v>1-12-20</v>
      </c>
      <c r="F224" t="s">
        <v>15</v>
      </c>
      <c r="G224" t="s">
        <v>16</v>
      </c>
      <c r="H224" t="s">
        <v>17</v>
      </c>
      <c r="I224">
        <v>0</v>
      </c>
      <c r="J224">
        <v>1</v>
      </c>
      <c r="K224">
        <v>0</v>
      </c>
    </row>
    <row r="225" spans="1:11" x14ac:dyDescent="0.25">
      <c r="A225" t="str">
        <f>"298"</f>
        <v>298</v>
      </c>
      <c r="B225" t="str">
        <f t="shared" si="11"/>
        <v>1</v>
      </c>
      <c r="C225" t="str">
        <f t="shared" si="12"/>
        <v>12</v>
      </c>
      <c r="D225" t="str">
        <f>"2"</f>
        <v>2</v>
      </c>
      <c r="E225" t="str">
        <f>"1-12-2"</f>
        <v>1-12-2</v>
      </c>
      <c r="F225" t="s">
        <v>15</v>
      </c>
      <c r="G225" t="s">
        <v>16</v>
      </c>
      <c r="H225" t="s">
        <v>17</v>
      </c>
      <c r="I225">
        <v>1</v>
      </c>
      <c r="J225">
        <v>0</v>
      </c>
      <c r="K225">
        <v>0</v>
      </c>
    </row>
    <row r="226" spans="1:11" x14ac:dyDescent="0.25">
      <c r="A226" t="str">
        <f>"299"</f>
        <v>299</v>
      </c>
      <c r="B226" t="str">
        <f t="shared" si="11"/>
        <v>1</v>
      </c>
      <c r="C226" t="str">
        <f t="shared" si="12"/>
        <v>12</v>
      </c>
      <c r="D226" t="str">
        <f>"7"</f>
        <v>7</v>
      </c>
      <c r="E226" t="str">
        <f>"1-12-7"</f>
        <v>1-12-7</v>
      </c>
      <c r="F226" t="s">
        <v>15</v>
      </c>
      <c r="G226" t="s">
        <v>16</v>
      </c>
      <c r="H226" t="s">
        <v>17</v>
      </c>
      <c r="I226">
        <v>0</v>
      </c>
      <c r="J226">
        <v>0</v>
      </c>
      <c r="K226">
        <v>1</v>
      </c>
    </row>
    <row r="227" spans="1:11" x14ac:dyDescent="0.25">
      <c r="A227" t="str">
        <f>"300"</f>
        <v>300</v>
      </c>
      <c r="B227" t="str">
        <f t="shared" si="11"/>
        <v>1</v>
      </c>
      <c r="C227" t="str">
        <f t="shared" si="12"/>
        <v>12</v>
      </c>
      <c r="D227" t="str">
        <f>"9"</f>
        <v>9</v>
      </c>
      <c r="E227" t="str">
        <f>"1-12-9"</f>
        <v>1-12-9</v>
      </c>
      <c r="F227" t="s">
        <v>15</v>
      </c>
      <c r="G227" t="s">
        <v>16</v>
      </c>
      <c r="H227" t="s">
        <v>17</v>
      </c>
      <c r="I227">
        <v>0</v>
      </c>
      <c r="J227">
        <v>1</v>
      </c>
      <c r="K227">
        <v>0</v>
      </c>
    </row>
    <row r="228" spans="1:11" x14ac:dyDescent="0.25">
      <c r="A228" t="str">
        <f>"301"</f>
        <v>301</v>
      </c>
      <c r="B228" t="str">
        <f t="shared" si="11"/>
        <v>1</v>
      </c>
      <c r="C228" t="str">
        <f t="shared" si="12"/>
        <v>12</v>
      </c>
      <c r="D228" t="str">
        <f>"6"</f>
        <v>6</v>
      </c>
      <c r="E228" t="str">
        <f>"1-12-6"</f>
        <v>1-12-6</v>
      </c>
      <c r="F228" t="s">
        <v>15</v>
      </c>
      <c r="G228" t="s">
        <v>16</v>
      </c>
      <c r="H228" t="s">
        <v>17</v>
      </c>
      <c r="I228">
        <v>0</v>
      </c>
      <c r="J228">
        <v>0</v>
      </c>
      <c r="K228">
        <v>1</v>
      </c>
    </row>
    <row r="229" spans="1:11" x14ac:dyDescent="0.25">
      <c r="A229" t="str">
        <f>"302"</f>
        <v>302</v>
      </c>
      <c r="B229" t="str">
        <f t="shared" si="11"/>
        <v>1</v>
      </c>
      <c r="C229" t="str">
        <f t="shared" si="12"/>
        <v>12</v>
      </c>
      <c r="D229" t="str">
        <f>"14"</f>
        <v>14</v>
      </c>
      <c r="E229" t="str">
        <f>"1-12-14"</f>
        <v>1-12-14</v>
      </c>
      <c r="F229" t="s">
        <v>15</v>
      </c>
      <c r="G229" t="s">
        <v>18</v>
      </c>
      <c r="H229" t="s">
        <v>19</v>
      </c>
      <c r="I229">
        <v>0</v>
      </c>
      <c r="J229">
        <v>1</v>
      </c>
      <c r="K229">
        <v>0</v>
      </c>
    </row>
    <row r="230" spans="1:11" x14ac:dyDescent="0.25">
      <c r="A230" t="str">
        <f>"303"</f>
        <v>303</v>
      </c>
      <c r="B230" t="str">
        <f t="shared" si="11"/>
        <v>1</v>
      </c>
      <c r="C230" t="str">
        <f t="shared" si="12"/>
        <v>12</v>
      </c>
      <c r="D230" t="str">
        <f>"10"</f>
        <v>10</v>
      </c>
      <c r="E230" t="str">
        <f>"1-12-10"</f>
        <v>1-12-10</v>
      </c>
      <c r="F230" t="s">
        <v>15</v>
      </c>
      <c r="G230" t="s">
        <v>16</v>
      </c>
      <c r="H230" t="s">
        <v>17</v>
      </c>
      <c r="I230">
        <v>0</v>
      </c>
      <c r="J230">
        <v>0</v>
      </c>
      <c r="K230">
        <v>1</v>
      </c>
    </row>
    <row r="231" spans="1:11" x14ac:dyDescent="0.25">
      <c r="A231" t="str">
        <f>"304"</f>
        <v>304</v>
      </c>
      <c r="B231" t="str">
        <f t="shared" si="11"/>
        <v>1</v>
      </c>
      <c r="C231" t="str">
        <f t="shared" si="12"/>
        <v>12</v>
      </c>
      <c r="D231" t="str">
        <f>"12"</f>
        <v>12</v>
      </c>
      <c r="E231" t="str">
        <f>"1-12-12"</f>
        <v>1-12-12</v>
      </c>
      <c r="F231" t="s">
        <v>15</v>
      </c>
      <c r="G231" t="s">
        <v>18</v>
      </c>
      <c r="H231" t="s">
        <v>19</v>
      </c>
      <c r="I231">
        <v>0</v>
      </c>
      <c r="J231">
        <v>1</v>
      </c>
      <c r="K231">
        <v>0</v>
      </c>
    </row>
    <row r="232" spans="1:11" x14ac:dyDescent="0.25">
      <c r="A232" t="str">
        <f>"305"</f>
        <v>305</v>
      </c>
      <c r="B232" t="str">
        <f t="shared" si="11"/>
        <v>1</v>
      </c>
      <c r="C232" t="str">
        <f t="shared" si="12"/>
        <v>12</v>
      </c>
      <c r="D232" t="str">
        <f>"13"</f>
        <v>13</v>
      </c>
      <c r="E232" t="str">
        <f>"1-12-13"</f>
        <v>1-12-13</v>
      </c>
      <c r="F232" t="s">
        <v>15</v>
      </c>
      <c r="G232" t="s">
        <v>20</v>
      </c>
      <c r="H232" t="s">
        <v>21</v>
      </c>
      <c r="I232">
        <v>0</v>
      </c>
      <c r="J232">
        <v>0</v>
      </c>
      <c r="K232">
        <v>1</v>
      </c>
    </row>
    <row r="233" spans="1:11" x14ac:dyDescent="0.25">
      <c r="A233" t="str">
        <f>"306"</f>
        <v>306</v>
      </c>
      <c r="B233" t="str">
        <f t="shared" si="11"/>
        <v>1</v>
      </c>
      <c r="C233" t="str">
        <f t="shared" si="12"/>
        <v>12</v>
      </c>
      <c r="D233" t="str">
        <f>"1"</f>
        <v>1</v>
      </c>
      <c r="E233" t="str">
        <f>"1-12-1"</f>
        <v>1-12-1</v>
      </c>
      <c r="F233" t="s">
        <v>15</v>
      </c>
      <c r="G233" t="s">
        <v>16</v>
      </c>
      <c r="H233" t="s">
        <v>17</v>
      </c>
      <c r="I233">
        <v>1</v>
      </c>
      <c r="J233">
        <v>0</v>
      </c>
      <c r="K233">
        <v>0</v>
      </c>
    </row>
    <row r="234" spans="1:11" x14ac:dyDescent="0.25">
      <c r="A234" t="str">
        <f>"328"</f>
        <v>328</v>
      </c>
      <c r="B234" t="str">
        <f t="shared" si="11"/>
        <v>1</v>
      </c>
      <c r="C234" t="str">
        <f t="shared" ref="C234:C256" si="13">"14"</f>
        <v>14</v>
      </c>
      <c r="D234" t="str">
        <f>"22"</f>
        <v>22</v>
      </c>
      <c r="E234" t="str">
        <f>"1-14-22"</f>
        <v>1-14-22</v>
      </c>
      <c r="F234" t="s">
        <v>15</v>
      </c>
      <c r="G234" t="s">
        <v>16</v>
      </c>
      <c r="H234" t="s">
        <v>17</v>
      </c>
      <c r="I234">
        <v>0</v>
      </c>
      <c r="J234">
        <v>0</v>
      </c>
      <c r="K234">
        <v>1</v>
      </c>
    </row>
    <row r="235" spans="1:11" x14ac:dyDescent="0.25">
      <c r="A235" t="str">
        <f>"329"</f>
        <v>329</v>
      </c>
      <c r="B235" t="str">
        <f t="shared" si="11"/>
        <v>1</v>
      </c>
      <c r="C235" t="str">
        <f t="shared" si="13"/>
        <v>14</v>
      </c>
      <c r="D235" t="str">
        <f>"15"</f>
        <v>15</v>
      </c>
      <c r="E235" t="str">
        <f>"1-14-15"</f>
        <v>1-14-15</v>
      </c>
      <c r="F235" t="s">
        <v>15</v>
      </c>
      <c r="G235" t="s">
        <v>20</v>
      </c>
      <c r="H235" t="s">
        <v>21</v>
      </c>
      <c r="I235">
        <v>0</v>
      </c>
      <c r="J235">
        <v>1</v>
      </c>
      <c r="K235">
        <v>0</v>
      </c>
    </row>
    <row r="236" spans="1:11" x14ac:dyDescent="0.25">
      <c r="A236" t="str">
        <f>"330"</f>
        <v>330</v>
      </c>
      <c r="B236" t="str">
        <f t="shared" si="11"/>
        <v>1</v>
      </c>
      <c r="C236" t="str">
        <f t="shared" si="13"/>
        <v>14</v>
      </c>
      <c r="D236" t="str">
        <f>"5"</f>
        <v>5</v>
      </c>
      <c r="E236" t="str">
        <f>"1-14-5"</f>
        <v>1-14-5</v>
      </c>
      <c r="F236" t="s">
        <v>15</v>
      </c>
      <c r="G236" t="s">
        <v>16</v>
      </c>
      <c r="H236" t="s">
        <v>17</v>
      </c>
      <c r="I236">
        <v>0</v>
      </c>
      <c r="J236">
        <v>0</v>
      </c>
      <c r="K236">
        <v>1</v>
      </c>
    </row>
    <row r="237" spans="1:11" x14ac:dyDescent="0.25">
      <c r="A237" t="str">
        <f>"331"</f>
        <v>331</v>
      </c>
      <c r="B237" t="str">
        <f t="shared" si="11"/>
        <v>1</v>
      </c>
      <c r="C237" t="str">
        <f t="shared" si="13"/>
        <v>14</v>
      </c>
      <c r="D237" t="str">
        <f>"16"</f>
        <v>16</v>
      </c>
      <c r="E237" t="str">
        <f>"1-14-16"</f>
        <v>1-14-16</v>
      </c>
      <c r="F237" t="s">
        <v>15</v>
      </c>
      <c r="G237" t="s">
        <v>20</v>
      </c>
      <c r="H237" t="s">
        <v>21</v>
      </c>
      <c r="I237">
        <v>0</v>
      </c>
      <c r="J237">
        <v>1</v>
      </c>
      <c r="K237">
        <v>0</v>
      </c>
    </row>
    <row r="238" spans="1:11" x14ac:dyDescent="0.25">
      <c r="A238" t="str">
        <f>"332"</f>
        <v>332</v>
      </c>
      <c r="B238" t="str">
        <f t="shared" si="11"/>
        <v>1</v>
      </c>
      <c r="C238" t="str">
        <f t="shared" si="13"/>
        <v>14</v>
      </c>
      <c r="D238" t="str">
        <f>"10"</f>
        <v>10</v>
      </c>
      <c r="E238" t="str">
        <f>"1-14-10"</f>
        <v>1-14-10</v>
      </c>
      <c r="F238" t="s">
        <v>15</v>
      </c>
      <c r="G238" t="s">
        <v>16</v>
      </c>
      <c r="H238" t="s">
        <v>17</v>
      </c>
      <c r="I238">
        <v>0</v>
      </c>
      <c r="J238">
        <v>0</v>
      </c>
      <c r="K238">
        <v>1</v>
      </c>
    </row>
    <row r="239" spans="1:11" x14ac:dyDescent="0.25">
      <c r="A239" t="str">
        <f>"333"</f>
        <v>333</v>
      </c>
      <c r="B239" t="str">
        <f t="shared" si="11"/>
        <v>1</v>
      </c>
      <c r="C239" t="str">
        <f t="shared" si="13"/>
        <v>14</v>
      </c>
      <c r="D239" t="str">
        <f>"17"</f>
        <v>17</v>
      </c>
      <c r="E239" t="str">
        <f>"1-14-17"</f>
        <v>1-14-17</v>
      </c>
      <c r="F239" t="s">
        <v>15</v>
      </c>
      <c r="G239" t="s">
        <v>16</v>
      </c>
      <c r="H239" t="s">
        <v>17</v>
      </c>
      <c r="I239">
        <v>0</v>
      </c>
      <c r="J239">
        <v>0</v>
      </c>
      <c r="K239">
        <v>1</v>
      </c>
    </row>
    <row r="240" spans="1:11" x14ac:dyDescent="0.25">
      <c r="A240" t="str">
        <f>"334"</f>
        <v>334</v>
      </c>
      <c r="B240" t="str">
        <f t="shared" si="11"/>
        <v>1</v>
      </c>
      <c r="C240" t="str">
        <f t="shared" si="13"/>
        <v>14</v>
      </c>
      <c r="D240" t="str">
        <f>"9"</f>
        <v>9</v>
      </c>
      <c r="E240" t="str">
        <f>"1-14-9"</f>
        <v>1-14-9</v>
      </c>
      <c r="F240" t="s">
        <v>15</v>
      </c>
      <c r="G240" t="s">
        <v>16</v>
      </c>
      <c r="H240" t="s">
        <v>17</v>
      </c>
      <c r="I240">
        <v>1</v>
      </c>
      <c r="J240">
        <v>0</v>
      </c>
      <c r="K240">
        <v>0</v>
      </c>
    </row>
    <row r="241" spans="1:11" x14ac:dyDescent="0.25">
      <c r="A241" t="str">
        <f>"335"</f>
        <v>335</v>
      </c>
      <c r="B241" t="str">
        <f t="shared" si="11"/>
        <v>1</v>
      </c>
      <c r="C241" t="str">
        <f t="shared" si="13"/>
        <v>14</v>
      </c>
      <c r="D241" t="str">
        <f>"18"</f>
        <v>18</v>
      </c>
      <c r="E241" t="str">
        <f>"1-14-18"</f>
        <v>1-14-18</v>
      </c>
      <c r="F241" t="s">
        <v>15</v>
      </c>
      <c r="G241" t="s">
        <v>16</v>
      </c>
      <c r="H241" t="s">
        <v>17</v>
      </c>
      <c r="I241">
        <v>1</v>
      </c>
      <c r="J241">
        <v>0</v>
      </c>
      <c r="K241">
        <v>0</v>
      </c>
    </row>
    <row r="242" spans="1:11" x14ac:dyDescent="0.25">
      <c r="A242" t="str">
        <f>"336"</f>
        <v>336</v>
      </c>
      <c r="B242" t="str">
        <f t="shared" si="11"/>
        <v>1</v>
      </c>
      <c r="C242" t="str">
        <f t="shared" si="13"/>
        <v>14</v>
      </c>
      <c r="D242" t="str">
        <f>"2"</f>
        <v>2</v>
      </c>
      <c r="E242" t="str">
        <f>"1-14-2"</f>
        <v>1-14-2</v>
      </c>
      <c r="F242" t="s">
        <v>15</v>
      </c>
      <c r="G242" t="s">
        <v>16</v>
      </c>
      <c r="H242" t="s">
        <v>17</v>
      </c>
      <c r="I242">
        <v>1</v>
      </c>
      <c r="J242">
        <v>0</v>
      </c>
      <c r="K242">
        <v>0</v>
      </c>
    </row>
    <row r="243" spans="1:11" x14ac:dyDescent="0.25">
      <c r="A243" t="str">
        <f>"337"</f>
        <v>337</v>
      </c>
      <c r="B243" t="str">
        <f t="shared" si="11"/>
        <v>1</v>
      </c>
      <c r="C243" t="str">
        <f t="shared" si="13"/>
        <v>14</v>
      </c>
      <c r="D243" t="str">
        <f>"19"</f>
        <v>19</v>
      </c>
      <c r="E243" t="str">
        <f>"1-14-19"</f>
        <v>1-14-19</v>
      </c>
      <c r="F243" t="s">
        <v>15</v>
      </c>
      <c r="G243" t="s">
        <v>16</v>
      </c>
      <c r="H243" t="s">
        <v>17</v>
      </c>
      <c r="I243">
        <v>1</v>
      </c>
      <c r="J243">
        <v>0</v>
      </c>
      <c r="K243">
        <v>0</v>
      </c>
    </row>
    <row r="244" spans="1:11" x14ac:dyDescent="0.25">
      <c r="A244" t="str">
        <f>"338"</f>
        <v>338</v>
      </c>
      <c r="B244" t="str">
        <f t="shared" si="11"/>
        <v>1</v>
      </c>
      <c r="C244" t="str">
        <f t="shared" si="13"/>
        <v>14</v>
      </c>
      <c r="D244" t="str">
        <f>"4"</f>
        <v>4</v>
      </c>
      <c r="E244" t="str">
        <f>"1-14-4"</f>
        <v>1-14-4</v>
      </c>
      <c r="F244" t="s">
        <v>15</v>
      </c>
      <c r="G244" t="s">
        <v>16</v>
      </c>
      <c r="H244" t="s">
        <v>17</v>
      </c>
      <c r="I244">
        <v>0</v>
      </c>
      <c r="J244">
        <v>0</v>
      </c>
      <c r="K244">
        <v>1</v>
      </c>
    </row>
    <row r="245" spans="1:11" x14ac:dyDescent="0.25">
      <c r="A245" t="str">
        <f>"339"</f>
        <v>339</v>
      </c>
      <c r="B245" t="str">
        <f t="shared" si="11"/>
        <v>1</v>
      </c>
      <c r="C245" t="str">
        <f t="shared" si="13"/>
        <v>14</v>
      </c>
      <c r="D245" t="str">
        <f>"20"</f>
        <v>20</v>
      </c>
      <c r="E245" t="str">
        <f>"1-14-20"</f>
        <v>1-14-20</v>
      </c>
      <c r="F245" t="s">
        <v>15</v>
      </c>
      <c r="G245" t="s">
        <v>16</v>
      </c>
      <c r="H245" t="s">
        <v>17</v>
      </c>
      <c r="I245">
        <v>1</v>
      </c>
      <c r="J245">
        <v>0</v>
      </c>
      <c r="K245">
        <v>0</v>
      </c>
    </row>
    <row r="246" spans="1:11" x14ac:dyDescent="0.25">
      <c r="A246" t="str">
        <f>"340"</f>
        <v>340</v>
      </c>
      <c r="B246" t="str">
        <f t="shared" si="11"/>
        <v>1</v>
      </c>
      <c r="C246" t="str">
        <f t="shared" si="13"/>
        <v>14</v>
      </c>
      <c r="D246" t="str">
        <f>"14"</f>
        <v>14</v>
      </c>
      <c r="E246" t="str">
        <f>"1-14-14"</f>
        <v>1-14-14</v>
      </c>
      <c r="F246" t="s">
        <v>15</v>
      </c>
      <c r="G246" t="s">
        <v>16</v>
      </c>
      <c r="H246" t="s">
        <v>17</v>
      </c>
      <c r="I246">
        <v>1</v>
      </c>
      <c r="J246">
        <v>0</v>
      </c>
      <c r="K246">
        <v>0</v>
      </c>
    </row>
    <row r="247" spans="1:11" x14ac:dyDescent="0.25">
      <c r="A247" t="str">
        <f>"341"</f>
        <v>341</v>
      </c>
      <c r="B247" t="str">
        <f t="shared" si="11"/>
        <v>1</v>
      </c>
      <c r="C247" t="str">
        <f t="shared" si="13"/>
        <v>14</v>
      </c>
      <c r="D247" t="str">
        <f>"21"</f>
        <v>21</v>
      </c>
      <c r="E247" t="str">
        <f>"1-14-21"</f>
        <v>1-14-21</v>
      </c>
      <c r="F247" t="s">
        <v>15</v>
      </c>
      <c r="G247" t="s">
        <v>18</v>
      </c>
      <c r="H247" t="s">
        <v>19</v>
      </c>
      <c r="I247">
        <v>1</v>
      </c>
      <c r="J247">
        <v>0</v>
      </c>
      <c r="K247">
        <v>0</v>
      </c>
    </row>
    <row r="248" spans="1:11" x14ac:dyDescent="0.25">
      <c r="A248" t="str">
        <f>"342"</f>
        <v>342</v>
      </c>
      <c r="B248" t="str">
        <f t="shared" si="11"/>
        <v>1</v>
      </c>
      <c r="C248" t="str">
        <f t="shared" si="13"/>
        <v>14</v>
      </c>
      <c r="D248" t="str">
        <f>"12"</f>
        <v>12</v>
      </c>
      <c r="E248" t="str">
        <f>"1-14-12"</f>
        <v>1-14-12</v>
      </c>
      <c r="F248" t="s">
        <v>15</v>
      </c>
      <c r="G248" t="s">
        <v>16</v>
      </c>
      <c r="H248" t="s">
        <v>17</v>
      </c>
      <c r="I248">
        <v>1</v>
      </c>
      <c r="J248">
        <v>0</v>
      </c>
      <c r="K248">
        <v>0</v>
      </c>
    </row>
    <row r="249" spans="1:11" x14ac:dyDescent="0.25">
      <c r="A249" t="str">
        <f>"343"</f>
        <v>343</v>
      </c>
      <c r="B249" t="str">
        <f t="shared" si="11"/>
        <v>1</v>
      </c>
      <c r="C249" t="str">
        <f t="shared" si="13"/>
        <v>14</v>
      </c>
      <c r="D249" t="str">
        <f>"23"</f>
        <v>23</v>
      </c>
      <c r="E249" t="str">
        <f>"1-14-23"</f>
        <v>1-14-23</v>
      </c>
      <c r="F249" t="s">
        <v>15</v>
      </c>
      <c r="G249" t="s">
        <v>16</v>
      </c>
      <c r="H249" t="s">
        <v>17</v>
      </c>
      <c r="I249">
        <v>0</v>
      </c>
      <c r="J249">
        <v>0</v>
      </c>
      <c r="K249">
        <v>1</v>
      </c>
    </row>
    <row r="250" spans="1:11" x14ac:dyDescent="0.25">
      <c r="A250" t="str">
        <f>"344"</f>
        <v>344</v>
      </c>
      <c r="B250" t="str">
        <f t="shared" si="11"/>
        <v>1</v>
      </c>
      <c r="C250" t="str">
        <f t="shared" si="13"/>
        <v>14</v>
      </c>
      <c r="D250" t="str">
        <f>"11"</f>
        <v>11</v>
      </c>
      <c r="E250" t="str">
        <f>"1-14-11"</f>
        <v>1-14-11</v>
      </c>
      <c r="F250" t="s">
        <v>15</v>
      </c>
      <c r="G250" t="s">
        <v>16</v>
      </c>
      <c r="H250" t="s">
        <v>17</v>
      </c>
      <c r="I250">
        <v>0</v>
      </c>
      <c r="J250">
        <v>0</v>
      </c>
      <c r="K250">
        <v>1</v>
      </c>
    </row>
    <row r="251" spans="1:11" x14ac:dyDescent="0.25">
      <c r="A251" t="str">
        <f>"345"</f>
        <v>345</v>
      </c>
      <c r="B251" t="str">
        <f t="shared" si="11"/>
        <v>1</v>
      </c>
      <c r="C251" t="str">
        <f t="shared" si="13"/>
        <v>14</v>
      </c>
      <c r="D251" t="str">
        <f>"1"</f>
        <v>1</v>
      </c>
      <c r="E251" t="str">
        <f>"1-14-1"</f>
        <v>1-14-1</v>
      </c>
      <c r="F251" t="s">
        <v>15</v>
      </c>
      <c r="G251" t="s">
        <v>16</v>
      </c>
      <c r="H251" t="s">
        <v>17</v>
      </c>
      <c r="I251">
        <v>1</v>
      </c>
      <c r="J251">
        <v>0</v>
      </c>
      <c r="K251">
        <v>0</v>
      </c>
    </row>
    <row r="252" spans="1:11" x14ac:dyDescent="0.25">
      <c r="A252" t="str">
        <f>"346"</f>
        <v>346</v>
      </c>
      <c r="B252" t="str">
        <f t="shared" ref="B252:B292" si="14">"1"</f>
        <v>1</v>
      </c>
      <c r="C252" t="str">
        <f t="shared" si="13"/>
        <v>14</v>
      </c>
      <c r="D252" t="str">
        <f>"8"</f>
        <v>8</v>
      </c>
      <c r="E252" t="str">
        <f>"1-14-8"</f>
        <v>1-14-8</v>
      </c>
      <c r="F252" t="s">
        <v>15</v>
      </c>
      <c r="G252" t="s">
        <v>16</v>
      </c>
      <c r="H252" t="s">
        <v>17</v>
      </c>
      <c r="I252">
        <v>0</v>
      </c>
      <c r="J252">
        <v>0</v>
      </c>
      <c r="K252">
        <v>1</v>
      </c>
    </row>
    <row r="253" spans="1:11" x14ac:dyDescent="0.25">
      <c r="A253" t="str">
        <f>"347"</f>
        <v>347</v>
      </c>
      <c r="B253" t="str">
        <f t="shared" si="14"/>
        <v>1</v>
      </c>
      <c r="C253" t="str">
        <f t="shared" si="13"/>
        <v>14</v>
      </c>
      <c r="D253" t="str">
        <f>"7"</f>
        <v>7</v>
      </c>
      <c r="E253" t="str">
        <f>"1-14-7"</f>
        <v>1-14-7</v>
      </c>
      <c r="F253" t="s">
        <v>15</v>
      </c>
      <c r="G253" t="s">
        <v>16</v>
      </c>
      <c r="H253" t="s">
        <v>17</v>
      </c>
      <c r="I253">
        <v>0</v>
      </c>
      <c r="J253">
        <v>0</v>
      </c>
      <c r="K253">
        <v>1</v>
      </c>
    </row>
    <row r="254" spans="1:11" x14ac:dyDescent="0.25">
      <c r="A254" t="str">
        <f>"348"</f>
        <v>348</v>
      </c>
      <c r="B254" t="str">
        <f t="shared" si="14"/>
        <v>1</v>
      </c>
      <c r="C254" t="str">
        <f t="shared" si="13"/>
        <v>14</v>
      </c>
      <c r="D254" t="str">
        <f>"3"</f>
        <v>3</v>
      </c>
      <c r="E254" t="str">
        <f>"1-14-3"</f>
        <v>1-14-3</v>
      </c>
      <c r="F254" t="s">
        <v>15</v>
      </c>
      <c r="G254" t="s">
        <v>16</v>
      </c>
      <c r="H254" t="s">
        <v>17</v>
      </c>
      <c r="I254">
        <v>0</v>
      </c>
      <c r="J254">
        <v>1</v>
      </c>
      <c r="K254">
        <v>0</v>
      </c>
    </row>
    <row r="255" spans="1:11" x14ac:dyDescent="0.25">
      <c r="A255" t="str">
        <f>"349"</f>
        <v>349</v>
      </c>
      <c r="B255" t="str">
        <f t="shared" si="14"/>
        <v>1</v>
      </c>
      <c r="C255" t="str">
        <f t="shared" si="13"/>
        <v>14</v>
      </c>
      <c r="D255" t="str">
        <f>"6"</f>
        <v>6</v>
      </c>
      <c r="E255" t="str">
        <f>"1-14-6"</f>
        <v>1-14-6</v>
      </c>
      <c r="F255" t="s">
        <v>15</v>
      </c>
      <c r="G255" t="s">
        <v>16</v>
      </c>
      <c r="H255" t="s">
        <v>17</v>
      </c>
      <c r="I255">
        <v>0</v>
      </c>
      <c r="J255">
        <v>0</v>
      </c>
      <c r="K255">
        <v>1</v>
      </c>
    </row>
    <row r="256" spans="1:11" x14ac:dyDescent="0.25">
      <c r="A256" t="str">
        <f>"350"</f>
        <v>350</v>
      </c>
      <c r="B256" t="str">
        <f t="shared" si="14"/>
        <v>1</v>
      </c>
      <c r="C256" t="str">
        <f t="shared" si="13"/>
        <v>14</v>
      </c>
      <c r="D256" t="str">
        <f>"13"</f>
        <v>13</v>
      </c>
      <c r="E256" t="str">
        <f>"1-14-13"</f>
        <v>1-14-13</v>
      </c>
      <c r="F256" t="s">
        <v>15</v>
      </c>
      <c r="G256" t="s">
        <v>16</v>
      </c>
      <c r="H256" t="s">
        <v>17</v>
      </c>
      <c r="I256">
        <v>0</v>
      </c>
      <c r="J256">
        <v>1</v>
      </c>
      <c r="K256">
        <v>0</v>
      </c>
    </row>
    <row r="257" spans="1:11" x14ac:dyDescent="0.25">
      <c r="A257" t="str">
        <f>"351"</f>
        <v>351</v>
      </c>
      <c r="B257" t="str">
        <f t="shared" si="14"/>
        <v>1</v>
      </c>
      <c r="C257" t="str">
        <f t="shared" ref="C257:C284" si="15">"15"</f>
        <v>15</v>
      </c>
      <c r="D257" t="str">
        <f>"21"</f>
        <v>21</v>
      </c>
      <c r="E257" t="str">
        <f>"1-15-21"</f>
        <v>1-15-21</v>
      </c>
      <c r="F257" t="s">
        <v>15</v>
      </c>
      <c r="G257" t="s">
        <v>20</v>
      </c>
      <c r="H257" t="s">
        <v>21</v>
      </c>
      <c r="I257">
        <v>0</v>
      </c>
      <c r="J257">
        <v>0</v>
      </c>
      <c r="K257">
        <v>1</v>
      </c>
    </row>
    <row r="258" spans="1:11" x14ac:dyDescent="0.25">
      <c r="A258" t="str">
        <f>"352"</f>
        <v>352</v>
      </c>
      <c r="B258" t="str">
        <f t="shared" si="14"/>
        <v>1</v>
      </c>
      <c r="C258" t="str">
        <f t="shared" si="15"/>
        <v>15</v>
      </c>
      <c r="D258" t="str">
        <f>"6"</f>
        <v>6</v>
      </c>
      <c r="E258" t="str">
        <f>"1-15-6"</f>
        <v>1-15-6</v>
      </c>
      <c r="F258" t="s">
        <v>15</v>
      </c>
      <c r="G258" t="s">
        <v>16</v>
      </c>
      <c r="H258" t="s">
        <v>17</v>
      </c>
      <c r="I258">
        <v>0</v>
      </c>
      <c r="J258">
        <v>0</v>
      </c>
      <c r="K258">
        <v>1</v>
      </c>
    </row>
    <row r="259" spans="1:11" x14ac:dyDescent="0.25">
      <c r="A259" t="str">
        <f>"353"</f>
        <v>353</v>
      </c>
      <c r="B259" t="str">
        <f t="shared" si="14"/>
        <v>1</v>
      </c>
      <c r="C259" t="str">
        <f t="shared" si="15"/>
        <v>15</v>
      </c>
      <c r="D259" t="str">
        <f>"16"</f>
        <v>16</v>
      </c>
      <c r="E259" t="str">
        <f>"1-15-16"</f>
        <v>1-15-16</v>
      </c>
      <c r="F259" t="s">
        <v>15</v>
      </c>
      <c r="G259" t="s">
        <v>18</v>
      </c>
      <c r="H259" t="s">
        <v>19</v>
      </c>
      <c r="I259">
        <v>0</v>
      </c>
      <c r="J259">
        <v>1</v>
      </c>
      <c r="K259">
        <v>0</v>
      </c>
    </row>
    <row r="260" spans="1:11" x14ac:dyDescent="0.25">
      <c r="A260" t="str">
        <f>"354"</f>
        <v>354</v>
      </c>
      <c r="B260" t="str">
        <f t="shared" si="14"/>
        <v>1</v>
      </c>
      <c r="C260" t="str">
        <f t="shared" si="15"/>
        <v>15</v>
      </c>
      <c r="D260" t="str">
        <f>"1"</f>
        <v>1</v>
      </c>
      <c r="E260" t="str">
        <f>"1-15-1"</f>
        <v>1-15-1</v>
      </c>
      <c r="F260" t="s">
        <v>15</v>
      </c>
      <c r="G260" t="s">
        <v>18</v>
      </c>
      <c r="H260" t="s">
        <v>19</v>
      </c>
      <c r="I260">
        <v>0</v>
      </c>
      <c r="J260">
        <v>0</v>
      </c>
      <c r="K260">
        <v>1</v>
      </c>
    </row>
    <row r="261" spans="1:11" x14ac:dyDescent="0.25">
      <c r="A261" t="str">
        <f>"355"</f>
        <v>355</v>
      </c>
      <c r="B261" t="str">
        <f t="shared" si="14"/>
        <v>1</v>
      </c>
      <c r="C261" t="str">
        <f t="shared" si="15"/>
        <v>15</v>
      </c>
      <c r="D261" t="str">
        <f>"17"</f>
        <v>17</v>
      </c>
      <c r="E261" t="str">
        <f>"1-15-17"</f>
        <v>1-15-17</v>
      </c>
      <c r="F261" t="s">
        <v>15</v>
      </c>
      <c r="G261" t="s">
        <v>20</v>
      </c>
      <c r="H261" t="s">
        <v>21</v>
      </c>
      <c r="I261">
        <v>0</v>
      </c>
      <c r="J261">
        <v>0</v>
      </c>
      <c r="K261">
        <v>1</v>
      </c>
    </row>
    <row r="262" spans="1:11" x14ac:dyDescent="0.25">
      <c r="A262" t="str">
        <f>"356"</f>
        <v>356</v>
      </c>
      <c r="B262" t="str">
        <f t="shared" si="14"/>
        <v>1</v>
      </c>
      <c r="C262" t="str">
        <f t="shared" si="15"/>
        <v>15</v>
      </c>
      <c r="D262" t="str">
        <f>"10"</f>
        <v>10</v>
      </c>
      <c r="E262" t="str">
        <f>"1-15-10"</f>
        <v>1-15-10</v>
      </c>
      <c r="F262" t="s">
        <v>15</v>
      </c>
      <c r="G262" t="s">
        <v>20</v>
      </c>
      <c r="H262" t="s">
        <v>21</v>
      </c>
      <c r="I262">
        <v>0</v>
      </c>
      <c r="J262">
        <v>1</v>
      </c>
      <c r="K262">
        <v>0</v>
      </c>
    </row>
    <row r="263" spans="1:11" x14ac:dyDescent="0.25">
      <c r="A263" t="str">
        <f>"357"</f>
        <v>357</v>
      </c>
      <c r="B263" t="str">
        <f t="shared" si="14"/>
        <v>1</v>
      </c>
      <c r="C263" t="str">
        <f t="shared" si="15"/>
        <v>15</v>
      </c>
      <c r="D263" t="str">
        <f>"18"</f>
        <v>18</v>
      </c>
      <c r="E263" t="str">
        <f>"1-15-18"</f>
        <v>1-15-18</v>
      </c>
      <c r="F263" t="s">
        <v>15</v>
      </c>
      <c r="G263" t="s">
        <v>18</v>
      </c>
      <c r="H263" t="s">
        <v>19</v>
      </c>
      <c r="I263">
        <v>1</v>
      </c>
      <c r="J263">
        <v>0</v>
      </c>
      <c r="K263">
        <v>0</v>
      </c>
    </row>
    <row r="264" spans="1:11" x14ac:dyDescent="0.25">
      <c r="A264" t="str">
        <f>"358"</f>
        <v>358</v>
      </c>
      <c r="B264" t="str">
        <f t="shared" si="14"/>
        <v>1</v>
      </c>
      <c r="C264" t="str">
        <f t="shared" si="15"/>
        <v>15</v>
      </c>
      <c r="D264" t="str">
        <f>"9"</f>
        <v>9</v>
      </c>
      <c r="E264" t="str">
        <f>"1-15-9"</f>
        <v>1-15-9</v>
      </c>
      <c r="F264" t="s">
        <v>15</v>
      </c>
      <c r="G264" t="s">
        <v>16</v>
      </c>
      <c r="H264" t="s">
        <v>17</v>
      </c>
      <c r="I264">
        <v>1</v>
      </c>
      <c r="J264">
        <v>0</v>
      </c>
      <c r="K264">
        <v>0</v>
      </c>
    </row>
    <row r="265" spans="1:11" x14ac:dyDescent="0.25">
      <c r="A265" t="str">
        <f>"359"</f>
        <v>359</v>
      </c>
      <c r="B265" t="str">
        <f t="shared" si="14"/>
        <v>1</v>
      </c>
      <c r="C265" t="str">
        <f t="shared" si="15"/>
        <v>15</v>
      </c>
      <c r="D265" t="str">
        <f>"19"</f>
        <v>19</v>
      </c>
      <c r="E265" t="str">
        <f>"1-15-19"</f>
        <v>1-15-19</v>
      </c>
      <c r="F265" t="s">
        <v>15</v>
      </c>
      <c r="G265" t="s">
        <v>18</v>
      </c>
      <c r="H265" t="s">
        <v>19</v>
      </c>
      <c r="I265">
        <v>1</v>
      </c>
      <c r="J265">
        <v>0</v>
      </c>
      <c r="K265">
        <v>0</v>
      </c>
    </row>
    <row r="266" spans="1:11" x14ac:dyDescent="0.25">
      <c r="A266" t="str">
        <f>"360"</f>
        <v>360</v>
      </c>
      <c r="B266" t="str">
        <f t="shared" si="14"/>
        <v>1</v>
      </c>
      <c r="C266" t="str">
        <f t="shared" si="15"/>
        <v>15</v>
      </c>
      <c r="D266" t="str">
        <f>"13"</f>
        <v>13</v>
      </c>
      <c r="E266" t="str">
        <f>"1-15-13"</f>
        <v>1-15-13</v>
      </c>
      <c r="F266" t="s">
        <v>15</v>
      </c>
      <c r="G266" t="s">
        <v>20</v>
      </c>
      <c r="H266" t="s">
        <v>21</v>
      </c>
      <c r="I266">
        <v>0</v>
      </c>
      <c r="J266">
        <v>0</v>
      </c>
      <c r="K266">
        <v>1</v>
      </c>
    </row>
    <row r="267" spans="1:11" x14ac:dyDescent="0.25">
      <c r="A267" t="str">
        <f>"361"</f>
        <v>361</v>
      </c>
      <c r="B267" t="str">
        <f t="shared" si="14"/>
        <v>1</v>
      </c>
      <c r="C267" t="str">
        <f t="shared" si="15"/>
        <v>15</v>
      </c>
      <c r="D267" t="str">
        <f>"20"</f>
        <v>20</v>
      </c>
      <c r="E267" t="str">
        <f>"1-15-20"</f>
        <v>1-15-20</v>
      </c>
      <c r="F267" t="s">
        <v>15</v>
      </c>
      <c r="G267" t="s">
        <v>20</v>
      </c>
      <c r="H267" t="s">
        <v>21</v>
      </c>
      <c r="I267">
        <v>0</v>
      </c>
      <c r="J267">
        <v>1</v>
      </c>
      <c r="K267">
        <v>0</v>
      </c>
    </row>
    <row r="268" spans="1:11" x14ac:dyDescent="0.25">
      <c r="A268" t="str">
        <f>"362"</f>
        <v>362</v>
      </c>
      <c r="B268" t="str">
        <f t="shared" si="14"/>
        <v>1</v>
      </c>
      <c r="C268" t="str">
        <f t="shared" si="15"/>
        <v>15</v>
      </c>
      <c r="D268" t="str">
        <f>"11"</f>
        <v>11</v>
      </c>
      <c r="E268" t="str">
        <f>"1-15-11"</f>
        <v>1-15-11</v>
      </c>
      <c r="F268" t="s">
        <v>15</v>
      </c>
      <c r="G268" t="s">
        <v>20</v>
      </c>
      <c r="H268" t="s">
        <v>21</v>
      </c>
      <c r="I268">
        <v>1</v>
      </c>
      <c r="J268">
        <v>0</v>
      </c>
      <c r="K268">
        <v>0</v>
      </c>
    </row>
    <row r="269" spans="1:11" x14ac:dyDescent="0.25">
      <c r="A269" t="str">
        <f>"363"</f>
        <v>363</v>
      </c>
      <c r="B269" t="str">
        <f t="shared" si="14"/>
        <v>1</v>
      </c>
      <c r="C269" t="str">
        <f t="shared" si="15"/>
        <v>15</v>
      </c>
      <c r="D269" t="str">
        <f>"22"</f>
        <v>22</v>
      </c>
      <c r="E269" t="str">
        <f>"1-15-22"</f>
        <v>1-15-22</v>
      </c>
      <c r="F269" t="s">
        <v>15</v>
      </c>
      <c r="G269" t="s">
        <v>20</v>
      </c>
      <c r="H269" t="s">
        <v>21</v>
      </c>
      <c r="I269">
        <v>0</v>
      </c>
      <c r="J269">
        <v>1</v>
      </c>
      <c r="K269">
        <v>0</v>
      </c>
    </row>
    <row r="270" spans="1:11" x14ac:dyDescent="0.25">
      <c r="A270" t="str">
        <f>"364"</f>
        <v>364</v>
      </c>
      <c r="B270" t="str">
        <f t="shared" si="14"/>
        <v>1</v>
      </c>
      <c r="C270" t="str">
        <f t="shared" si="15"/>
        <v>15</v>
      </c>
      <c r="D270" t="str">
        <f>"8"</f>
        <v>8</v>
      </c>
      <c r="E270" t="str">
        <f>"1-15-8"</f>
        <v>1-15-8</v>
      </c>
      <c r="F270" t="s">
        <v>15</v>
      </c>
      <c r="G270" t="s">
        <v>16</v>
      </c>
      <c r="H270" t="s">
        <v>17</v>
      </c>
      <c r="I270">
        <v>0</v>
      </c>
      <c r="J270">
        <v>0</v>
      </c>
      <c r="K270">
        <v>1</v>
      </c>
    </row>
    <row r="271" spans="1:11" x14ac:dyDescent="0.25">
      <c r="A271" t="str">
        <f>"365"</f>
        <v>365</v>
      </c>
      <c r="B271" t="str">
        <f t="shared" si="14"/>
        <v>1</v>
      </c>
      <c r="C271" t="str">
        <f t="shared" si="15"/>
        <v>15</v>
      </c>
      <c r="D271" t="str">
        <f>"23"</f>
        <v>23</v>
      </c>
      <c r="E271" t="str">
        <f>"1-15-23"</f>
        <v>1-15-23</v>
      </c>
      <c r="F271" t="s">
        <v>15</v>
      </c>
      <c r="G271" t="s">
        <v>20</v>
      </c>
      <c r="H271" t="s">
        <v>21</v>
      </c>
      <c r="I271">
        <v>1</v>
      </c>
      <c r="J271">
        <v>0</v>
      </c>
      <c r="K271">
        <v>0</v>
      </c>
    </row>
    <row r="272" spans="1:11" x14ac:dyDescent="0.25">
      <c r="A272" t="str">
        <f>"366"</f>
        <v>366</v>
      </c>
      <c r="B272" t="str">
        <f t="shared" si="14"/>
        <v>1</v>
      </c>
      <c r="C272" t="str">
        <f t="shared" si="15"/>
        <v>15</v>
      </c>
      <c r="D272" t="str">
        <f>"14"</f>
        <v>14</v>
      </c>
      <c r="E272" t="str">
        <f>"1-15-14"</f>
        <v>1-15-14</v>
      </c>
      <c r="F272" t="s">
        <v>15</v>
      </c>
      <c r="G272" t="s">
        <v>18</v>
      </c>
      <c r="H272" t="s">
        <v>19</v>
      </c>
      <c r="I272">
        <v>1</v>
      </c>
      <c r="J272">
        <v>0</v>
      </c>
      <c r="K272">
        <v>0</v>
      </c>
    </row>
    <row r="273" spans="1:11" x14ac:dyDescent="0.25">
      <c r="A273" t="str">
        <f>"367"</f>
        <v>367</v>
      </c>
      <c r="B273" t="str">
        <f t="shared" si="14"/>
        <v>1</v>
      </c>
      <c r="C273" t="str">
        <f t="shared" si="15"/>
        <v>15</v>
      </c>
      <c r="D273" t="str">
        <f>"24"</f>
        <v>24</v>
      </c>
      <c r="E273" t="str">
        <f>"1-15-24"</f>
        <v>1-15-24</v>
      </c>
      <c r="F273" t="s">
        <v>15</v>
      </c>
      <c r="G273" t="s">
        <v>20</v>
      </c>
      <c r="H273" t="s">
        <v>21</v>
      </c>
      <c r="I273">
        <v>0</v>
      </c>
      <c r="J273">
        <v>0</v>
      </c>
      <c r="K273">
        <v>1</v>
      </c>
    </row>
    <row r="274" spans="1:11" x14ac:dyDescent="0.25">
      <c r="A274" t="str">
        <f>"368"</f>
        <v>368</v>
      </c>
      <c r="B274" t="str">
        <f t="shared" si="14"/>
        <v>1</v>
      </c>
      <c r="C274" t="str">
        <f t="shared" si="15"/>
        <v>15</v>
      </c>
      <c r="D274" t="str">
        <f>"3"</f>
        <v>3</v>
      </c>
      <c r="E274" t="str">
        <f>"1-15-3"</f>
        <v>1-15-3</v>
      </c>
      <c r="F274" t="s">
        <v>15</v>
      </c>
      <c r="G274" t="s">
        <v>20</v>
      </c>
      <c r="H274" t="s">
        <v>21</v>
      </c>
      <c r="I274">
        <v>0</v>
      </c>
      <c r="J274">
        <v>1</v>
      </c>
      <c r="K274">
        <v>0</v>
      </c>
    </row>
    <row r="275" spans="1:11" x14ac:dyDescent="0.25">
      <c r="A275" t="str">
        <f>"369"</f>
        <v>369</v>
      </c>
      <c r="B275" t="str">
        <f t="shared" si="14"/>
        <v>1</v>
      </c>
      <c r="C275" t="str">
        <f t="shared" si="15"/>
        <v>15</v>
      </c>
      <c r="D275" t="str">
        <f>"25"</f>
        <v>25</v>
      </c>
      <c r="E275" t="str">
        <f>"1-15-25"</f>
        <v>1-15-25</v>
      </c>
      <c r="F275" t="s">
        <v>15</v>
      </c>
      <c r="G275" t="s">
        <v>20</v>
      </c>
      <c r="H275" t="s">
        <v>21</v>
      </c>
      <c r="I275">
        <v>1</v>
      </c>
      <c r="J275">
        <v>0</v>
      </c>
      <c r="K275">
        <v>0</v>
      </c>
    </row>
    <row r="276" spans="1:11" x14ac:dyDescent="0.25">
      <c r="A276" t="str">
        <f>"370"</f>
        <v>370</v>
      </c>
      <c r="B276" t="str">
        <f t="shared" si="14"/>
        <v>1</v>
      </c>
      <c r="C276" t="str">
        <f t="shared" si="15"/>
        <v>15</v>
      </c>
      <c r="D276" t="str">
        <f>"4"</f>
        <v>4</v>
      </c>
      <c r="E276" t="str">
        <f>"1-15-4"</f>
        <v>1-15-4</v>
      </c>
      <c r="F276" t="s">
        <v>15</v>
      </c>
      <c r="G276" t="s">
        <v>18</v>
      </c>
      <c r="H276" t="s">
        <v>19</v>
      </c>
      <c r="I276">
        <v>1</v>
      </c>
      <c r="J276">
        <v>0</v>
      </c>
      <c r="K276">
        <v>0</v>
      </c>
    </row>
    <row r="277" spans="1:11" x14ac:dyDescent="0.25">
      <c r="A277" t="str">
        <f>"371"</f>
        <v>371</v>
      </c>
      <c r="B277" t="str">
        <f t="shared" si="14"/>
        <v>1</v>
      </c>
      <c r="C277" t="str">
        <f t="shared" si="15"/>
        <v>15</v>
      </c>
      <c r="D277" t="str">
        <f>"26"</f>
        <v>26</v>
      </c>
      <c r="E277" t="str">
        <f>"1-15-26"</f>
        <v>1-15-26</v>
      </c>
      <c r="F277" t="s">
        <v>15</v>
      </c>
      <c r="G277" t="s">
        <v>18</v>
      </c>
      <c r="H277" t="s">
        <v>19</v>
      </c>
      <c r="I277">
        <v>0</v>
      </c>
      <c r="J277">
        <v>0</v>
      </c>
      <c r="K277">
        <v>1</v>
      </c>
    </row>
    <row r="278" spans="1:11" x14ac:dyDescent="0.25">
      <c r="A278" t="str">
        <f>"372"</f>
        <v>372</v>
      </c>
      <c r="B278" t="str">
        <f t="shared" si="14"/>
        <v>1</v>
      </c>
      <c r="C278" t="str">
        <f t="shared" si="15"/>
        <v>15</v>
      </c>
      <c r="D278" t="str">
        <f>"7"</f>
        <v>7</v>
      </c>
      <c r="E278" t="str">
        <f>"1-15-7"</f>
        <v>1-15-7</v>
      </c>
      <c r="F278" t="s">
        <v>15</v>
      </c>
      <c r="G278" t="s">
        <v>16</v>
      </c>
      <c r="H278" t="s">
        <v>17</v>
      </c>
      <c r="I278">
        <v>0</v>
      </c>
      <c r="J278">
        <v>1</v>
      </c>
      <c r="K278">
        <v>0</v>
      </c>
    </row>
    <row r="279" spans="1:11" x14ac:dyDescent="0.25">
      <c r="A279" t="str">
        <f>"373"</f>
        <v>373</v>
      </c>
      <c r="B279" t="str">
        <f t="shared" si="14"/>
        <v>1</v>
      </c>
      <c r="C279" t="str">
        <f t="shared" si="15"/>
        <v>15</v>
      </c>
      <c r="D279" t="str">
        <f>"27"</f>
        <v>27</v>
      </c>
      <c r="E279" t="str">
        <f>"1-15-27"</f>
        <v>1-15-27</v>
      </c>
      <c r="F279" t="s">
        <v>15</v>
      </c>
      <c r="G279" t="s">
        <v>20</v>
      </c>
      <c r="H279" t="s">
        <v>21</v>
      </c>
      <c r="I279">
        <v>0</v>
      </c>
      <c r="J279">
        <v>1</v>
      </c>
      <c r="K279">
        <v>0</v>
      </c>
    </row>
    <row r="280" spans="1:11" x14ac:dyDescent="0.25">
      <c r="A280" t="str">
        <f>"374"</f>
        <v>374</v>
      </c>
      <c r="B280" t="str">
        <f t="shared" si="14"/>
        <v>1</v>
      </c>
      <c r="C280" t="str">
        <f t="shared" si="15"/>
        <v>15</v>
      </c>
      <c r="D280" t="str">
        <f>"5"</f>
        <v>5</v>
      </c>
      <c r="E280" t="str">
        <f>"1-15-5"</f>
        <v>1-15-5</v>
      </c>
      <c r="F280" t="s">
        <v>15</v>
      </c>
      <c r="G280" t="s">
        <v>16</v>
      </c>
      <c r="H280" t="s">
        <v>17</v>
      </c>
      <c r="I280">
        <v>1</v>
      </c>
      <c r="J280">
        <v>0</v>
      </c>
      <c r="K280">
        <v>0</v>
      </c>
    </row>
    <row r="281" spans="1:11" x14ac:dyDescent="0.25">
      <c r="A281" t="str">
        <f>"375"</f>
        <v>375</v>
      </c>
      <c r="B281" t="str">
        <f t="shared" si="14"/>
        <v>1</v>
      </c>
      <c r="C281" t="str">
        <f t="shared" si="15"/>
        <v>15</v>
      </c>
      <c r="D281" t="str">
        <f>"28"</f>
        <v>28</v>
      </c>
      <c r="E281" t="str">
        <f>"1-15-28"</f>
        <v>1-15-28</v>
      </c>
      <c r="F281" t="s">
        <v>15</v>
      </c>
      <c r="G281" t="s">
        <v>16</v>
      </c>
      <c r="H281" t="s">
        <v>17</v>
      </c>
      <c r="I281">
        <v>1</v>
      </c>
      <c r="J281">
        <v>0</v>
      </c>
      <c r="K281">
        <v>0</v>
      </c>
    </row>
    <row r="282" spans="1:11" x14ac:dyDescent="0.25">
      <c r="A282" t="str">
        <f>"376"</f>
        <v>376</v>
      </c>
      <c r="B282" t="str">
        <f t="shared" si="14"/>
        <v>1</v>
      </c>
      <c r="C282" t="str">
        <f t="shared" si="15"/>
        <v>15</v>
      </c>
      <c r="D282" t="str">
        <f>"12"</f>
        <v>12</v>
      </c>
      <c r="E282" t="str">
        <f>"1-15-12"</f>
        <v>1-15-12</v>
      </c>
      <c r="F282" t="s">
        <v>15</v>
      </c>
      <c r="G282" t="s">
        <v>18</v>
      </c>
      <c r="H282" t="s">
        <v>19</v>
      </c>
      <c r="I282">
        <v>0</v>
      </c>
      <c r="J282">
        <v>1</v>
      </c>
      <c r="K282">
        <v>0</v>
      </c>
    </row>
    <row r="283" spans="1:11" x14ac:dyDescent="0.25">
      <c r="A283" t="str">
        <f>"377"</f>
        <v>377</v>
      </c>
      <c r="B283" t="str">
        <f t="shared" si="14"/>
        <v>1</v>
      </c>
      <c r="C283" t="str">
        <f t="shared" si="15"/>
        <v>15</v>
      </c>
      <c r="D283" t="str">
        <f>"2"</f>
        <v>2</v>
      </c>
      <c r="E283" t="str">
        <f>"1-15-2"</f>
        <v>1-15-2</v>
      </c>
      <c r="F283" t="s">
        <v>15</v>
      </c>
      <c r="G283" t="s">
        <v>20</v>
      </c>
      <c r="H283" t="s">
        <v>21</v>
      </c>
      <c r="I283">
        <v>1</v>
      </c>
      <c r="J283">
        <v>0</v>
      </c>
      <c r="K283">
        <v>0</v>
      </c>
    </row>
    <row r="284" spans="1:11" x14ac:dyDescent="0.25">
      <c r="A284" t="str">
        <f>"378"</f>
        <v>378</v>
      </c>
      <c r="B284" t="str">
        <f t="shared" si="14"/>
        <v>1</v>
      </c>
      <c r="C284" t="str">
        <f t="shared" si="15"/>
        <v>15</v>
      </c>
      <c r="D284" t="str">
        <f>"15"</f>
        <v>15</v>
      </c>
      <c r="E284" t="str">
        <f>"1-15-15"</f>
        <v>1-15-15</v>
      </c>
      <c r="F284" t="s">
        <v>15</v>
      </c>
      <c r="G284" t="s">
        <v>18</v>
      </c>
      <c r="H284" t="s">
        <v>19</v>
      </c>
      <c r="I284">
        <v>0</v>
      </c>
      <c r="J284">
        <v>1</v>
      </c>
      <c r="K284">
        <v>0</v>
      </c>
    </row>
    <row r="285" spans="1:11" x14ac:dyDescent="0.25">
      <c r="A285" t="str">
        <f>"402"</f>
        <v>402</v>
      </c>
      <c r="B285" t="str">
        <f t="shared" si="14"/>
        <v>1</v>
      </c>
      <c r="C285" t="str">
        <f t="shared" ref="C285:C311" si="16">"17"</f>
        <v>17</v>
      </c>
      <c r="D285" t="str">
        <f>"18"</f>
        <v>18</v>
      </c>
      <c r="E285" t="str">
        <f>"1-17-18"</f>
        <v>1-17-18</v>
      </c>
      <c r="F285" t="s">
        <v>15</v>
      </c>
      <c r="G285" t="s">
        <v>20</v>
      </c>
      <c r="H285" t="s">
        <v>21</v>
      </c>
      <c r="I285">
        <v>0</v>
      </c>
      <c r="J285">
        <v>1</v>
      </c>
      <c r="K285">
        <v>0</v>
      </c>
    </row>
    <row r="286" spans="1:11" x14ac:dyDescent="0.25">
      <c r="A286" t="str">
        <f>"403"</f>
        <v>403</v>
      </c>
      <c r="B286" t="str">
        <f t="shared" si="14"/>
        <v>1</v>
      </c>
      <c r="C286" t="str">
        <f t="shared" si="16"/>
        <v>17</v>
      </c>
      <c r="D286" t="str">
        <f>"15"</f>
        <v>15</v>
      </c>
      <c r="E286" t="str">
        <f>"1-17-15"</f>
        <v>1-17-15</v>
      </c>
      <c r="F286" t="s">
        <v>15</v>
      </c>
      <c r="G286" t="s">
        <v>20</v>
      </c>
      <c r="H286" t="s">
        <v>21</v>
      </c>
      <c r="I286">
        <v>0</v>
      </c>
      <c r="J286">
        <v>0</v>
      </c>
      <c r="K286">
        <v>1</v>
      </c>
    </row>
    <row r="287" spans="1:11" x14ac:dyDescent="0.25">
      <c r="A287" t="str">
        <f>"404"</f>
        <v>404</v>
      </c>
      <c r="B287" t="str">
        <f t="shared" si="14"/>
        <v>1</v>
      </c>
      <c r="C287" t="str">
        <f t="shared" si="16"/>
        <v>17</v>
      </c>
      <c r="D287" t="str">
        <f>"5"</f>
        <v>5</v>
      </c>
      <c r="E287" t="str">
        <f>"1-17-5"</f>
        <v>1-17-5</v>
      </c>
      <c r="F287" t="s">
        <v>15</v>
      </c>
      <c r="G287" t="s">
        <v>20</v>
      </c>
      <c r="H287" t="s">
        <v>21</v>
      </c>
      <c r="I287">
        <v>1</v>
      </c>
      <c r="J287">
        <v>0</v>
      </c>
      <c r="K287">
        <v>0</v>
      </c>
    </row>
    <row r="288" spans="1:11" x14ac:dyDescent="0.25">
      <c r="A288" t="str">
        <f>"405"</f>
        <v>405</v>
      </c>
      <c r="B288" t="str">
        <f t="shared" si="14"/>
        <v>1</v>
      </c>
      <c r="C288" t="str">
        <f t="shared" si="16"/>
        <v>17</v>
      </c>
      <c r="D288" t="str">
        <f>"16"</f>
        <v>16</v>
      </c>
      <c r="E288" t="str">
        <f>"1-17-16"</f>
        <v>1-17-16</v>
      </c>
      <c r="F288" t="s">
        <v>15</v>
      </c>
      <c r="G288" t="s">
        <v>20</v>
      </c>
      <c r="H288" t="s">
        <v>21</v>
      </c>
      <c r="I288">
        <v>0</v>
      </c>
      <c r="J288">
        <v>1</v>
      </c>
      <c r="K288">
        <v>0</v>
      </c>
    </row>
    <row r="289" spans="1:11" x14ac:dyDescent="0.25">
      <c r="A289" t="str">
        <f>"406"</f>
        <v>406</v>
      </c>
      <c r="B289" t="str">
        <f t="shared" si="14"/>
        <v>1</v>
      </c>
      <c r="C289" t="str">
        <f t="shared" si="16"/>
        <v>17</v>
      </c>
      <c r="D289" t="str">
        <f>"1"</f>
        <v>1</v>
      </c>
      <c r="E289" t="str">
        <f>"1-17-1"</f>
        <v>1-17-1</v>
      </c>
      <c r="F289" t="s">
        <v>15</v>
      </c>
      <c r="G289" t="s">
        <v>16</v>
      </c>
      <c r="H289" t="s">
        <v>17</v>
      </c>
      <c r="I289">
        <v>0</v>
      </c>
      <c r="J289">
        <v>1</v>
      </c>
      <c r="K289">
        <v>0</v>
      </c>
    </row>
    <row r="290" spans="1:11" x14ac:dyDescent="0.25">
      <c r="A290" t="str">
        <f>"407"</f>
        <v>407</v>
      </c>
      <c r="B290" t="str">
        <f t="shared" si="14"/>
        <v>1</v>
      </c>
      <c r="C290" t="str">
        <f t="shared" si="16"/>
        <v>17</v>
      </c>
      <c r="D290" t="str">
        <f>"17"</f>
        <v>17</v>
      </c>
      <c r="E290" t="str">
        <f>"1-17-17"</f>
        <v>1-17-17</v>
      </c>
      <c r="F290" t="s">
        <v>15</v>
      </c>
      <c r="G290" t="s">
        <v>20</v>
      </c>
      <c r="H290" t="s">
        <v>21</v>
      </c>
      <c r="I290">
        <v>0</v>
      </c>
      <c r="J290">
        <v>1</v>
      </c>
      <c r="K290">
        <v>0</v>
      </c>
    </row>
    <row r="291" spans="1:11" x14ac:dyDescent="0.25">
      <c r="A291" t="str">
        <f>"408"</f>
        <v>408</v>
      </c>
      <c r="B291" t="str">
        <f t="shared" si="14"/>
        <v>1</v>
      </c>
      <c r="C291" t="str">
        <f t="shared" si="16"/>
        <v>17</v>
      </c>
      <c r="D291" t="str">
        <f>"4"</f>
        <v>4</v>
      </c>
      <c r="E291" t="str">
        <f>"1-17-4"</f>
        <v>1-17-4</v>
      </c>
      <c r="F291" t="s">
        <v>15</v>
      </c>
      <c r="G291" t="s">
        <v>20</v>
      </c>
      <c r="H291" t="s">
        <v>21</v>
      </c>
      <c r="I291">
        <v>0</v>
      </c>
      <c r="J291">
        <v>1</v>
      </c>
      <c r="K291">
        <v>0</v>
      </c>
    </row>
    <row r="292" spans="1:11" x14ac:dyDescent="0.25">
      <c r="A292" t="str">
        <f>"409"</f>
        <v>409</v>
      </c>
      <c r="B292" t="str">
        <f t="shared" si="14"/>
        <v>1</v>
      </c>
      <c r="C292" t="str">
        <f t="shared" si="16"/>
        <v>17</v>
      </c>
      <c r="D292" t="str">
        <f>"19"</f>
        <v>19</v>
      </c>
      <c r="E292" t="str">
        <f>"1-17-19"</f>
        <v>1-17-19</v>
      </c>
      <c r="F292" t="s">
        <v>15</v>
      </c>
      <c r="G292" t="s">
        <v>20</v>
      </c>
      <c r="H292" t="s">
        <v>21</v>
      </c>
      <c r="I292">
        <v>1</v>
      </c>
      <c r="J292">
        <v>0</v>
      </c>
      <c r="K292">
        <v>0</v>
      </c>
    </row>
    <row r="293" spans="1:11" x14ac:dyDescent="0.25">
      <c r="A293" t="str">
        <f>"410"</f>
        <v>410</v>
      </c>
      <c r="B293" t="str">
        <f t="shared" ref="B293:B354" si="17">"1"</f>
        <v>1</v>
      </c>
      <c r="C293" t="str">
        <f t="shared" si="16"/>
        <v>17</v>
      </c>
      <c r="D293" t="str">
        <f>"12"</f>
        <v>12</v>
      </c>
      <c r="E293" t="str">
        <f>"1-17-12"</f>
        <v>1-17-12</v>
      </c>
      <c r="F293" t="s">
        <v>15</v>
      </c>
      <c r="G293" t="s">
        <v>20</v>
      </c>
      <c r="H293" t="s">
        <v>21</v>
      </c>
      <c r="I293">
        <v>1</v>
      </c>
      <c r="J293">
        <v>0</v>
      </c>
      <c r="K293">
        <v>0</v>
      </c>
    </row>
    <row r="294" spans="1:11" x14ac:dyDescent="0.25">
      <c r="A294" t="str">
        <f>"411"</f>
        <v>411</v>
      </c>
      <c r="B294" t="str">
        <f t="shared" si="17"/>
        <v>1</v>
      </c>
      <c r="C294" t="str">
        <f t="shared" si="16"/>
        <v>17</v>
      </c>
      <c r="D294" t="str">
        <f>"20"</f>
        <v>20</v>
      </c>
      <c r="E294" t="str">
        <f>"1-17-20"</f>
        <v>1-17-20</v>
      </c>
      <c r="F294" t="s">
        <v>15</v>
      </c>
      <c r="G294" t="s">
        <v>20</v>
      </c>
      <c r="H294" t="s">
        <v>21</v>
      </c>
      <c r="I294">
        <v>1</v>
      </c>
      <c r="J294">
        <v>0</v>
      </c>
      <c r="K294">
        <v>0</v>
      </c>
    </row>
    <row r="295" spans="1:11" x14ac:dyDescent="0.25">
      <c r="A295" t="str">
        <f>"412"</f>
        <v>412</v>
      </c>
      <c r="B295" t="str">
        <f t="shared" si="17"/>
        <v>1</v>
      </c>
      <c r="C295" t="str">
        <f t="shared" si="16"/>
        <v>17</v>
      </c>
      <c r="D295" t="str">
        <f>"7"</f>
        <v>7</v>
      </c>
      <c r="E295" t="str">
        <f>"1-17-7"</f>
        <v>1-17-7</v>
      </c>
      <c r="F295" t="s">
        <v>15</v>
      </c>
      <c r="G295" t="s">
        <v>20</v>
      </c>
      <c r="H295" t="s">
        <v>21</v>
      </c>
      <c r="I295">
        <v>1</v>
      </c>
      <c r="J295">
        <v>0</v>
      </c>
      <c r="K295">
        <v>0</v>
      </c>
    </row>
    <row r="296" spans="1:11" x14ac:dyDescent="0.25">
      <c r="A296" t="str">
        <f>"413"</f>
        <v>413</v>
      </c>
      <c r="B296" t="str">
        <f t="shared" si="17"/>
        <v>1</v>
      </c>
      <c r="C296" t="str">
        <f t="shared" si="16"/>
        <v>17</v>
      </c>
      <c r="D296" t="str">
        <f>"21"</f>
        <v>21</v>
      </c>
      <c r="E296" t="str">
        <f>"1-17-21"</f>
        <v>1-17-21</v>
      </c>
      <c r="F296" t="s">
        <v>15</v>
      </c>
      <c r="G296" t="s">
        <v>20</v>
      </c>
      <c r="H296" t="s">
        <v>21</v>
      </c>
      <c r="I296">
        <v>1</v>
      </c>
      <c r="J296">
        <v>0</v>
      </c>
      <c r="K296">
        <v>0</v>
      </c>
    </row>
    <row r="297" spans="1:11" x14ac:dyDescent="0.25">
      <c r="A297" t="str">
        <f>"414"</f>
        <v>414</v>
      </c>
      <c r="B297" t="str">
        <f t="shared" si="17"/>
        <v>1</v>
      </c>
      <c r="C297" t="str">
        <f t="shared" si="16"/>
        <v>17</v>
      </c>
      <c r="D297" t="str">
        <f>"9"</f>
        <v>9</v>
      </c>
      <c r="E297" t="str">
        <f>"1-17-9"</f>
        <v>1-17-9</v>
      </c>
      <c r="F297" t="s">
        <v>15</v>
      </c>
      <c r="G297" t="s">
        <v>20</v>
      </c>
      <c r="H297" t="s">
        <v>21</v>
      </c>
      <c r="I297">
        <v>1</v>
      </c>
      <c r="J297">
        <v>0</v>
      </c>
      <c r="K297">
        <v>0</v>
      </c>
    </row>
    <row r="298" spans="1:11" x14ac:dyDescent="0.25">
      <c r="A298" t="str">
        <f>"415"</f>
        <v>415</v>
      </c>
      <c r="B298" t="str">
        <f t="shared" si="17"/>
        <v>1</v>
      </c>
      <c r="C298" t="str">
        <f t="shared" si="16"/>
        <v>17</v>
      </c>
      <c r="D298" t="str">
        <f>"22"</f>
        <v>22</v>
      </c>
      <c r="E298" t="str">
        <f>"1-17-22"</f>
        <v>1-17-22</v>
      </c>
      <c r="F298" t="s">
        <v>15</v>
      </c>
      <c r="G298" t="s">
        <v>20</v>
      </c>
      <c r="H298" t="s">
        <v>21</v>
      </c>
      <c r="I298">
        <v>0</v>
      </c>
      <c r="J298">
        <v>1</v>
      </c>
      <c r="K298">
        <v>0</v>
      </c>
    </row>
    <row r="299" spans="1:11" x14ac:dyDescent="0.25">
      <c r="A299" t="str">
        <f>"416"</f>
        <v>416</v>
      </c>
      <c r="B299" t="str">
        <f t="shared" si="17"/>
        <v>1</v>
      </c>
      <c r="C299" t="str">
        <f t="shared" si="16"/>
        <v>17</v>
      </c>
      <c r="D299" t="str">
        <f>"6"</f>
        <v>6</v>
      </c>
      <c r="E299" t="str">
        <f>"1-17-6"</f>
        <v>1-17-6</v>
      </c>
      <c r="F299" t="s">
        <v>15</v>
      </c>
      <c r="G299" t="s">
        <v>20</v>
      </c>
      <c r="H299" t="s">
        <v>21</v>
      </c>
      <c r="I299">
        <v>0</v>
      </c>
      <c r="J299">
        <v>0</v>
      </c>
      <c r="K299">
        <v>1</v>
      </c>
    </row>
    <row r="300" spans="1:11" x14ac:dyDescent="0.25">
      <c r="A300" t="str">
        <f>"417"</f>
        <v>417</v>
      </c>
      <c r="B300" t="str">
        <f t="shared" si="17"/>
        <v>1</v>
      </c>
      <c r="C300" t="str">
        <f t="shared" si="16"/>
        <v>17</v>
      </c>
      <c r="D300" t="str">
        <f>"23"</f>
        <v>23</v>
      </c>
      <c r="E300" t="str">
        <f>"1-17-23"</f>
        <v>1-17-23</v>
      </c>
      <c r="F300" t="s">
        <v>15</v>
      </c>
      <c r="G300" t="s">
        <v>20</v>
      </c>
      <c r="H300" t="s">
        <v>21</v>
      </c>
      <c r="I300">
        <v>1</v>
      </c>
      <c r="J300">
        <v>0</v>
      </c>
      <c r="K300">
        <v>0</v>
      </c>
    </row>
    <row r="301" spans="1:11" x14ac:dyDescent="0.25">
      <c r="A301" t="str">
        <f>"418"</f>
        <v>418</v>
      </c>
      <c r="B301" t="str">
        <f t="shared" si="17"/>
        <v>1</v>
      </c>
      <c r="C301" t="str">
        <f t="shared" si="16"/>
        <v>17</v>
      </c>
      <c r="D301" t="str">
        <f>"14"</f>
        <v>14</v>
      </c>
      <c r="E301" t="str">
        <f>"1-17-14"</f>
        <v>1-17-14</v>
      </c>
      <c r="F301" t="s">
        <v>15</v>
      </c>
      <c r="G301" t="s">
        <v>20</v>
      </c>
      <c r="H301" t="s">
        <v>21</v>
      </c>
      <c r="I301">
        <v>0</v>
      </c>
      <c r="J301">
        <v>0</v>
      </c>
      <c r="K301">
        <v>1</v>
      </c>
    </row>
    <row r="302" spans="1:11" x14ac:dyDescent="0.25">
      <c r="A302" t="str">
        <f>"419"</f>
        <v>419</v>
      </c>
      <c r="B302" t="str">
        <f t="shared" si="17"/>
        <v>1</v>
      </c>
      <c r="C302" t="str">
        <f t="shared" si="16"/>
        <v>17</v>
      </c>
      <c r="D302" t="str">
        <f>"24"</f>
        <v>24</v>
      </c>
      <c r="E302" t="str">
        <f>"1-17-24"</f>
        <v>1-17-24</v>
      </c>
      <c r="F302" t="s">
        <v>15</v>
      </c>
      <c r="G302" t="s">
        <v>20</v>
      </c>
      <c r="H302" t="s">
        <v>21</v>
      </c>
      <c r="I302">
        <v>1</v>
      </c>
      <c r="J302">
        <v>0</v>
      </c>
      <c r="K302">
        <v>0</v>
      </c>
    </row>
    <row r="303" spans="1:11" x14ac:dyDescent="0.25">
      <c r="A303" t="str">
        <f>"420"</f>
        <v>420</v>
      </c>
      <c r="B303" t="str">
        <f t="shared" si="17"/>
        <v>1</v>
      </c>
      <c r="C303" t="str">
        <f t="shared" si="16"/>
        <v>17</v>
      </c>
      <c r="D303" t="str">
        <f>"25"</f>
        <v>25</v>
      </c>
      <c r="E303" t="str">
        <f>"1-17-25"</f>
        <v>1-17-25</v>
      </c>
      <c r="F303" t="s">
        <v>15</v>
      </c>
      <c r="G303" t="s">
        <v>20</v>
      </c>
      <c r="H303" t="s">
        <v>21</v>
      </c>
      <c r="I303">
        <v>0</v>
      </c>
      <c r="J303">
        <v>0</v>
      </c>
      <c r="K303">
        <v>1</v>
      </c>
    </row>
    <row r="304" spans="1:11" x14ac:dyDescent="0.25">
      <c r="A304" t="str">
        <f>"421"</f>
        <v>421</v>
      </c>
      <c r="B304" t="str">
        <f t="shared" si="17"/>
        <v>1</v>
      </c>
      <c r="C304" t="str">
        <f t="shared" si="16"/>
        <v>17</v>
      </c>
      <c r="D304" t="str">
        <f>"8"</f>
        <v>8</v>
      </c>
      <c r="E304" t="str">
        <f>"1-17-8"</f>
        <v>1-17-8</v>
      </c>
      <c r="F304" t="s">
        <v>15</v>
      </c>
      <c r="G304" t="s">
        <v>20</v>
      </c>
      <c r="H304" t="s">
        <v>21</v>
      </c>
      <c r="I304">
        <v>0</v>
      </c>
      <c r="J304">
        <v>0</v>
      </c>
      <c r="K304">
        <v>1</v>
      </c>
    </row>
    <row r="305" spans="1:11" x14ac:dyDescent="0.25">
      <c r="A305" t="str">
        <f>"422"</f>
        <v>422</v>
      </c>
      <c r="B305" t="str">
        <f t="shared" si="17"/>
        <v>1</v>
      </c>
      <c r="C305" t="str">
        <f t="shared" si="16"/>
        <v>17</v>
      </c>
      <c r="D305" t="str">
        <f>"26"</f>
        <v>26</v>
      </c>
      <c r="E305" t="str">
        <f>"1-17-26"</f>
        <v>1-17-26</v>
      </c>
      <c r="F305" t="s">
        <v>15</v>
      </c>
      <c r="G305" t="s">
        <v>20</v>
      </c>
      <c r="H305" t="s">
        <v>21</v>
      </c>
      <c r="I305">
        <v>0</v>
      </c>
      <c r="J305">
        <v>1</v>
      </c>
      <c r="K305">
        <v>0</v>
      </c>
    </row>
    <row r="306" spans="1:11" x14ac:dyDescent="0.25">
      <c r="A306" t="str">
        <f>"423"</f>
        <v>423</v>
      </c>
      <c r="B306" t="str">
        <f t="shared" si="17"/>
        <v>1</v>
      </c>
      <c r="C306" t="str">
        <f t="shared" si="16"/>
        <v>17</v>
      </c>
      <c r="D306" t="str">
        <f>"2"</f>
        <v>2</v>
      </c>
      <c r="E306" t="str">
        <f>"1-17-2"</f>
        <v>1-17-2</v>
      </c>
      <c r="F306" t="s">
        <v>15</v>
      </c>
      <c r="G306" t="s">
        <v>16</v>
      </c>
      <c r="H306" t="s">
        <v>17</v>
      </c>
      <c r="I306">
        <v>0</v>
      </c>
      <c r="J306">
        <v>1</v>
      </c>
      <c r="K306">
        <v>0</v>
      </c>
    </row>
    <row r="307" spans="1:11" x14ac:dyDescent="0.25">
      <c r="A307" t="str">
        <f>"424"</f>
        <v>424</v>
      </c>
      <c r="B307" t="str">
        <f t="shared" si="17"/>
        <v>1</v>
      </c>
      <c r="C307" t="str">
        <f t="shared" si="16"/>
        <v>17</v>
      </c>
      <c r="D307" t="str">
        <f>"3"</f>
        <v>3</v>
      </c>
      <c r="E307" t="str">
        <f>"1-17-3"</f>
        <v>1-17-3</v>
      </c>
      <c r="F307" t="s">
        <v>15</v>
      </c>
      <c r="G307" t="s">
        <v>20</v>
      </c>
      <c r="H307" t="s">
        <v>21</v>
      </c>
      <c r="I307">
        <v>0</v>
      </c>
      <c r="J307">
        <v>0</v>
      </c>
      <c r="K307">
        <v>1</v>
      </c>
    </row>
    <row r="308" spans="1:11" x14ac:dyDescent="0.25">
      <c r="A308" t="str">
        <f>"425"</f>
        <v>425</v>
      </c>
      <c r="B308" t="str">
        <f t="shared" si="17"/>
        <v>1</v>
      </c>
      <c r="C308" t="str">
        <f t="shared" si="16"/>
        <v>17</v>
      </c>
      <c r="D308" t="str">
        <f>"10"</f>
        <v>10</v>
      </c>
      <c r="E308" t="str">
        <f>"1-17-10"</f>
        <v>1-17-10</v>
      </c>
      <c r="F308" t="s">
        <v>15</v>
      </c>
      <c r="G308" t="s">
        <v>20</v>
      </c>
      <c r="H308" t="s">
        <v>21</v>
      </c>
      <c r="I308">
        <v>1</v>
      </c>
      <c r="J308">
        <v>0</v>
      </c>
      <c r="K308">
        <v>0</v>
      </c>
    </row>
    <row r="309" spans="1:11" x14ac:dyDescent="0.25">
      <c r="A309" t="str">
        <f>"426"</f>
        <v>426</v>
      </c>
      <c r="B309" t="str">
        <f t="shared" si="17"/>
        <v>1</v>
      </c>
      <c r="C309" t="str">
        <f t="shared" si="16"/>
        <v>17</v>
      </c>
      <c r="D309" t="str">
        <f>"11"</f>
        <v>11</v>
      </c>
      <c r="E309" t="str">
        <f>"1-17-11"</f>
        <v>1-17-11</v>
      </c>
      <c r="F309" t="s">
        <v>15</v>
      </c>
      <c r="G309" t="s">
        <v>20</v>
      </c>
      <c r="H309" t="s">
        <v>21</v>
      </c>
      <c r="I309">
        <v>1</v>
      </c>
      <c r="J309">
        <v>0</v>
      </c>
      <c r="K309">
        <v>0</v>
      </c>
    </row>
    <row r="310" spans="1:11" x14ac:dyDescent="0.25">
      <c r="A310" t="str">
        <f>"427"</f>
        <v>427</v>
      </c>
      <c r="B310" t="str">
        <f t="shared" si="17"/>
        <v>1</v>
      </c>
      <c r="C310" t="str">
        <f t="shared" si="16"/>
        <v>17</v>
      </c>
      <c r="D310" t="str">
        <f>"13"</f>
        <v>13</v>
      </c>
      <c r="E310" t="str">
        <f>"1-17-13"</f>
        <v>1-17-13</v>
      </c>
      <c r="F310" t="s">
        <v>15</v>
      </c>
      <c r="G310" t="s">
        <v>20</v>
      </c>
      <c r="H310" t="s">
        <v>21</v>
      </c>
      <c r="I310">
        <v>0</v>
      </c>
      <c r="J310">
        <v>0</v>
      </c>
      <c r="K310">
        <v>0</v>
      </c>
    </row>
    <row r="311" spans="1:11" x14ac:dyDescent="0.25">
      <c r="A311" t="str">
        <f>"428"</f>
        <v>428</v>
      </c>
      <c r="B311" t="str">
        <f t="shared" si="17"/>
        <v>1</v>
      </c>
      <c r="C311" t="str">
        <f t="shared" si="16"/>
        <v>17</v>
      </c>
      <c r="D311" t="str">
        <f>"27"</f>
        <v>27</v>
      </c>
      <c r="E311" t="str">
        <f>"1-17-27"</f>
        <v>1-17-27</v>
      </c>
      <c r="F311" t="s">
        <v>15</v>
      </c>
      <c r="G311" t="s">
        <v>20</v>
      </c>
      <c r="H311" t="s">
        <v>21</v>
      </c>
      <c r="I311">
        <v>0</v>
      </c>
      <c r="J311">
        <v>0</v>
      </c>
      <c r="K311">
        <v>0</v>
      </c>
    </row>
    <row r="312" spans="1:11" x14ac:dyDescent="0.25">
      <c r="A312" t="str">
        <f>"429"</f>
        <v>429</v>
      </c>
      <c r="B312" t="str">
        <f t="shared" si="17"/>
        <v>1</v>
      </c>
      <c r="C312" t="str">
        <f t="shared" ref="C312:C331" si="18">"18"</f>
        <v>18</v>
      </c>
      <c r="D312" t="str">
        <f>"17"</f>
        <v>17</v>
      </c>
      <c r="E312" t="str">
        <f>"1-18-17"</f>
        <v>1-18-17</v>
      </c>
      <c r="F312" t="s">
        <v>15</v>
      </c>
      <c r="G312" t="s">
        <v>16</v>
      </c>
      <c r="H312" t="s">
        <v>17</v>
      </c>
      <c r="I312">
        <v>1</v>
      </c>
      <c r="J312">
        <v>0</v>
      </c>
      <c r="K312">
        <v>0</v>
      </c>
    </row>
    <row r="313" spans="1:11" x14ac:dyDescent="0.25">
      <c r="A313" t="str">
        <f>"430"</f>
        <v>430</v>
      </c>
      <c r="B313" t="str">
        <f t="shared" si="17"/>
        <v>1</v>
      </c>
      <c r="C313" t="str">
        <f t="shared" si="18"/>
        <v>18</v>
      </c>
      <c r="D313" t="str">
        <f>"15"</f>
        <v>15</v>
      </c>
      <c r="E313" t="str">
        <f>"1-18-15"</f>
        <v>1-18-15</v>
      </c>
      <c r="F313" t="s">
        <v>15</v>
      </c>
      <c r="G313" t="s">
        <v>16</v>
      </c>
      <c r="H313" t="s">
        <v>17</v>
      </c>
      <c r="I313">
        <v>0</v>
      </c>
      <c r="J313">
        <v>1</v>
      </c>
      <c r="K313">
        <v>0</v>
      </c>
    </row>
    <row r="314" spans="1:11" x14ac:dyDescent="0.25">
      <c r="A314" t="str">
        <f>"431"</f>
        <v>431</v>
      </c>
      <c r="B314" t="str">
        <f t="shared" si="17"/>
        <v>1</v>
      </c>
      <c r="C314" t="str">
        <f t="shared" si="18"/>
        <v>18</v>
      </c>
      <c r="D314" t="str">
        <f>"2"</f>
        <v>2</v>
      </c>
      <c r="E314" t="str">
        <f>"1-18-2"</f>
        <v>1-18-2</v>
      </c>
      <c r="F314" t="s">
        <v>15</v>
      </c>
      <c r="G314" t="s">
        <v>16</v>
      </c>
      <c r="H314" t="s">
        <v>17</v>
      </c>
      <c r="I314">
        <v>1</v>
      </c>
      <c r="J314">
        <v>0</v>
      </c>
      <c r="K314">
        <v>0</v>
      </c>
    </row>
    <row r="315" spans="1:11" x14ac:dyDescent="0.25">
      <c r="A315" t="str">
        <f>"432"</f>
        <v>432</v>
      </c>
      <c r="B315" t="str">
        <f t="shared" si="17"/>
        <v>1</v>
      </c>
      <c r="C315" t="str">
        <f t="shared" si="18"/>
        <v>18</v>
      </c>
      <c r="D315" t="str">
        <f>"16"</f>
        <v>16</v>
      </c>
      <c r="E315" t="str">
        <f>"1-18-16"</f>
        <v>1-18-16</v>
      </c>
      <c r="F315" t="s">
        <v>15</v>
      </c>
      <c r="G315" t="s">
        <v>16</v>
      </c>
      <c r="H315" t="s">
        <v>17</v>
      </c>
      <c r="I315">
        <v>1</v>
      </c>
      <c r="J315">
        <v>0</v>
      </c>
      <c r="K315">
        <v>0</v>
      </c>
    </row>
    <row r="316" spans="1:11" x14ac:dyDescent="0.25">
      <c r="A316" t="str">
        <f>"433"</f>
        <v>433</v>
      </c>
      <c r="B316" t="str">
        <f t="shared" si="17"/>
        <v>1</v>
      </c>
      <c r="C316" t="str">
        <f t="shared" si="18"/>
        <v>18</v>
      </c>
      <c r="D316" t="str">
        <f>"6"</f>
        <v>6</v>
      </c>
      <c r="E316" t="str">
        <f>"1-18-6"</f>
        <v>1-18-6</v>
      </c>
      <c r="F316" t="s">
        <v>15</v>
      </c>
      <c r="G316" t="s">
        <v>16</v>
      </c>
      <c r="H316" t="s">
        <v>17</v>
      </c>
      <c r="I316">
        <v>0</v>
      </c>
      <c r="J316">
        <v>1</v>
      </c>
      <c r="K316">
        <v>0</v>
      </c>
    </row>
    <row r="317" spans="1:11" x14ac:dyDescent="0.25">
      <c r="A317" t="str">
        <f>"434"</f>
        <v>434</v>
      </c>
      <c r="B317" t="str">
        <f t="shared" si="17"/>
        <v>1</v>
      </c>
      <c r="C317" t="str">
        <f t="shared" si="18"/>
        <v>18</v>
      </c>
      <c r="D317" t="str">
        <f>"18"</f>
        <v>18</v>
      </c>
      <c r="E317" t="str">
        <f>"1-18-18"</f>
        <v>1-18-18</v>
      </c>
      <c r="F317" t="s">
        <v>15</v>
      </c>
      <c r="G317" t="s">
        <v>16</v>
      </c>
      <c r="H317" t="s">
        <v>17</v>
      </c>
      <c r="I317">
        <v>0</v>
      </c>
      <c r="J317">
        <v>1</v>
      </c>
      <c r="K317">
        <v>0</v>
      </c>
    </row>
    <row r="318" spans="1:11" x14ac:dyDescent="0.25">
      <c r="A318" t="str">
        <f>"435"</f>
        <v>435</v>
      </c>
      <c r="B318" t="str">
        <f t="shared" si="17"/>
        <v>1</v>
      </c>
      <c r="C318" t="str">
        <f t="shared" si="18"/>
        <v>18</v>
      </c>
      <c r="D318" t="str">
        <f>"12"</f>
        <v>12</v>
      </c>
      <c r="E318" t="str">
        <f>"1-18-12"</f>
        <v>1-18-12</v>
      </c>
      <c r="F318" t="s">
        <v>15</v>
      </c>
      <c r="G318" t="s">
        <v>20</v>
      </c>
      <c r="H318" t="s">
        <v>21</v>
      </c>
      <c r="I318">
        <v>0</v>
      </c>
      <c r="J318">
        <v>0</v>
      </c>
      <c r="K318">
        <v>1</v>
      </c>
    </row>
    <row r="319" spans="1:11" x14ac:dyDescent="0.25">
      <c r="A319" t="str">
        <f>"436"</f>
        <v>436</v>
      </c>
      <c r="B319" t="str">
        <f t="shared" si="17"/>
        <v>1</v>
      </c>
      <c r="C319" t="str">
        <f t="shared" si="18"/>
        <v>18</v>
      </c>
      <c r="D319" t="str">
        <f>"19"</f>
        <v>19</v>
      </c>
      <c r="E319" t="str">
        <f>"1-18-19"</f>
        <v>1-18-19</v>
      </c>
      <c r="F319" t="s">
        <v>15</v>
      </c>
      <c r="G319" t="s">
        <v>16</v>
      </c>
      <c r="H319" t="s">
        <v>17</v>
      </c>
      <c r="I319">
        <v>1</v>
      </c>
      <c r="J319">
        <v>0</v>
      </c>
      <c r="K319">
        <v>0</v>
      </c>
    </row>
    <row r="320" spans="1:11" x14ac:dyDescent="0.25">
      <c r="A320" t="str">
        <f>"437"</f>
        <v>437</v>
      </c>
      <c r="B320" t="str">
        <f t="shared" si="17"/>
        <v>1</v>
      </c>
      <c r="C320" t="str">
        <f t="shared" si="18"/>
        <v>18</v>
      </c>
      <c r="D320" t="str">
        <f>"4"</f>
        <v>4</v>
      </c>
      <c r="E320" t="str">
        <f>"1-18-4"</f>
        <v>1-18-4</v>
      </c>
      <c r="F320" t="s">
        <v>15</v>
      </c>
      <c r="G320" t="s">
        <v>16</v>
      </c>
      <c r="H320" t="s">
        <v>17</v>
      </c>
      <c r="I320">
        <v>1</v>
      </c>
      <c r="J320">
        <v>0</v>
      </c>
      <c r="K320">
        <v>0</v>
      </c>
    </row>
    <row r="321" spans="1:11" x14ac:dyDescent="0.25">
      <c r="A321" t="str">
        <f>"438"</f>
        <v>438</v>
      </c>
      <c r="B321" t="str">
        <f t="shared" si="17"/>
        <v>1</v>
      </c>
      <c r="C321" t="str">
        <f t="shared" si="18"/>
        <v>18</v>
      </c>
      <c r="D321" t="str">
        <f>"9"</f>
        <v>9</v>
      </c>
      <c r="E321" t="str">
        <f>"1-18-9"</f>
        <v>1-18-9</v>
      </c>
      <c r="F321" t="s">
        <v>15</v>
      </c>
      <c r="G321" t="s">
        <v>18</v>
      </c>
      <c r="H321" t="s">
        <v>19</v>
      </c>
      <c r="I321">
        <v>1</v>
      </c>
      <c r="J321">
        <v>0</v>
      </c>
      <c r="K321">
        <v>0</v>
      </c>
    </row>
    <row r="322" spans="1:11" x14ac:dyDescent="0.25">
      <c r="A322" t="str">
        <f>"439"</f>
        <v>439</v>
      </c>
      <c r="B322" t="str">
        <f t="shared" si="17"/>
        <v>1</v>
      </c>
      <c r="C322" t="str">
        <f t="shared" si="18"/>
        <v>18</v>
      </c>
      <c r="D322" t="str">
        <f>"3"</f>
        <v>3</v>
      </c>
      <c r="E322" t="str">
        <f>"1-18-3"</f>
        <v>1-18-3</v>
      </c>
      <c r="F322" t="s">
        <v>15</v>
      </c>
      <c r="G322" t="s">
        <v>16</v>
      </c>
      <c r="H322" t="s">
        <v>17</v>
      </c>
      <c r="I322">
        <v>0</v>
      </c>
      <c r="J322">
        <v>1</v>
      </c>
      <c r="K322">
        <v>0</v>
      </c>
    </row>
    <row r="323" spans="1:11" x14ac:dyDescent="0.25">
      <c r="A323" t="str">
        <f>"440"</f>
        <v>440</v>
      </c>
      <c r="B323" t="str">
        <f t="shared" si="17"/>
        <v>1</v>
      </c>
      <c r="C323" t="str">
        <f t="shared" si="18"/>
        <v>18</v>
      </c>
      <c r="D323" t="str">
        <f>"7"</f>
        <v>7</v>
      </c>
      <c r="E323" t="str">
        <f>"1-18-7"</f>
        <v>1-18-7</v>
      </c>
      <c r="F323" t="s">
        <v>15</v>
      </c>
      <c r="G323" t="s">
        <v>16</v>
      </c>
      <c r="H323" t="s">
        <v>17</v>
      </c>
      <c r="I323">
        <v>1</v>
      </c>
      <c r="J323">
        <v>0</v>
      </c>
      <c r="K323">
        <v>0</v>
      </c>
    </row>
    <row r="324" spans="1:11" x14ac:dyDescent="0.25">
      <c r="A324" t="str">
        <f>"441"</f>
        <v>441</v>
      </c>
      <c r="B324" t="str">
        <f t="shared" si="17"/>
        <v>1</v>
      </c>
      <c r="C324" t="str">
        <f t="shared" si="18"/>
        <v>18</v>
      </c>
      <c r="D324" t="str">
        <f>"5"</f>
        <v>5</v>
      </c>
      <c r="E324" t="str">
        <f>"1-18-5"</f>
        <v>1-18-5</v>
      </c>
      <c r="F324" t="s">
        <v>15</v>
      </c>
      <c r="G324" t="s">
        <v>16</v>
      </c>
      <c r="H324" t="s">
        <v>17</v>
      </c>
      <c r="I324">
        <v>1</v>
      </c>
      <c r="J324">
        <v>0</v>
      </c>
      <c r="K324">
        <v>0</v>
      </c>
    </row>
    <row r="325" spans="1:11" x14ac:dyDescent="0.25">
      <c r="A325" t="str">
        <f>"442"</f>
        <v>442</v>
      </c>
      <c r="B325" t="str">
        <f t="shared" si="17"/>
        <v>1</v>
      </c>
      <c r="C325" t="str">
        <f t="shared" si="18"/>
        <v>18</v>
      </c>
      <c r="D325" t="str">
        <f>"8"</f>
        <v>8</v>
      </c>
      <c r="E325" t="str">
        <f>"1-18-8"</f>
        <v>1-18-8</v>
      </c>
      <c r="F325" t="s">
        <v>15</v>
      </c>
      <c r="G325" t="s">
        <v>16</v>
      </c>
      <c r="H325" t="s">
        <v>17</v>
      </c>
      <c r="I325">
        <v>1</v>
      </c>
      <c r="J325">
        <v>0</v>
      </c>
      <c r="K325">
        <v>0</v>
      </c>
    </row>
    <row r="326" spans="1:11" x14ac:dyDescent="0.25">
      <c r="A326" t="str">
        <f>"443"</f>
        <v>443</v>
      </c>
      <c r="B326" t="str">
        <f t="shared" si="17"/>
        <v>1</v>
      </c>
      <c r="C326" t="str">
        <f t="shared" si="18"/>
        <v>18</v>
      </c>
      <c r="D326" t="str">
        <f>"11"</f>
        <v>11</v>
      </c>
      <c r="E326" t="str">
        <f>"1-18-11"</f>
        <v>1-18-11</v>
      </c>
      <c r="F326" t="s">
        <v>15</v>
      </c>
      <c r="G326" t="s">
        <v>16</v>
      </c>
      <c r="H326" t="s">
        <v>17</v>
      </c>
      <c r="I326">
        <v>0</v>
      </c>
      <c r="J326">
        <v>0</v>
      </c>
      <c r="K326">
        <v>1</v>
      </c>
    </row>
    <row r="327" spans="1:11" x14ac:dyDescent="0.25">
      <c r="A327" t="str">
        <f>"444"</f>
        <v>444</v>
      </c>
      <c r="B327" t="str">
        <f t="shared" si="17"/>
        <v>1</v>
      </c>
      <c r="C327" t="str">
        <f t="shared" si="18"/>
        <v>18</v>
      </c>
      <c r="D327" t="str">
        <f>"13"</f>
        <v>13</v>
      </c>
      <c r="E327" t="str">
        <f>"1-18-13"</f>
        <v>1-18-13</v>
      </c>
      <c r="F327" t="s">
        <v>15</v>
      </c>
      <c r="G327" t="s">
        <v>20</v>
      </c>
      <c r="H327" t="s">
        <v>21</v>
      </c>
      <c r="I327">
        <v>0</v>
      </c>
      <c r="J327">
        <v>0</v>
      </c>
      <c r="K327">
        <v>1</v>
      </c>
    </row>
    <row r="328" spans="1:11" x14ac:dyDescent="0.25">
      <c r="A328" t="str">
        <f>"445"</f>
        <v>445</v>
      </c>
      <c r="B328" t="str">
        <f t="shared" si="17"/>
        <v>1</v>
      </c>
      <c r="C328" t="str">
        <f t="shared" si="18"/>
        <v>18</v>
      </c>
      <c r="D328" t="str">
        <f>"14"</f>
        <v>14</v>
      </c>
      <c r="E328" t="str">
        <f>"1-18-14"</f>
        <v>1-18-14</v>
      </c>
      <c r="F328" t="s">
        <v>15</v>
      </c>
      <c r="G328" t="s">
        <v>16</v>
      </c>
      <c r="H328" t="s">
        <v>17</v>
      </c>
      <c r="I328">
        <v>1</v>
      </c>
      <c r="J328">
        <v>0</v>
      </c>
      <c r="K328">
        <v>0</v>
      </c>
    </row>
    <row r="329" spans="1:11" x14ac:dyDescent="0.25">
      <c r="A329" t="str">
        <f>"446"</f>
        <v>446</v>
      </c>
      <c r="B329" t="str">
        <f t="shared" si="17"/>
        <v>1</v>
      </c>
      <c r="C329" t="str">
        <f t="shared" si="18"/>
        <v>18</v>
      </c>
      <c r="D329" t="str">
        <f>"1"</f>
        <v>1</v>
      </c>
      <c r="E329" t="str">
        <f>"1-18-1"</f>
        <v>1-18-1</v>
      </c>
      <c r="F329" t="s">
        <v>15</v>
      </c>
      <c r="G329" t="s">
        <v>16</v>
      </c>
      <c r="H329" t="s">
        <v>17</v>
      </c>
      <c r="I329">
        <v>0</v>
      </c>
      <c r="J329">
        <v>0</v>
      </c>
      <c r="K329">
        <v>0</v>
      </c>
    </row>
    <row r="330" spans="1:11" x14ac:dyDescent="0.25">
      <c r="A330" t="str">
        <f>"447"</f>
        <v>447</v>
      </c>
      <c r="B330" t="str">
        <f t="shared" si="17"/>
        <v>1</v>
      </c>
      <c r="C330" t="str">
        <f t="shared" si="18"/>
        <v>18</v>
      </c>
      <c r="D330" t="str">
        <f>"20"</f>
        <v>20</v>
      </c>
      <c r="E330" t="str">
        <f>"1-18-20"</f>
        <v>1-18-20</v>
      </c>
      <c r="F330" t="s">
        <v>15</v>
      </c>
      <c r="G330" t="s">
        <v>16</v>
      </c>
      <c r="H330" t="s">
        <v>17</v>
      </c>
      <c r="I330">
        <v>0</v>
      </c>
      <c r="J330">
        <v>0</v>
      </c>
      <c r="K330">
        <v>0</v>
      </c>
    </row>
    <row r="331" spans="1:11" x14ac:dyDescent="0.25">
      <c r="A331" t="str">
        <f>"448"</f>
        <v>448</v>
      </c>
      <c r="B331" t="str">
        <f t="shared" si="17"/>
        <v>1</v>
      </c>
      <c r="C331" t="str">
        <f t="shared" si="18"/>
        <v>18</v>
      </c>
      <c r="D331" t="str">
        <f>"10"</f>
        <v>10</v>
      </c>
      <c r="E331" t="str">
        <f>"1-18-10"</f>
        <v>1-18-10</v>
      </c>
      <c r="F331" t="s">
        <v>15</v>
      </c>
      <c r="G331" t="s">
        <v>16</v>
      </c>
      <c r="H331" t="s">
        <v>17</v>
      </c>
      <c r="I331">
        <v>0</v>
      </c>
      <c r="J331">
        <v>0</v>
      </c>
      <c r="K331">
        <v>0</v>
      </c>
    </row>
    <row r="332" spans="1:11" x14ac:dyDescent="0.25">
      <c r="A332" t="str">
        <f>"449"</f>
        <v>449</v>
      </c>
      <c r="B332" t="str">
        <f t="shared" si="17"/>
        <v>1</v>
      </c>
      <c r="C332" t="str">
        <f t="shared" ref="C332:C354" si="19">"19"</f>
        <v>19</v>
      </c>
      <c r="D332" t="str">
        <f>"15"</f>
        <v>15</v>
      </c>
      <c r="E332" t="str">
        <f>"1-19-15"</f>
        <v>1-19-15</v>
      </c>
      <c r="F332" t="s">
        <v>15</v>
      </c>
      <c r="G332" t="s">
        <v>18</v>
      </c>
      <c r="H332" t="s">
        <v>19</v>
      </c>
      <c r="I332">
        <v>0</v>
      </c>
      <c r="J332">
        <v>0</v>
      </c>
      <c r="K332">
        <v>1</v>
      </c>
    </row>
    <row r="333" spans="1:11" x14ac:dyDescent="0.25">
      <c r="A333" t="str">
        <f>"450"</f>
        <v>450</v>
      </c>
      <c r="B333" t="str">
        <f t="shared" si="17"/>
        <v>1</v>
      </c>
      <c r="C333" t="str">
        <f t="shared" si="19"/>
        <v>19</v>
      </c>
      <c r="D333" t="str">
        <f>"4"</f>
        <v>4</v>
      </c>
      <c r="E333" t="str">
        <f>"1-19-4"</f>
        <v>1-19-4</v>
      </c>
      <c r="F333" t="s">
        <v>15</v>
      </c>
      <c r="G333" t="s">
        <v>20</v>
      </c>
      <c r="H333" t="s">
        <v>21</v>
      </c>
      <c r="I333">
        <v>0</v>
      </c>
      <c r="J333">
        <v>1</v>
      </c>
      <c r="K333">
        <v>0</v>
      </c>
    </row>
    <row r="334" spans="1:11" x14ac:dyDescent="0.25">
      <c r="A334" t="str">
        <f>"451"</f>
        <v>451</v>
      </c>
      <c r="B334" t="str">
        <f t="shared" si="17"/>
        <v>1</v>
      </c>
      <c r="C334" t="str">
        <f t="shared" si="19"/>
        <v>19</v>
      </c>
      <c r="D334" t="str">
        <f>"23"</f>
        <v>23</v>
      </c>
      <c r="E334" t="str">
        <f>"1-19-23"</f>
        <v>1-19-23</v>
      </c>
      <c r="F334" t="s">
        <v>15</v>
      </c>
      <c r="G334" t="s">
        <v>20</v>
      </c>
      <c r="H334" t="s">
        <v>21</v>
      </c>
      <c r="I334">
        <v>1</v>
      </c>
      <c r="J334">
        <v>0</v>
      </c>
      <c r="K334">
        <v>0</v>
      </c>
    </row>
    <row r="335" spans="1:11" x14ac:dyDescent="0.25">
      <c r="A335" t="str">
        <f>"452"</f>
        <v>452</v>
      </c>
      <c r="B335" t="str">
        <f t="shared" si="17"/>
        <v>1</v>
      </c>
      <c r="C335" t="str">
        <f t="shared" si="19"/>
        <v>19</v>
      </c>
      <c r="D335" t="str">
        <f>"16"</f>
        <v>16</v>
      </c>
      <c r="E335" t="str">
        <f>"1-19-16"</f>
        <v>1-19-16</v>
      </c>
      <c r="F335" t="s">
        <v>15</v>
      </c>
      <c r="G335" t="s">
        <v>18</v>
      </c>
      <c r="H335" t="s">
        <v>19</v>
      </c>
      <c r="I335">
        <v>0</v>
      </c>
      <c r="J335">
        <v>1</v>
      </c>
      <c r="K335">
        <v>0</v>
      </c>
    </row>
    <row r="336" spans="1:11" x14ac:dyDescent="0.25">
      <c r="A336" t="str">
        <f>"453"</f>
        <v>453</v>
      </c>
      <c r="B336" t="str">
        <f t="shared" si="17"/>
        <v>1</v>
      </c>
      <c r="C336" t="str">
        <f t="shared" si="19"/>
        <v>19</v>
      </c>
      <c r="D336" t="str">
        <f>"11"</f>
        <v>11</v>
      </c>
      <c r="E336" t="str">
        <f>"1-19-11"</f>
        <v>1-19-11</v>
      </c>
      <c r="F336" t="s">
        <v>15</v>
      </c>
      <c r="G336" t="s">
        <v>20</v>
      </c>
      <c r="H336" t="s">
        <v>21</v>
      </c>
      <c r="I336">
        <v>0</v>
      </c>
      <c r="J336">
        <v>1</v>
      </c>
      <c r="K336">
        <v>0</v>
      </c>
    </row>
    <row r="337" spans="1:11" x14ac:dyDescent="0.25">
      <c r="A337" t="str">
        <f>"454"</f>
        <v>454</v>
      </c>
      <c r="B337" t="str">
        <f t="shared" si="17"/>
        <v>1</v>
      </c>
      <c r="C337" t="str">
        <f t="shared" si="19"/>
        <v>19</v>
      </c>
      <c r="D337" t="str">
        <f>"12"</f>
        <v>12</v>
      </c>
      <c r="E337" t="str">
        <f>"1-19-12"</f>
        <v>1-19-12</v>
      </c>
      <c r="F337" t="s">
        <v>15</v>
      </c>
      <c r="G337" t="s">
        <v>16</v>
      </c>
      <c r="H337" t="s">
        <v>17</v>
      </c>
      <c r="I337">
        <v>0</v>
      </c>
      <c r="J337">
        <v>0</v>
      </c>
      <c r="K337">
        <v>1</v>
      </c>
    </row>
    <row r="338" spans="1:11" x14ac:dyDescent="0.25">
      <c r="A338" t="str">
        <f>"455"</f>
        <v>455</v>
      </c>
      <c r="B338" t="str">
        <f t="shared" si="17"/>
        <v>1</v>
      </c>
      <c r="C338" t="str">
        <f t="shared" si="19"/>
        <v>19</v>
      </c>
      <c r="D338" t="str">
        <f>"18"</f>
        <v>18</v>
      </c>
      <c r="E338" t="str">
        <f>"1-19-18"</f>
        <v>1-19-18</v>
      </c>
      <c r="F338" t="s">
        <v>15</v>
      </c>
      <c r="G338" t="s">
        <v>18</v>
      </c>
      <c r="H338" t="s">
        <v>19</v>
      </c>
      <c r="I338">
        <v>0</v>
      </c>
      <c r="J338">
        <v>0</v>
      </c>
      <c r="K338">
        <v>1</v>
      </c>
    </row>
    <row r="339" spans="1:11" x14ac:dyDescent="0.25">
      <c r="A339" t="str">
        <f>"456"</f>
        <v>456</v>
      </c>
      <c r="B339" t="str">
        <f t="shared" si="17"/>
        <v>1</v>
      </c>
      <c r="C339" t="str">
        <f t="shared" si="19"/>
        <v>19</v>
      </c>
      <c r="D339" t="str">
        <f>"2"</f>
        <v>2</v>
      </c>
      <c r="E339" t="str">
        <f>"1-19-2"</f>
        <v>1-19-2</v>
      </c>
      <c r="F339" t="s">
        <v>15</v>
      </c>
      <c r="G339" t="s">
        <v>20</v>
      </c>
      <c r="H339" t="s">
        <v>21</v>
      </c>
      <c r="I339">
        <v>0</v>
      </c>
      <c r="J339">
        <v>0</v>
      </c>
      <c r="K339">
        <v>1</v>
      </c>
    </row>
    <row r="340" spans="1:11" x14ac:dyDescent="0.25">
      <c r="A340" t="str">
        <f>"457"</f>
        <v>457</v>
      </c>
      <c r="B340" t="str">
        <f t="shared" si="17"/>
        <v>1</v>
      </c>
      <c r="C340" t="str">
        <f t="shared" si="19"/>
        <v>19</v>
      </c>
      <c r="D340" t="str">
        <f>"19"</f>
        <v>19</v>
      </c>
      <c r="E340" t="str">
        <f>"1-19-19"</f>
        <v>1-19-19</v>
      </c>
      <c r="F340" t="s">
        <v>15</v>
      </c>
      <c r="G340" t="s">
        <v>16</v>
      </c>
      <c r="H340" t="s">
        <v>17</v>
      </c>
      <c r="I340">
        <v>1</v>
      </c>
      <c r="J340">
        <v>0</v>
      </c>
      <c r="K340">
        <v>0</v>
      </c>
    </row>
    <row r="341" spans="1:11" x14ac:dyDescent="0.25">
      <c r="A341" t="str">
        <f>"458"</f>
        <v>458</v>
      </c>
      <c r="B341" t="str">
        <f t="shared" si="17"/>
        <v>1</v>
      </c>
      <c r="C341" t="str">
        <f t="shared" si="19"/>
        <v>19</v>
      </c>
      <c r="D341" t="str">
        <f>"1"</f>
        <v>1</v>
      </c>
      <c r="E341" t="str">
        <f>"1-19-1"</f>
        <v>1-19-1</v>
      </c>
      <c r="F341" t="s">
        <v>15</v>
      </c>
      <c r="G341" t="s">
        <v>16</v>
      </c>
      <c r="H341" t="s">
        <v>17</v>
      </c>
      <c r="I341">
        <v>0</v>
      </c>
      <c r="J341">
        <v>1</v>
      </c>
      <c r="K341">
        <v>0</v>
      </c>
    </row>
    <row r="342" spans="1:11" x14ac:dyDescent="0.25">
      <c r="A342" t="str">
        <f>"459"</f>
        <v>459</v>
      </c>
      <c r="B342" t="str">
        <f t="shared" si="17"/>
        <v>1</v>
      </c>
      <c r="C342" t="str">
        <f t="shared" si="19"/>
        <v>19</v>
      </c>
      <c r="D342" t="str">
        <f>"20"</f>
        <v>20</v>
      </c>
      <c r="E342" t="str">
        <f>"1-19-20"</f>
        <v>1-19-20</v>
      </c>
      <c r="F342" t="s">
        <v>15</v>
      </c>
      <c r="G342" t="s">
        <v>16</v>
      </c>
      <c r="H342" t="s">
        <v>17</v>
      </c>
      <c r="I342">
        <v>1</v>
      </c>
      <c r="J342">
        <v>0</v>
      </c>
      <c r="K342">
        <v>0</v>
      </c>
    </row>
    <row r="343" spans="1:11" x14ac:dyDescent="0.25">
      <c r="A343" t="str">
        <f>"460"</f>
        <v>460</v>
      </c>
      <c r="B343" t="str">
        <f t="shared" si="17"/>
        <v>1</v>
      </c>
      <c r="C343" t="str">
        <f t="shared" si="19"/>
        <v>19</v>
      </c>
      <c r="D343" t="str">
        <f>"6"</f>
        <v>6</v>
      </c>
      <c r="E343" t="str">
        <f>"1-19-6"</f>
        <v>1-19-6</v>
      </c>
      <c r="F343" t="s">
        <v>15</v>
      </c>
      <c r="G343" t="s">
        <v>18</v>
      </c>
      <c r="H343" t="s">
        <v>19</v>
      </c>
      <c r="I343">
        <v>1</v>
      </c>
      <c r="J343">
        <v>0</v>
      </c>
      <c r="K343">
        <v>0</v>
      </c>
    </row>
    <row r="344" spans="1:11" x14ac:dyDescent="0.25">
      <c r="A344" t="str">
        <f>"461"</f>
        <v>461</v>
      </c>
      <c r="B344" t="str">
        <f t="shared" si="17"/>
        <v>1</v>
      </c>
      <c r="C344" t="str">
        <f t="shared" si="19"/>
        <v>19</v>
      </c>
      <c r="D344" t="str">
        <f>"21"</f>
        <v>21</v>
      </c>
      <c r="E344" t="str">
        <f>"1-19-21"</f>
        <v>1-19-21</v>
      </c>
      <c r="F344" t="s">
        <v>15</v>
      </c>
      <c r="G344" t="s">
        <v>16</v>
      </c>
      <c r="H344" t="s">
        <v>17</v>
      </c>
      <c r="I344">
        <v>0</v>
      </c>
      <c r="J344">
        <v>0</v>
      </c>
      <c r="K344">
        <v>1</v>
      </c>
    </row>
    <row r="345" spans="1:11" x14ac:dyDescent="0.25">
      <c r="A345" t="str">
        <f>"462"</f>
        <v>462</v>
      </c>
      <c r="B345" t="str">
        <f t="shared" si="17"/>
        <v>1</v>
      </c>
      <c r="C345" t="str">
        <f t="shared" si="19"/>
        <v>19</v>
      </c>
      <c r="D345" t="str">
        <f>"9"</f>
        <v>9</v>
      </c>
      <c r="E345" t="str">
        <f>"1-19-9"</f>
        <v>1-19-9</v>
      </c>
      <c r="F345" t="s">
        <v>15</v>
      </c>
      <c r="G345" t="s">
        <v>16</v>
      </c>
      <c r="H345" t="s">
        <v>17</v>
      </c>
      <c r="I345">
        <v>0</v>
      </c>
      <c r="J345">
        <v>1</v>
      </c>
      <c r="K345">
        <v>0</v>
      </c>
    </row>
    <row r="346" spans="1:11" x14ac:dyDescent="0.25">
      <c r="A346" t="str">
        <f>"463"</f>
        <v>463</v>
      </c>
      <c r="B346" t="str">
        <f t="shared" si="17"/>
        <v>1</v>
      </c>
      <c r="C346" t="str">
        <f t="shared" si="19"/>
        <v>19</v>
      </c>
      <c r="D346" t="str">
        <f>"22"</f>
        <v>22</v>
      </c>
      <c r="E346" t="str">
        <f>"1-19-22"</f>
        <v>1-19-22</v>
      </c>
      <c r="F346" t="s">
        <v>15</v>
      </c>
      <c r="G346" t="s">
        <v>16</v>
      </c>
      <c r="H346" t="s">
        <v>17</v>
      </c>
      <c r="I346">
        <v>1</v>
      </c>
      <c r="J346">
        <v>0</v>
      </c>
      <c r="K346">
        <v>0</v>
      </c>
    </row>
    <row r="347" spans="1:11" x14ac:dyDescent="0.25">
      <c r="A347" t="str">
        <f>"464"</f>
        <v>464</v>
      </c>
      <c r="B347" t="str">
        <f t="shared" si="17"/>
        <v>1</v>
      </c>
      <c r="C347" t="str">
        <f t="shared" si="19"/>
        <v>19</v>
      </c>
      <c r="D347" t="str">
        <f>"5"</f>
        <v>5</v>
      </c>
      <c r="E347" t="str">
        <f>"1-19-5"</f>
        <v>1-19-5</v>
      </c>
      <c r="F347" t="s">
        <v>15</v>
      </c>
      <c r="G347" t="s">
        <v>18</v>
      </c>
      <c r="H347" t="s">
        <v>19</v>
      </c>
      <c r="I347">
        <v>1</v>
      </c>
      <c r="J347">
        <v>0</v>
      </c>
      <c r="K347">
        <v>0</v>
      </c>
    </row>
    <row r="348" spans="1:11" x14ac:dyDescent="0.25">
      <c r="A348" t="str">
        <f>"465"</f>
        <v>465</v>
      </c>
      <c r="B348" t="str">
        <f t="shared" si="17"/>
        <v>1</v>
      </c>
      <c r="C348" t="str">
        <f t="shared" si="19"/>
        <v>19</v>
      </c>
      <c r="D348" t="str">
        <f>"7"</f>
        <v>7</v>
      </c>
      <c r="E348" t="str">
        <f>"1-19-7"</f>
        <v>1-19-7</v>
      </c>
      <c r="F348" t="s">
        <v>15</v>
      </c>
      <c r="G348" t="s">
        <v>18</v>
      </c>
      <c r="H348" t="s">
        <v>19</v>
      </c>
      <c r="I348">
        <v>0</v>
      </c>
      <c r="J348">
        <v>0</v>
      </c>
      <c r="K348">
        <v>1</v>
      </c>
    </row>
    <row r="349" spans="1:11" x14ac:dyDescent="0.25">
      <c r="A349" t="str">
        <f>"466"</f>
        <v>466</v>
      </c>
      <c r="B349" t="str">
        <f t="shared" si="17"/>
        <v>1</v>
      </c>
      <c r="C349" t="str">
        <f t="shared" si="19"/>
        <v>19</v>
      </c>
      <c r="D349" t="str">
        <f>"13"</f>
        <v>13</v>
      </c>
      <c r="E349" t="str">
        <f>"1-19-13"</f>
        <v>1-19-13</v>
      </c>
      <c r="F349" t="s">
        <v>15</v>
      </c>
      <c r="G349" t="s">
        <v>16</v>
      </c>
      <c r="H349" t="s">
        <v>17</v>
      </c>
      <c r="I349">
        <v>0</v>
      </c>
      <c r="J349">
        <v>1</v>
      </c>
      <c r="K349">
        <v>0</v>
      </c>
    </row>
    <row r="350" spans="1:11" x14ac:dyDescent="0.25">
      <c r="A350" t="str">
        <f>"467"</f>
        <v>467</v>
      </c>
      <c r="B350" t="str">
        <f t="shared" si="17"/>
        <v>1</v>
      </c>
      <c r="C350" t="str">
        <f t="shared" si="19"/>
        <v>19</v>
      </c>
      <c r="D350" t="str">
        <f>"3"</f>
        <v>3</v>
      </c>
      <c r="E350" t="str">
        <f>"1-19-3"</f>
        <v>1-19-3</v>
      </c>
      <c r="F350" t="s">
        <v>15</v>
      </c>
      <c r="G350" t="s">
        <v>16</v>
      </c>
      <c r="H350" t="s">
        <v>17</v>
      </c>
      <c r="I350">
        <v>0</v>
      </c>
      <c r="J350">
        <v>1</v>
      </c>
      <c r="K350">
        <v>0</v>
      </c>
    </row>
    <row r="351" spans="1:11" x14ac:dyDescent="0.25">
      <c r="A351" t="str">
        <f>"468"</f>
        <v>468</v>
      </c>
      <c r="B351" t="str">
        <f t="shared" si="17"/>
        <v>1</v>
      </c>
      <c r="C351" t="str">
        <f t="shared" si="19"/>
        <v>19</v>
      </c>
      <c r="D351" t="str">
        <f>"14"</f>
        <v>14</v>
      </c>
      <c r="E351" t="str">
        <f>"1-19-14"</f>
        <v>1-19-14</v>
      </c>
      <c r="F351" t="s">
        <v>15</v>
      </c>
      <c r="G351" t="s">
        <v>16</v>
      </c>
      <c r="H351" t="s">
        <v>17</v>
      </c>
      <c r="I351">
        <v>0</v>
      </c>
      <c r="J351">
        <v>1</v>
      </c>
      <c r="K351">
        <v>0</v>
      </c>
    </row>
    <row r="352" spans="1:11" x14ac:dyDescent="0.25">
      <c r="A352" t="str">
        <f>"469"</f>
        <v>469</v>
      </c>
      <c r="B352" t="str">
        <f t="shared" si="17"/>
        <v>1</v>
      </c>
      <c r="C352" t="str">
        <f t="shared" si="19"/>
        <v>19</v>
      </c>
      <c r="D352" t="str">
        <f>"17"</f>
        <v>17</v>
      </c>
      <c r="E352" t="str">
        <f>"1-19-17"</f>
        <v>1-19-17</v>
      </c>
      <c r="F352" t="s">
        <v>15</v>
      </c>
      <c r="G352" t="s">
        <v>20</v>
      </c>
      <c r="H352" t="s">
        <v>21</v>
      </c>
      <c r="I352">
        <v>0</v>
      </c>
      <c r="J352">
        <v>0</v>
      </c>
      <c r="K352">
        <v>0</v>
      </c>
    </row>
    <row r="353" spans="1:11" x14ac:dyDescent="0.25">
      <c r="A353" t="str">
        <f>"470"</f>
        <v>470</v>
      </c>
      <c r="B353" t="str">
        <f t="shared" si="17"/>
        <v>1</v>
      </c>
      <c r="C353" t="str">
        <f t="shared" si="19"/>
        <v>19</v>
      </c>
      <c r="D353" t="str">
        <f>"10"</f>
        <v>10</v>
      </c>
      <c r="E353" t="str">
        <f>"1-19-10"</f>
        <v>1-19-10</v>
      </c>
      <c r="F353" t="s">
        <v>15</v>
      </c>
      <c r="G353" t="s">
        <v>18</v>
      </c>
      <c r="H353" t="s">
        <v>19</v>
      </c>
      <c r="I353">
        <v>0</v>
      </c>
      <c r="J353">
        <v>1</v>
      </c>
      <c r="K353">
        <v>0</v>
      </c>
    </row>
    <row r="354" spans="1:11" x14ac:dyDescent="0.25">
      <c r="A354" t="str">
        <f>"471"</f>
        <v>471</v>
      </c>
      <c r="B354" t="str">
        <f t="shared" si="17"/>
        <v>1</v>
      </c>
      <c r="C354" t="str">
        <f t="shared" si="19"/>
        <v>19</v>
      </c>
      <c r="D354" t="str">
        <f>"8"</f>
        <v>8</v>
      </c>
      <c r="E354" t="str">
        <f>"1-19-8"</f>
        <v>1-19-8</v>
      </c>
      <c r="F354" t="s">
        <v>15</v>
      </c>
      <c r="G354" t="s">
        <v>16</v>
      </c>
      <c r="H354" t="s">
        <v>17</v>
      </c>
      <c r="I354">
        <v>0</v>
      </c>
      <c r="J354">
        <v>0</v>
      </c>
      <c r="K354">
        <v>0</v>
      </c>
    </row>
    <row r="355" spans="1:11" x14ac:dyDescent="0.25">
      <c r="A355" t="str">
        <f>"489"</f>
        <v>489</v>
      </c>
      <c r="B355" t="str">
        <f t="shared" ref="B355:B383" si="20">"1"</f>
        <v>1</v>
      </c>
      <c r="C355" t="str">
        <f t="shared" ref="C355:C373" si="21">"21"</f>
        <v>21</v>
      </c>
      <c r="D355" t="str">
        <f>"18"</f>
        <v>18</v>
      </c>
      <c r="E355" t="str">
        <f>"1-21-18"</f>
        <v>1-21-18</v>
      </c>
      <c r="F355" t="s">
        <v>15</v>
      </c>
      <c r="G355" t="s">
        <v>18</v>
      </c>
      <c r="H355" t="s">
        <v>19</v>
      </c>
      <c r="I355">
        <v>1</v>
      </c>
      <c r="J355">
        <v>0</v>
      </c>
      <c r="K355">
        <v>0</v>
      </c>
    </row>
    <row r="356" spans="1:11" x14ac:dyDescent="0.25">
      <c r="A356" t="str">
        <f>"490"</f>
        <v>490</v>
      </c>
      <c r="B356" t="str">
        <f t="shared" si="20"/>
        <v>1</v>
      </c>
      <c r="C356" t="str">
        <f t="shared" si="21"/>
        <v>21</v>
      </c>
      <c r="D356" t="str">
        <f>"15"</f>
        <v>15</v>
      </c>
      <c r="E356" t="str">
        <f>"1-21-15"</f>
        <v>1-21-15</v>
      </c>
      <c r="F356" t="s">
        <v>15</v>
      </c>
      <c r="G356" t="s">
        <v>18</v>
      </c>
      <c r="H356" t="s">
        <v>19</v>
      </c>
      <c r="I356">
        <v>1</v>
      </c>
      <c r="J356">
        <v>0</v>
      </c>
      <c r="K356">
        <v>0</v>
      </c>
    </row>
    <row r="357" spans="1:11" x14ac:dyDescent="0.25">
      <c r="A357" t="str">
        <f>"491"</f>
        <v>491</v>
      </c>
      <c r="B357" t="str">
        <f t="shared" si="20"/>
        <v>1</v>
      </c>
      <c r="C357" t="str">
        <f t="shared" si="21"/>
        <v>21</v>
      </c>
      <c r="D357" t="str">
        <f>"9"</f>
        <v>9</v>
      </c>
      <c r="E357" t="str">
        <f>"1-21-9"</f>
        <v>1-21-9</v>
      </c>
      <c r="F357" t="s">
        <v>15</v>
      </c>
      <c r="G357" t="s">
        <v>18</v>
      </c>
      <c r="H357" t="s">
        <v>19</v>
      </c>
      <c r="I357">
        <v>0</v>
      </c>
      <c r="J357">
        <v>1</v>
      </c>
      <c r="K357">
        <v>0</v>
      </c>
    </row>
    <row r="358" spans="1:11" x14ac:dyDescent="0.25">
      <c r="A358" t="str">
        <f>"492"</f>
        <v>492</v>
      </c>
      <c r="B358" t="str">
        <f t="shared" si="20"/>
        <v>1</v>
      </c>
      <c r="C358" t="str">
        <f t="shared" si="21"/>
        <v>21</v>
      </c>
      <c r="D358" t="str">
        <f>"16"</f>
        <v>16</v>
      </c>
      <c r="E358" t="str">
        <f>"1-21-16"</f>
        <v>1-21-16</v>
      </c>
      <c r="F358" t="s">
        <v>15</v>
      </c>
      <c r="G358" t="s">
        <v>18</v>
      </c>
      <c r="H358" t="s">
        <v>19</v>
      </c>
      <c r="I358">
        <v>0</v>
      </c>
      <c r="J358">
        <v>1</v>
      </c>
      <c r="K358">
        <v>0</v>
      </c>
    </row>
    <row r="359" spans="1:11" x14ac:dyDescent="0.25">
      <c r="A359" t="str">
        <f>"493"</f>
        <v>493</v>
      </c>
      <c r="B359" t="str">
        <f t="shared" si="20"/>
        <v>1</v>
      </c>
      <c r="C359" t="str">
        <f t="shared" si="21"/>
        <v>21</v>
      </c>
      <c r="D359" t="str">
        <f>"6"</f>
        <v>6</v>
      </c>
      <c r="E359" t="str">
        <f>"1-21-6"</f>
        <v>1-21-6</v>
      </c>
      <c r="F359" t="s">
        <v>15</v>
      </c>
      <c r="G359" t="s">
        <v>18</v>
      </c>
      <c r="H359" t="s">
        <v>19</v>
      </c>
      <c r="I359">
        <v>0</v>
      </c>
      <c r="J359">
        <v>0</v>
      </c>
      <c r="K359">
        <v>1</v>
      </c>
    </row>
    <row r="360" spans="1:11" x14ac:dyDescent="0.25">
      <c r="A360" t="str">
        <f>"494"</f>
        <v>494</v>
      </c>
      <c r="B360" t="str">
        <f t="shared" si="20"/>
        <v>1</v>
      </c>
      <c r="C360" t="str">
        <f t="shared" si="21"/>
        <v>21</v>
      </c>
      <c r="D360" t="str">
        <f>"17"</f>
        <v>17</v>
      </c>
      <c r="E360" t="str">
        <f>"1-21-17"</f>
        <v>1-21-17</v>
      </c>
      <c r="F360" t="s">
        <v>15</v>
      </c>
      <c r="G360" t="s">
        <v>18</v>
      </c>
      <c r="H360" t="s">
        <v>19</v>
      </c>
      <c r="I360">
        <v>1</v>
      </c>
      <c r="J360">
        <v>0</v>
      </c>
      <c r="K360">
        <v>0</v>
      </c>
    </row>
    <row r="361" spans="1:11" x14ac:dyDescent="0.25">
      <c r="A361" t="str">
        <f>"495"</f>
        <v>495</v>
      </c>
      <c r="B361" t="str">
        <f t="shared" si="20"/>
        <v>1</v>
      </c>
      <c r="C361" t="str">
        <f t="shared" si="21"/>
        <v>21</v>
      </c>
      <c r="D361" t="str">
        <f>"14"</f>
        <v>14</v>
      </c>
      <c r="E361" t="str">
        <f>"1-21-14"</f>
        <v>1-21-14</v>
      </c>
      <c r="F361" t="s">
        <v>15</v>
      </c>
      <c r="G361" t="s">
        <v>18</v>
      </c>
      <c r="H361" t="s">
        <v>19</v>
      </c>
      <c r="I361">
        <v>0</v>
      </c>
      <c r="J361">
        <v>0</v>
      </c>
      <c r="K361">
        <v>1</v>
      </c>
    </row>
    <row r="362" spans="1:11" x14ac:dyDescent="0.25">
      <c r="A362" t="str">
        <f>"496"</f>
        <v>496</v>
      </c>
      <c r="B362" t="str">
        <f t="shared" si="20"/>
        <v>1</v>
      </c>
      <c r="C362" t="str">
        <f t="shared" si="21"/>
        <v>21</v>
      </c>
      <c r="D362" t="str">
        <f>"19"</f>
        <v>19</v>
      </c>
      <c r="E362" t="str">
        <f>"1-21-19"</f>
        <v>1-21-19</v>
      </c>
      <c r="F362" t="s">
        <v>15</v>
      </c>
      <c r="G362" t="s">
        <v>18</v>
      </c>
      <c r="H362" t="s">
        <v>19</v>
      </c>
      <c r="I362">
        <v>0</v>
      </c>
      <c r="J362">
        <v>1</v>
      </c>
      <c r="K362">
        <v>0</v>
      </c>
    </row>
    <row r="363" spans="1:11" x14ac:dyDescent="0.25">
      <c r="A363" t="str">
        <f>"497"</f>
        <v>497</v>
      </c>
      <c r="B363" t="str">
        <f t="shared" si="20"/>
        <v>1</v>
      </c>
      <c r="C363" t="str">
        <f t="shared" si="21"/>
        <v>21</v>
      </c>
      <c r="D363" t="str">
        <f>"10"</f>
        <v>10</v>
      </c>
      <c r="E363" t="str">
        <f>"1-21-10"</f>
        <v>1-21-10</v>
      </c>
      <c r="F363" t="s">
        <v>15</v>
      </c>
      <c r="G363" t="s">
        <v>18</v>
      </c>
      <c r="H363" t="s">
        <v>19</v>
      </c>
      <c r="I363">
        <v>0</v>
      </c>
      <c r="J363">
        <v>1</v>
      </c>
      <c r="K363">
        <v>0</v>
      </c>
    </row>
    <row r="364" spans="1:11" x14ac:dyDescent="0.25">
      <c r="A364" t="str">
        <f>"498"</f>
        <v>498</v>
      </c>
      <c r="B364" t="str">
        <f t="shared" si="20"/>
        <v>1</v>
      </c>
      <c r="C364" t="str">
        <f t="shared" si="21"/>
        <v>21</v>
      </c>
      <c r="D364" t="str">
        <f>"2"</f>
        <v>2</v>
      </c>
      <c r="E364" t="str">
        <f>"1-21-2"</f>
        <v>1-21-2</v>
      </c>
      <c r="F364" t="s">
        <v>15</v>
      </c>
      <c r="G364" t="s">
        <v>18</v>
      </c>
      <c r="H364" t="s">
        <v>19</v>
      </c>
      <c r="I364">
        <v>0</v>
      </c>
      <c r="J364">
        <v>1</v>
      </c>
      <c r="K364">
        <v>0</v>
      </c>
    </row>
    <row r="365" spans="1:11" x14ac:dyDescent="0.25">
      <c r="A365" t="str">
        <f>"499"</f>
        <v>499</v>
      </c>
      <c r="B365" t="str">
        <f t="shared" si="20"/>
        <v>1</v>
      </c>
      <c r="C365" t="str">
        <f t="shared" si="21"/>
        <v>21</v>
      </c>
      <c r="D365" t="str">
        <f>"4"</f>
        <v>4</v>
      </c>
      <c r="E365" t="str">
        <f>"1-21-4"</f>
        <v>1-21-4</v>
      </c>
      <c r="F365" t="s">
        <v>15</v>
      </c>
      <c r="G365" t="s">
        <v>18</v>
      </c>
      <c r="H365" t="s">
        <v>19</v>
      </c>
      <c r="I365">
        <v>1</v>
      </c>
      <c r="J365">
        <v>0</v>
      </c>
      <c r="K365">
        <v>0</v>
      </c>
    </row>
    <row r="366" spans="1:11" x14ac:dyDescent="0.25">
      <c r="A366" t="str">
        <f>"500"</f>
        <v>500</v>
      </c>
      <c r="B366" t="str">
        <f t="shared" si="20"/>
        <v>1</v>
      </c>
      <c r="C366" t="str">
        <f t="shared" si="21"/>
        <v>21</v>
      </c>
      <c r="D366" t="str">
        <f>"13"</f>
        <v>13</v>
      </c>
      <c r="E366" t="str">
        <f>"1-21-13"</f>
        <v>1-21-13</v>
      </c>
      <c r="F366" t="s">
        <v>15</v>
      </c>
      <c r="G366" t="s">
        <v>18</v>
      </c>
      <c r="H366" t="s">
        <v>19</v>
      </c>
      <c r="I366">
        <v>0</v>
      </c>
      <c r="J366">
        <v>0</v>
      </c>
      <c r="K366">
        <v>1</v>
      </c>
    </row>
    <row r="367" spans="1:11" x14ac:dyDescent="0.25">
      <c r="A367" t="str">
        <f>"501"</f>
        <v>501</v>
      </c>
      <c r="B367" t="str">
        <f t="shared" si="20"/>
        <v>1</v>
      </c>
      <c r="C367" t="str">
        <f t="shared" si="21"/>
        <v>21</v>
      </c>
      <c r="D367" t="str">
        <f>"8"</f>
        <v>8</v>
      </c>
      <c r="E367" t="str">
        <f>"1-21-8"</f>
        <v>1-21-8</v>
      </c>
      <c r="F367" t="s">
        <v>15</v>
      </c>
      <c r="G367" t="s">
        <v>18</v>
      </c>
      <c r="H367" t="s">
        <v>19</v>
      </c>
      <c r="I367">
        <v>1</v>
      </c>
      <c r="J367">
        <v>0</v>
      </c>
      <c r="K367">
        <v>0</v>
      </c>
    </row>
    <row r="368" spans="1:11" x14ac:dyDescent="0.25">
      <c r="A368" t="str">
        <f>"502"</f>
        <v>502</v>
      </c>
      <c r="B368" t="str">
        <f t="shared" si="20"/>
        <v>1</v>
      </c>
      <c r="C368" t="str">
        <f t="shared" si="21"/>
        <v>21</v>
      </c>
      <c r="D368" t="str">
        <f>"3"</f>
        <v>3</v>
      </c>
      <c r="E368" t="str">
        <f>"1-21-3"</f>
        <v>1-21-3</v>
      </c>
      <c r="F368" t="s">
        <v>15</v>
      </c>
      <c r="G368" t="s">
        <v>18</v>
      </c>
      <c r="H368" t="s">
        <v>19</v>
      </c>
      <c r="I368">
        <v>0</v>
      </c>
      <c r="J368">
        <v>1</v>
      </c>
      <c r="K368">
        <v>0</v>
      </c>
    </row>
    <row r="369" spans="1:11" x14ac:dyDescent="0.25">
      <c r="A369" t="str">
        <f>"503"</f>
        <v>503</v>
      </c>
      <c r="B369" t="str">
        <f t="shared" si="20"/>
        <v>1</v>
      </c>
      <c r="C369" t="str">
        <f t="shared" si="21"/>
        <v>21</v>
      </c>
      <c r="D369" t="str">
        <f>"12"</f>
        <v>12</v>
      </c>
      <c r="E369" t="str">
        <f>"1-21-12"</f>
        <v>1-21-12</v>
      </c>
      <c r="F369" t="s">
        <v>15</v>
      </c>
      <c r="G369" t="s">
        <v>18</v>
      </c>
      <c r="H369" t="s">
        <v>19</v>
      </c>
      <c r="I369">
        <v>0</v>
      </c>
      <c r="J369">
        <v>1</v>
      </c>
      <c r="K369">
        <v>0</v>
      </c>
    </row>
    <row r="370" spans="1:11" x14ac:dyDescent="0.25">
      <c r="A370" t="str">
        <f>"504"</f>
        <v>504</v>
      </c>
      <c r="B370" t="str">
        <f t="shared" si="20"/>
        <v>1</v>
      </c>
      <c r="C370" t="str">
        <f t="shared" si="21"/>
        <v>21</v>
      </c>
      <c r="D370" t="str">
        <f>"5"</f>
        <v>5</v>
      </c>
      <c r="E370" t="str">
        <f>"1-21-5"</f>
        <v>1-21-5</v>
      </c>
      <c r="F370" t="s">
        <v>15</v>
      </c>
      <c r="G370" t="s">
        <v>18</v>
      </c>
      <c r="H370" t="s">
        <v>19</v>
      </c>
      <c r="I370">
        <v>0</v>
      </c>
      <c r="J370">
        <v>0</v>
      </c>
      <c r="K370">
        <v>1</v>
      </c>
    </row>
    <row r="371" spans="1:11" x14ac:dyDescent="0.25">
      <c r="A371" t="str">
        <f>"505"</f>
        <v>505</v>
      </c>
      <c r="B371" t="str">
        <f t="shared" si="20"/>
        <v>1</v>
      </c>
      <c r="C371" t="str">
        <f t="shared" si="21"/>
        <v>21</v>
      </c>
      <c r="D371" t="str">
        <f>"7"</f>
        <v>7</v>
      </c>
      <c r="E371" t="str">
        <f>"1-21-7"</f>
        <v>1-21-7</v>
      </c>
      <c r="F371" t="s">
        <v>15</v>
      </c>
      <c r="G371" t="s">
        <v>18</v>
      </c>
      <c r="H371" t="s">
        <v>19</v>
      </c>
      <c r="I371">
        <v>0</v>
      </c>
      <c r="J371">
        <v>0</v>
      </c>
      <c r="K371">
        <v>1</v>
      </c>
    </row>
    <row r="372" spans="1:11" x14ac:dyDescent="0.25">
      <c r="A372" t="str">
        <f>"506"</f>
        <v>506</v>
      </c>
      <c r="B372" t="str">
        <f t="shared" si="20"/>
        <v>1</v>
      </c>
      <c r="C372" t="str">
        <f t="shared" si="21"/>
        <v>21</v>
      </c>
      <c r="D372" t="str">
        <f>"1"</f>
        <v>1</v>
      </c>
      <c r="E372" t="str">
        <f>"1-21-1"</f>
        <v>1-21-1</v>
      </c>
      <c r="F372" t="s">
        <v>15</v>
      </c>
      <c r="G372" t="s">
        <v>18</v>
      </c>
      <c r="H372" t="s">
        <v>19</v>
      </c>
      <c r="I372">
        <v>0</v>
      </c>
      <c r="J372">
        <v>0</v>
      </c>
      <c r="K372">
        <v>0</v>
      </c>
    </row>
    <row r="373" spans="1:11" x14ac:dyDescent="0.25">
      <c r="A373" t="str">
        <f>"507"</f>
        <v>507</v>
      </c>
      <c r="B373" t="str">
        <f t="shared" si="20"/>
        <v>1</v>
      </c>
      <c r="C373" t="str">
        <f t="shared" si="21"/>
        <v>21</v>
      </c>
      <c r="D373" t="str">
        <f>"11"</f>
        <v>11</v>
      </c>
      <c r="E373" t="str">
        <f>"1-21-11"</f>
        <v>1-21-11</v>
      </c>
      <c r="F373" t="s">
        <v>15</v>
      </c>
      <c r="G373" t="s">
        <v>18</v>
      </c>
      <c r="H373" t="s">
        <v>19</v>
      </c>
      <c r="I373">
        <v>0</v>
      </c>
      <c r="J373">
        <v>1</v>
      </c>
      <c r="K373">
        <v>0</v>
      </c>
    </row>
    <row r="374" spans="1:11" x14ac:dyDescent="0.25">
      <c r="A374" t="str">
        <f>"528"</f>
        <v>528</v>
      </c>
      <c r="B374" t="str">
        <f t="shared" si="20"/>
        <v>1</v>
      </c>
      <c r="C374" t="str">
        <f t="shared" ref="C374:C400" si="22">"23"</f>
        <v>23</v>
      </c>
      <c r="D374" t="str">
        <f>"15"</f>
        <v>15</v>
      </c>
      <c r="E374" t="str">
        <f>"1-23-15"</f>
        <v>1-23-15</v>
      </c>
      <c r="F374" t="s">
        <v>15</v>
      </c>
      <c r="G374" t="s">
        <v>18</v>
      </c>
      <c r="H374" t="s">
        <v>19</v>
      </c>
      <c r="I374">
        <v>0</v>
      </c>
      <c r="J374">
        <v>1</v>
      </c>
      <c r="K374">
        <v>0</v>
      </c>
    </row>
    <row r="375" spans="1:11" x14ac:dyDescent="0.25">
      <c r="A375" t="str">
        <f>"529"</f>
        <v>529</v>
      </c>
      <c r="B375" t="str">
        <f t="shared" si="20"/>
        <v>1</v>
      </c>
      <c r="C375" t="str">
        <f t="shared" si="22"/>
        <v>23</v>
      </c>
      <c r="D375" t="str">
        <f>"1"</f>
        <v>1</v>
      </c>
      <c r="E375" t="str">
        <f>"1-23-1"</f>
        <v>1-23-1</v>
      </c>
      <c r="F375" t="s">
        <v>15</v>
      </c>
      <c r="G375" t="s">
        <v>16</v>
      </c>
      <c r="H375" t="s">
        <v>17</v>
      </c>
      <c r="I375">
        <v>1</v>
      </c>
      <c r="J375">
        <v>0</v>
      </c>
      <c r="K375">
        <v>0</v>
      </c>
    </row>
    <row r="376" spans="1:11" x14ac:dyDescent="0.25">
      <c r="A376" t="str">
        <f>"530"</f>
        <v>530</v>
      </c>
      <c r="B376" t="str">
        <f t="shared" si="20"/>
        <v>1</v>
      </c>
      <c r="C376" t="str">
        <f t="shared" si="22"/>
        <v>23</v>
      </c>
      <c r="D376" t="str">
        <f>"19"</f>
        <v>19</v>
      </c>
      <c r="E376" t="str">
        <f>"1-23-19"</f>
        <v>1-23-19</v>
      </c>
      <c r="F376" t="s">
        <v>15</v>
      </c>
      <c r="G376" t="s">
        <v>16</v>
      </c>
      <c r="H376" t="s">
        <v>17</v>
      </c>
      <c r="I376">
        <v>1</v>
      </c>
      <c r="J376">
        <v>0</v>
      </c>
      <c r="K376">
        <v>0</v>
      </c>
    </row>
    <row r="377" spans="1:11" x14ac:dyDescent="0.25">
      <c r="A377" t="str">
        <f>"531"</f>
        <v>531</v>
      </c>
      <c r="B377" t="str">
        <f t="shared" si="20"/>
        <v>1</v>
      </c>
      <c r="C377" t="str">
        <f t="shared" si="22"/>
        <v>23</v>
      </c>
      <c r="D377" t="str">
        <f>"16"</f>
        <v>16</v>
      </c>
      <c r="E377" t="str">
        <f>"1-23-16"</f>
        <v>1-23-16</v>
      </c>
      <c r="F377" t="s">
        <v>15</v>
      </c>
      <c r="G377" t="s">
        <v>18</v>
      </c>
      <c r="H377" t="s">
        <v>19</v>
      </c>
      <c r="I377">
        <v>0</v>
      </c>
      <c r="J377">
        <v>1</v>
      </c>
      <c r="K377">
        <v>0</v>
      </c>
    </row>
    <row r="378" spans="1:11" x14ac:dyDescent="0.25">
      <c r="A378" t="str">
        <f>"532"</f>
        <v>532</v>
      </c>
      <c r="B378" t="str">
        <f t="shared" si="20"/>
        <v>1</v>
      </c>
      <c r="C378" t="str">
        <f t="shared" si="22"/>
        <v>23</v>
      </c>
      <c r="D378" t="str">
        <f>"5"</f>
        <v>5</v>
      </c>
      <c r="E378" t="str">
        <f>"1-23-5"</f>
        <v>1-23-5</v>
      </c>
      <c r="F378" t="s">
        <v>15</v>
      </c>
      <c r="G378" t="s">
        <v>18</v>
      </c>
      <c r="H378" t="s">
        <v>19</v>
      </c>
      <c r="I378">
        <v>1</v>
      </c>
      <c r="J378">
        <v>0</v>
      </c>
      <c r="K378">
        <v>0</v>
      </c>
    </row>
    <row r="379" spans="1:11" x14ac:dyDescent="0.25">
      <c r="A379" t="str">
        <f>"533"</f>
        <v>533</v>
      </c>
      <c r="B379" t="str">
        <f t="shared" si="20"/>
        <v>1</v>
      </c>
      <c r="C379" t="str">
        <f t="shared" si="22"/>
        <v>23</v>
      </c>
      <c r="D379" t="str">
        <f>"17"</f>
        <v>17</v>
      </c>
      <c r="E379" t="str">
        <f>"1-23-17"</f>
        <v>1-23-17</v>
      </c>
      <c r="F379" t="s">
        <v>15</v>
      </c>
      <c r="G379" t="s">
        <v>18</v>
      </c>
      <c r="H379" t="s">
        <v>19</v>
      </c>
      <c r="I379">
        <v>1</v>
      </c>
      <c r="J379">
        <v>0</v>
      </c>
      <c r="K379">
        <v>0</v>
      </c>
    </row>
    <row r="380" spans="1:11" x14ac:dyDescent="0.25">
      <c r="A380" t="str">
        <f>"534"</f>
        <v>534</v>
      </c>
      <c r="B380" t="str">
        <f t="shared" si="20"/>
        <v>1</v>
      </c>
      <c r="C380" t="str">
        <f t="shared" si="22"/>
        <v>23</v>
      </c>
      <c r="D380" t="str">
        <f>"11"</f>
        <v>11</v>
      </c>
      <c r="E380" t="str">
        <f>"1-23-11"</f>
        <v>1-23-11</v>
      </c>
      <c r="F380" t="s">
        <v>15</v>
      </c>
      <c r="G380" t="s">
        <v>16</v>
      </c>
      <c r="H380" t="s">
        <v>17</v>
      </c>
      <c r="I380">
        <v>0</v>
      </c>
      <c r="J380">
        <v>1</v>
      </c>
      <c r="K380">
        <v>0</v>
      </c>
    </row>
    <row r="381" spans="1:11" x14ac:dyDescent="0.25">
      <c r="A381" t="str">
        <f>"535"</f>
        <v>535</v>
      </c>
      <c r="B381" t="str">
        <f t="shared" si="20"/>
        <v>1</v>
      </c>
      <c r="C381" t="str">
        <f t="shared" si="22"/>
        <v>23</v>
      </c>
      <c r="D381" t="str">
        <f>"20"</f>
        <v>20</v>
      </c>
      <c r="E381" t="str">
        <f>"1-23-20"</f>
        <v>1-23-20</v>
      </c>
      <c r="F381" t="s">
        <v>15</v>
      </c>
      <c r="G381" t="s">
        <v>18</v>
      </c>
      <c r="H381" t="s">
        <v>19</v>
      </c>
      <c r="I381">
        <v>0</v>
      </c>
      <c r="J381">
        <v>0</v>
      </c>
      <c r="K381">
        <v>1</v>
      </c>
    </row>
    <row r="382" spans="1:11" x14ac:dyDescent="0.25">
      <c r="A382" t="str">
        <f>"536"</f>
        <v>536</v>
      </c>
      <c r="B382" t="str">
        <f t="shared" si="20"/>
        <v>1</v>
      </c>
      <c r="C382" t="str">
        <f t="shared" si="22"/>
        <v>23</v>
      </c>
      <c r="D382" t="str">
        <f>"6"</f>
        <v>6</v>
      </c>
      <c r="E382" t="str">
        <f>"1-23-6"</f>
        <v>1-23-6</v>
      </c>
      <c r="F382" t="s">
        <v>15</v>
      </c>
      <c r="G382" t="s">
        <v>18</v>
      </c>
      <c r="H382" t="s">
        <v>19</v>
      </c>
      <c r="I382">
        <v>1</v>
      </c>
      <c r="J382">
        <v>0</v>
      </c>
      <c r="K382">
        <v>0</v>
      </c>
    </row>
    <row r="383" spans="1:11" x14ac:dyDescent="0.25">
      <c r="A383" t="str">
        <f>"537"</f>
        <v>537</v>
      </c>
      <c r="B383" t="str">
        <f t="shared" si="20"/>
        <v>1</v>
      </c>
      <c r="C383" t="str">
        <f t="shared" si="22"/>
        <v>23</v>
      </c>
      <c r="D383" t="str">
        <f>"21"</f>
        <v>21</v>
      </c>
      <c r="E383" t="str">
        <f>"1-23-21"</f>
        <v>1-23-21</v>
      </c>
      <c r="F383" t="s">
        <v>15</v>
      </c>
      <c r="G383" t="s">
        <v>18</v>
      </c>
      <c r="H383" t="s">
        <v>19</v>
      </c>
      <c r="I383">
        <v>1</v>
      </c>
      <c r="J383">
        <v>0</v>
      </c>
      <c r="K383">
        <v>0</v>
      </c>
    </row>
    <row r="384" spans="1:11" x14ac:dyDescent="0.25">
      <c r="A384" t="str">
        <f>"538"</f>
        <v>538</v>
      </c>
      <c r="B384" t="str">
        <f t="shared" ref="B384:B447" si="23">"1"</f>
        <v>1</v>
      </c>
      <c r="C384" t="str">
        <f t="shared" si="22"/>
        <v>23</v>
      </c>
      <c r="D384" t="str">
        <f>"7"</f>
        <v>7</v>
      </c>
      <c r="E384" t="str">
        <f>"1-23-7"</f>
        <v>1-23-7</v>
      </c>
      <c r="F384" t="s">
        <v>15</v>
      </c>
      <c r="G384" t="s">
        <v>16</v>
      </c>
      <c r="H384" t="s">
        <v>17</v>
      </c>
      <c r="I384">
        <v>0</v>
      </c>
      <c r="J384">
        <v>1</v>
      </c>
      <c r="K384">
        <v>0</v>
      </c>
    </row>
    <row r="385" spans="1:11" x14ac:dyDescent="0.25">
      <c r="A385" t="str">
        <f>"539"</f>
        <v>539</v>
      </c>
      <c r="B385" t="str">
        <f t="shared" si="23"/>
        <v>1</v>
      </c>
      <c r="C385" t="str">
        <f t="shared" si="22"/>
        <v>23</v>
      </c>
      <c r="D385" t="str">
        <f>"22"</f>
        <v>22</v>
      </c>
      <c r="E385" t="str">
        <f>"1-23-22"</f>
        <v>1-23-22</v>
      </c>
      <c r="F385" t="s">
        <v>15</v>
      </c>
      <c r="G385" t="s">
        <v>18</v>
      </c>
      <c r="H385" t="s">
        <v>19</v>
      </c>
      <c r="I385">
        <v>0</v>
      </c>
      <c r="J385">
        <v>0</v>
      </c>
      <c r="K385">
        <v>1</v>
      </c>
    </row>
    <row r="386" spans="1:11" x14ac:dyDescent="0.25">
      <c r="A386" t="str">
        <f>"540"</f>
        <v>540</v>
      </c>
      <c r="B386" t="str">
        <f t="shared" si="23"/>
        <v>1</v>
      </c>
      <c r="C386" t="str">
        <f t="shared" si="22"/>
        <v>23</v>
      </c>
      <c r="D386" t="str">
        <f>"9"</f>
        <v>9</v>
      </c>
      <c r="E386" t="str">
        <f>"1-23-9"</f>
        <v>1-23-9</v>
      </c>
      <c r="F386" t="s">
        <v>15</v>
      </c>
      <c r="G386" t="s">
        <v>16</v>
      </c>
      <c r="H386" t="s">
        <v>17</v>
      </c>
      <c r="I386">
        <v>1</v>
      </c>
      <c r="J386">
        <v>0</v>
      </c>
      <c r="K386">
        <v>0</v>
      </c>
    </row>
    <row r="387" spans="1:11" x14ac:dyDescent="0.25">
      <c r="A387" t="str">
        <f>"541"</f>
        <v>541</v>
      </c>
      <c r="B387" t="str">
        <f t="shared" si="23"/>
        <v>1</v>
      </c>
      <c r="C387" t="str">
        <f t="shared" si="22"/>
        <v>23</v>
      </c>
      <c r="D387" t="str">
        <f>"23"</f>
        <v>23</v>
      </c>
      <c r="E387" t="str">
        <f>"1-23-23"</f>
        <v>1-23-23</v>
      </c>
      <c r="F387" t="s">
        <v>15</v>
      </c>
      <c r="G387" t="s">
        <v>18</v>
      </c>
      <c r="H387" t="s">
        <v>19</v>
      </c>
      <c r="I387">
        <v>1</v>
      </c>
      <c r="J387">
        <v>0</v>
      </c>
      <c r="K387">
        <v>0</v>
      </c>
    </row>
    <row r="388" spans="1:11" x14ac:dyDescent="0.25">
      <c r="A388" t="str">
        <f>"542"</f>
        <v>542</v>
      </c>
      <c r="B388" t="str">
        <f t="shared" si="23"/>
        <v>1</v>
      </c>
      <c r="C388" t="str">
        <f t="shared" si="22"/>
        <v>23</v>
      </c>
      <c r="D388" t="str">
        <f>"12"</f>
        <v>12</v>
      </c>
      <c r="E388" t="str">
        <f>"1-23-12"</f>
        <v>1-23-12</v>
      </c>
      <c r="F388" t="s">
        <v>15</v>
      </c>
      <c r="G388" t="s">
        <v>16</v>
      </c>
      <c r="H388" t="s">
        <v>17</v>
      </c>
      <c r="I388">
        <v>0</v>
      </c>
      <c r="J388">
        <v>1</v>
      </c>
      <c r="K388">
        <v>0</v>
      </c>
    </row>
    <row r="389" spans="1:11" x14ac:dyDescent="0.25">
      <c r="A389" t="str">
        <f>"543"</f>
        <v>543</v>
      </c>
      <c r="B389" t="str">
        <f t="shared" si="23"/>
        <v>1</v>
      </c>
      <c r="C389" t="str">
        <f t="shared" si="22"/>
        <v>23</v>
      </c>
      <c r="D389" t="str">
        <f>"24"</f>
        <v>24</v>
      </c>
      <c r="E389" t="str">
        <f>"1-23-24"</f>
        <v>1-23-24</v>
      </c>
      <c r="F389" t="s">
        <v>15</v>
      </c>
      <c r="G389" t="s">
        <v>18</v>
      </c>
      <c r="H389" t="s">
        <v>19</v>
      </c>
      <c r="I389">
        <v>1</v>
      </c>
      <c r="J389">
        <v>0</v>
      </c>
      <c r="K389">
        <v>0</v>
      </c>
    </row>
    <row r="390" spans="1:11" x14ac:dyDescent="0.25">
      <c r="A390" t="str">
        <f>"544"</f>
        <v>544</v>
      </c>
      <c r="B390" t="str">
        <f t="shared" si="23"/>
        <v>1</v>
      </c>
      <c r="C390" t="str">
        <f t="shared" si="22"/>
        <v>23</v>
      </c>
      <c r="D390" t="str">
        <f>"14"</f>
        <v>14</v>
      </c>
      <c r="E390" t="str">
        <f>"1-23-14"</f>
        <v>1-23-14</v>
      </c>
      <c r="F390" t="s">
        <v>15</v>
      </c>
      <c r="G390" t="s">
        <v>16</v>
      </c>
      <c r="H390" t="s">
        <v>17</v>
      </c>
      <c r="I390">
        <v>0</v>
      </c>
      <c r="J390">
        <v>1</v>
      </c>
      <c r="K390">
        <v>0</v>
      </c>
    </row>
    <row r="391" spans="1:11" x14ac:dyDescent="0.25">
      <c r="A391" t="str">
        <f>"545"</f>
        <v>545</v>
      </c>
      <c r="B391" t="str">
        <f t="shared" si="23"/>
        <v>1</v>
      </c>
      <c r="C391" t="str">
        <f t="shared" si="22"/>
        <v>23</v>
      </c>
      <c r="D391" t="str">
        <f>"25"</f>
        <v>25</v>
      </c>
      <c r="E391" t="str">
        <f>"1-23-25"</f>
        <v>1-23-25</v>
      </c>
      <c r="F391" t="s">
        <v>15</v>
      </c>
      <c r="G391" t="s">
        <v>16</v>
      </c>
      <c r="H391" t="s">
        <v>17</v>
      </c>
      <c r="I391">
        <v>0</v>
      </c>
      <c r="J391">
        <v>1</v>
      </c>
      <c r="K391">
        <v>0</v>
      </c>
    </row>
    <row r="392" spans="1:11" x14ac:dyDescent="0.25">
      <c r="A392" t="str">
        <f>"546"</f>
        <v>546</v>
      </c>
      <c r="B392" t="str">
        <f t="shared" si="23"/>
        <v>1</v>
      </c>
      <c r="C392" t="str">
        <f t="shared" si="22"/>
        <v>23</v>
      </c>
      <c r="D392" t="str">
        <f>"8"</f>
        <v>8</v>
      </c>
      <c r="E392" t="str">
        <f>"1-23-8"</f>
        <v>1-23-8</v>
      </c>
      <c r="F392" t="s">
        <v>15</v>
      </c>
      <c r="G392" t="s">
        <v>16</v>
      </c>
      <c r="H392" t="s">
        <v>17</v>
      </c>
      <c r="I392">
        <v>0</v>
      </c>
      <c r="J392">
        <v>1</v>
      </c>
      <c r="K392">
        <v>0</v>
      </c>
    </row>
    <row r="393" spans="1:11" x14ac:dyDescent="0.25">
      <c r="A393" t="str">
        <f>"547"</f>
        <v>547</v>
      </c>
      <c r="B393" t="str">
        <f t="shared" si="23"/>
        <v>1</v>
      </c>
      <c r="C393" t="str">
        <f t="shared" si="22"/>
        <v>23</v>
      </c>
      <c r="D393" t="str">
        <f>"26"</f>
        <v>26</v>
      </c>
      <c r="E393" t="str">
        <f>"1-23-26"</f>
        <v>1-23-26</v>
      </c>
      <c r="F393" t="s">
        <v>15</v>
      </c>
      <c r="G393" t="s">
        <v>16</v>
      </c>
      <c r="H393" t="s">
        <v>17</v>
      </c>
      <c r="I393">
        <v>0</v>
      </c>
      <c r="J393">
        <v>0</v>
      </c>
      <c r="K393">
        <v>1</v>
      </c>
    </row>
    <row r="394" spans="1:11" x14ac:dyDescent="0.25">
      <c r="A394" t="str">
        <f>"548"</f>
        <v>548</v>
      </c>
      <c r="B394" t="str">
        <f t="shared" si="23"/>
        <v>1</v>
      </c>
      <c r="C394" t="str">
        <f t="shared" si="22"/>
        <v>23</v>
      </c>
      <c r="D394" t="str">
        <f>"10"</f>
        <v>10</v>
      </c>
      <c r="E394" t="str">
        <f>"1-23-10"</f>
        <v>1-23-10</v>
      </c>
      <c r="F394" t="s">
        <v>15</v>
      </c>
      <c r="G394" t="s">
        <v>16</v>
      </c>
      <c r="H394" t="s">
        <v>17</v>
      </c>
      <c r="I394">
        <v>0</v>
      </c>
      <c r="J394">
        <v>0</v>
      </c>
      <c r="K394">
        <v>1</v>
      </c>
    </row>
    <row r="395" spans="1:11" x14ac:dyDescent="0.25">
      <c r="A395" t="str">
        <f>"549"</f>
        <v>549</v>
      </c>
      <c r="B395" t="str">
        <f t="shared" si="23"/>
        <v>1</v>
      </c>
      <c r="C395" t="str">
        <f t="shared" si="22"/>
        <v>23</v>
      </c>
      <c r="D395" t="str">
        <f>"27"</f>
        <v>27</v>
      </c>
      <c r="E395" t="str">
        <f>"1-23-27"</f>
        <v>1-23-27</v>
      </c>
      <c r="F395" t="s">
        <v>15</v>
      </c>
      <c r="G395" t="s">
        <v>18</v>
      </c>
      <c r="H395" t="s">
        <v>19</v>
      </c>
      <c r="I395">
        <v>0</v>
      </c>
      <c r="J395">
        <v>1</v>
      </c>
      <c r="K395">
        <v>0</v>
      </c>
    </row>
    <row r="396" spans="1:11" x14ac:dyDescent="0.25">
      <c r="A396" t="str">
        <f>"550"</f>
        <v>550</v>
      </c>
      <c r="B396" t="str">
        <f t="shared" si="23"/>
        <v>1</v>
      </c>
      <c r="C396" t="str">
        <f t="shared" si="22"/>
        <v>23</v>
      </c>
      <c r="D396" t="str">
        <f>"4"</f>
        <v>4</v>
      </c>
      <c r="E396" t="str">
        <f>"1-23-4"</f>
        <v>1-23-4</v>
      </c>
      <c r="F396" t="s">
        <v>15</v>
      </c>
      <c r="G396" t="s">
        <v>16</v>
      </c>
      <c r="H396" t="s">
        <v>17</v>
      </c>
      <c r="I396">
        <v>1</v>
      </c>
      <c r="J396">
        <v>0</v>
      </c>
      <c r="K396">
        <v>0</v>
      </c>
    </row>
    <row r="397" spans="1:11" x14ac:dyDescent="0.25">
      <c r="A397" t="str">
        <f>"551"</f>
        <v>551</v>
      </c>
      <c r="B397" t="str">
        <f t="shared" si="23"/>
        <v>1</v>
      </c>
      <c r="C397" t="str">
        <f t="shared" si="22"/>
        <v>23</v>
      </c>
      <c r="D397" t="str">
        <f>"2"</f>
        <v>2</v>
      </c>
      <c r="E397" t="str">
        <f>"1-23-2"</f>
        <v>1-23-2</v>
      </c>
      <c r="F397" t="s">
        <v>15</v>
      </c>
      <c r="G397" t="s">
        <v>16</v>
      </c>
      <c r="H397" t="s">
        <v>17</v>
      </c>
      <c r="I397">
        <v>0</v>
      </c>
      <c r="J397">
        <v>1</v>
      </c>
      <c r="K397">
        <v>0</v>
      </c>
    </row>
    <row r="398" spans="1:11" x14ac:dyDescent="0.25">
      <c r="A398" t="str">
        <f>"552"</f>
        <v>552</v>
      </c>
      <c r="B398" t="str">
        <f t="shared" si="23"/>
        <v>1</v>
      </c>
      <c r="C398" t="str">
        <f t="shared" si="22"/>
        <v>23</v>
      </c>
      <c r="D398" t="str">
        <f>"3"</f>
        <v>3</v>
      </c>
      <c r="E398" t="str">
        <f>"1-23-3"</f>
        <v>1-23-3</v>
      </c>
      <c r="F398" t="s">
        <v>15</v>
      </c>
      <c r="G398" t="s">
        <v>16</v>
      </c>
      <c r="H398" t="s">
        <v>17</v>
      </c>
      <c r="I398">
        <v>0</v>
      </c>
      <c r="J398">
        <v>0</v>
      </c>
      <c r="K398">
        <v>1</v>
      </c>
    </row>
    <row r="399" spans="1:11" x14ac:dyDescent="0.25">
      <c r="A399" t="str">
        <f>"553"</f>
        <v>553</v>
      </c>
      <c r="B399" t="str">
        <f t="shared" si="23"/>
        <v>1</v>
      </c>
      <c r="C399" t="str">
        <f t="shared" si="22"/>
        <v>23</v>
      </c>
      <c r="D399" t="str">
        <f>"13"</f>
        <v>13</v>
      </c>
      <c r="E399" t="str">
        <f>"1-23-13"</f>
        <v>1-23-13</v>
      </c>
      <c r="F399" t="s">
        <v>15</v>
      </c>
      <c r="G399" t="s">
        <v>16</v>
      </c>
      <c r="H399" t="s">
        <v>17</v>
      </c>
      <c r="I399">
        <v>0</v>
      </c>
      <c r="J399">
        <v>0</v>
      </c>
      <c r="K399">
        <v>1</v>
      </c>
    </row>
    <row r="400" spans="1:11" x14ac:dyDescent="0.25">
      <c r="A400" t="str">
        <f>"554"</f>
        <v>554</v>
      </c>
      <c r="B400" t="str">
        <f t="shared" si="23"/>
        <v>1</v>
      </c>
      <c r="C400" t="str">
        <f t="shared" si="22"/>
        <v>23</v>
      </c>
      <c r="D400" t="str">
        <f>"18"</f>
        <v>18</v>
      </c>
      <c r="E400" t="str">
        <f>"1-23-18"</f>
        <v>1-23-18</v>
      </c>
      <c r="F400" t="s">
        <v>15</v>
      </c>
      <c r="G400" t="s">
        <v>16</v>
      </c>
      <c r="H400" t="s">
        <v>17</v>
      </c>
      <c r="I400">
        <v>0</v>
      </c>
      <c r="J400">
        <v>0</v>
      </c>
      <c r="K400">
        <v>0</v>
      </c>
    </row>
    <row r="401" spans="1:11" x14ac:dyDescent="0.25">
      <c r="A401" t="str">
        <f>"555"</f>
        <v>555</v>
      </c>
      <c r="B401" t="str">
        <f t="shared" si="23"/>
        <v>1</v>
      </c>
      <c r="C401" t="str">
        <f t="shared" ref="C401:C423" si="24">"24"</f>
        <v>24</v>
      </c>
      <c r="D401" t="str">
        <f>"19"</f>
        <v>19</v>
      </c>
      <c r="E401" t="str">
        <f>"1-24-19"</f>
        <v>1-24-19</v>
      </c>
      <c r="F401" t="s">
        <v>15</v>
      </c>
      <c r="G401" t="s">
        <v>16</v>
      </c>
      <c r="H401" t="s">
        <v>17</v>
      </c>
      <c r="I401">
        <v>1</v>
      </c>
      <c r="J401">
        <v>0</v>
      </c>
      <c r="K401">
        <v>0</v>
      </c>
    </row>
    <row r="402" spans="1:11" x14ac:dyDescent="0.25">
      <c r="A402" t="str">
        <f>"556"</f>
        <v>556</v>
      </c>
      <c r="B402" t="str">
        <f t="shared" si="23"/>
        <v>1</v>
      </c>
      <c r="C402" t="str">
        <f t="shared" si="24"/>
        <v>24</v>
      </c>
      <c r="D402" t="str">
        <f>"15"</f>
        <v>15</v>
      </c>
      <c r="E402" t="str">
        <f>"1-24-15"</f>
        <v>1-24-15</v>
      </c>
      <c r="F402" t="s">
        <v>15</v>
      </c>
      <c r="G402" t="s">
        <v>16</v>
      </c>
      <c r="H402" t="s">
        <v>17</v>
      </c>
      <c r="I402">
        <v>1</v>
      </c>
      <c r="J402">
        <v>0</v>
      </c>
      <c r="K402">
        <v>0</v>
      </c>
    </row>
    <row r="403" spans="1:11" x14ac:dyDescent="0.25">
      <c r="A403" t="str">
        <f>"557"</f>
        <v>557</v>
      </c>
      <c r="B403" t="str">
        <f t="shared" si="23"/>
        <v>1</v>
      </c>
      <c r="C403" t="str">
        <f t="shared" si="24"/>
        <v>24</v>
      </c>
      <c r="D403" t="str">
        <f>"2"</f>
        <v>2</v>
      </c>
      <c r="E403" t="str">
        <f>"1-24-2"</f>
        <v>1-24-2</v>
      </c>
      <c r="F403" t="s">
        <v>15</v>
      </c>
      <c r="G403" t="s">
        <v>16</v>
      </c>
      <c r="H403" t="s">
        <v>17</v>
      </c>
      <c r="I403">
        <v>0</v>
      </c>
      <c r="J403">
        <v>0</v>
      </c>
      <c r="K403">
        <v>1</v>
      </c>
    </row>
    <row r="404" spans="1:11" x14ac:dyDescent="0.25">
      <c r="A404" t="str">
        <f>"558"</f>
        <v>558</v>
      </c>
      <c r="B404" t="str">
        <f t="shared" si="23"/>
        <v>1</v>
      </c>
      <c r="C404" t="str">
        <f t="shared" si="24"/>
        <v>24</v>
      </c>
      <c r="D404" t="str">
        <f>"23"</f>
        <v>23</v>
      </c>
      <c r="E404" t="str">
        <f>"1-24-23"</f>
        <v>1-24-23</v>
      </c>
      <c r="F404" t="s">
        <v>15</v>
      </c>
      <c r="G404" t="s">
        <v>16</v>
      </c>
      <c r="H404" t="s">
        <v>17</v>
      </c>
      <c r="I404">
        <v>0</v>
      </c>
      <c r="J404">
        <v>1</v>
      </c>
      <c r="K404">
        <v>0</v>
      </c>
    </row>
    <row r="405" spans="1:11" x14ac:dyDescent="0.25">
      <c r="A405" t="str">
        <f>"559"</f>
        <v>559</v>
      </c>
      <c r="B405" t="str">
        <f t="shared" si="23"/>
        <v>1</v>
      </c>
      <c r="C405" t="str">
        <f t="shared" si="24"/>
        <v>24</v>
      </c>
      <c r="D405" t="str">
        <f>"4"</f>
        <v>4</v>
      </c>
      <c r="E405" t="str">
        <f>"1-24-4"</f>
        <v>1-24-4</v>
      </c>
      <c r="F405" t="s">
        <v>15</v>
      </c>
      <c r="G405" t="s">
        <v>16</v>
      </c>
      <c r="H405" t="s">
        <v>17</v>
      </c>
      <c r="I405">
        <v>0</v>
      </c>
      <c r="J405">
        <v>0</v>
      </c>
      <c r="K405">
        <v>1</v>
      </c>
    </row>
    <row r="406" spans="1:11" x14ac:dyDescent="0.25">
      <c r="A406" t="str">
        <f>"560"</f>
        <v>560</v>
      </c>
      <c r="B406" t="str">
        <f t="shared" si="23"/>
        <v>1</v>
      </c>
      <c r="C406" t="str">
        <f t="shared" si="24"/>
        <v>24</v>
      </c>
      <c r="D406" t="str">
        <f>"1"</f>
        <v>1</v>
      </c>
      <c r="E406" t="str">
        <f>"1-24-1"</f>
        <v>1-24-1</v>
      </c>
      <c r="F406" t="s">
        <v>15</v>
      </c>
      <c r="G406" t="s">
        <v>16</v>
      </c>
      <c r="H406" t="s">
        <v>17</v>
      </c>
      <c r="I406">
        <v>0</v>
      </c>
      <c r="J406">
        <v>0</v>
      </c>
      <c r="K406">
        <v>1</v>
      </c>
    </row>
    <row r="407" spans="1:11" x14ac:dyDescent="0.25">
      <c r="A407" t="str">
        <f>"561"</f>
        <v>561</v>
      </c>
      <c r="B407" t="str">
        <f t="shared" si="23"/>
        <v>1</v>
      </c>
      <c r="C407" t="str">
        <f t="shared" si="24"/>
        <v>24</v>
      </c>
      <c r="D407" t="str">
        <f>"18"</f>
        <v>18</v>
      </c>
      <c r="E407" t="str">
        <f>"1-24-18"</f>
        <v>1-24-18</v>
      </c>
      <c r="F407" t="s">
        <v>15</v>
      </c>
      <c r="G407" t="s">
        <v>16</v>
      </c>
      <c r="H407" t="s">
        <v>17</v>
      </c>
      <c r="I407">
        <v>1</v>
      </c>
      <c r="J407">
        <v>0</v>
      </c>
      <c r="K407">
        <v>0</v>
      </c>
    </row>
    <row r="408" spans="1:11" x14ac:dyDescent="0.25">
      <c r="A408" t="str">
        <f>"562"</f>
        <v>562</v>
      </c>
      <c r="B408" t="str">
        <f t="shared" si="23"/>
        <v>1</v>
      </c>
      <c r="C408" t="str">
        <f t="shared" si="24"/>
        <v>24</v>
      </c>
      <c r="D408" t="str">
        <f>"11"</f>
        <v>11</v>
      </c>
      <c r="E408" t="str">
        <f>"1-24-11"</f>
        <v>1-24-11</v>
      </c>
      <c r="F408" t="s">
        <v>15</v>
      </c>
      <c r="G408" t="s">
        <v>16</v>
      </c>
      <c r="H408" t="s">
        <v>17</v>
      </c>
      <c r="I408">
        <v>0</v>
      </c>
      <c r="J408">
        <v>0</v>
      </c>
      <c r="K408">
        <v>1</v>
      </c>
    </row>
    <row r="409" spans="1:11" x14ac:dyDescent="0.25">
      <c r="A409" t="str">
        <f>"563"</f>
        <v>563</v>
      </c>
      <c r="B409" t="str">
        <f t="shared" si="23"/>
        <v>1</v>
      </c>
      <c r="C409" t="str">
        <f t="shared" si="24"/>
        <v>24</v>
      </c>
      <c r="D409" t="str">
        <f>"20"</f>
        <v>20</v>
      </c>
      <c r="E409" t="str">
        <f>"1-24-20"</f>
        <v>1-24-20</v>
      </c>
      <c r="F409" t="s">
        <v>15</v>
      </c>
      <c r="G409" t="s">
        <v>16</v>
      </c>
      <c r="H409" t="s">
        <v>17</v>
      </c>
      <c r="I409">
        <v>0</v>
      </c>
      <c r="J409">
        <v>0</v>
      </c>
      <c r="K409">
        <v>1</v>
      </c>
    </row>
    <row r="410" spans="1:11" x14ac:dyDescent="0.25">
      <c r="A410" t="str">
        <f>"564"</f>
        <v>564</v>
      </c>
      <c r="B410" t="str">
        <f t="shared" si="23"/>
        <v>1</v>
      </c>
      <c r="C410" t="str">
        <f t="shared" si="24"/>
        <v>24</v>
      </c>
      <c r="D410" t="str">
        <f>"9"</f>
        <v>9</v>
      </c>
      <c r="E410" t="str">
        <f>"1-24-9"</f>
        <v>1-24-9</v>
      </c>
      <c r="F410" t="s">
        <v>15</v>
      </c>
      <c r="G410" t="s">
        <v>16</v>
      </c>
      <c r="H410" t="s">
        <v>17</v>
      </c>
      <c r="I410">
        <v>0</v>
      </c>
      <c r="J410">
        <v>0</v>
      </c>
      <c r="K410">
        <v>1</v>
      </c>
    </row>
    <row r="411" spans="1:11" x14ac:dyDescent="0.25">
      <c r="A411" t="str">
        <f>"565"</f>
        <v>565</v>
      </c>
      <c r="B411" t="str">
        <f t="shared" si="23"/>
        <v>1</v>
      </c>
      <c r="C411" t="str">
        <f t="shared" si="24"/>
        <v>24</v>
      </c>
      <c r="D411" t="str">
        <f>"21"</f>
        <v>21</v>
      </c>
      <c r="E411" t="str">
        <f>"1-24-21"</f>
        <v>1-24-21</v>
      </c>
      <c r="F411" t="s">
        <v>15</v>
      </c>
      <c r="G411" t="s">
        <v>16</v>
      </c>
      <c r="H411" t="s">
        <v>17</v>
      </c>
      <c r="I411">
        <v>0</v>
      </c>
      <c r="J411">
        <v>0</v>
      </c>
      <c r="K411">
        <v>1</v>
      </c>
    </row>
    <row r="412" spans="1:11" x14ac:dyDescent="0.25">
      <c r="A412" t="str">
        <f>"566"</f>
        <v>566</v>
      </c>
      <c r="B412" t="str">
        <f t="shared" si="23"/>
        <v>1</v>
      </c>
      <c r="C412" t="str">
        <f t="shared" si="24"/>
        <v>24</v>
      </c>
      <c r="D412" t="str">
        <f>"6"</f>
        <v>6</v>
      </c>
      <c r="E412" t="str">
        <f>"1-24-6"</f>
        <v>1-24-6</v>
      </c>
      <c r="F412" t="s">
        <v>15</v>
      </c>
      <c r="G412" t="s">
        <v>16</v>
      </c>
      <c r="H412" t="s">
        <v>17</v>
      </c>
      <c r="I412">
        <v>0</v>
      </c>
      <c r="J412">
        <v>0</v>
      </c>
      <c r="K412">
        <v>1</v>
      </c>
    </row>
    <row r="413" spans="1:11" x14ac:dyDescent="0.25">
      <c r="A413" t="str">
        <f>"567"</f>
        <v>567</v>
      </c>
      <c r="B413" t="str">
        <f t="shared" si="23"/>
        <v>1</v>
      </c>
      <c r="C413" t="str">
        <f t="shared" si="24"/>
        <v>24</v>
      </c>
      <c r="D413" t="str">
        <f>"22"</f>
        <v>22</v>
      </c>
      <c r="E413" t="str">
        <f>"1-24-22"</f>
        <v>1-24-22</v>
      </c>
      <c r="F413" t="s">
        <v>15</v>
      </c>
      <c r="G413" t="s">
        <v>16</v>
      </c>
      <c r="H413" t="s">
        <v>17</v>
      </c>
      <c r="I413">
        <v>0</v>
      </c>
      <c r="J413">
        <v>0</v>
      </c>
      <c r="K413">
        <v>1</v>
      </c>
    </row>
    <row r="414" spans="1:11" x14ac:dyDescent="0.25">
      <c r="A414" t="str">
        <f>"568"</f>
        <v>568</v>
      </c>
      <c r="B414" t="str">
        <f t="shared" si="23"/>
        <v>1</v>
      </c>
      <c r="C414" t="str">
        <f t="shared" si="24"/>
        <v>24</v>
      </c>
      <c r="D414" t="str">
        <f>"8"</f>
        <v>8</v>
      </c>
      <c r="E414" t="str">
        <f>"1-24-8"</f>
        <v>1-24-8</v>
      </c>
      <c r="F414" t="s">
        <v>15</v>
      </c>
      <c r="G414" t="s">
        <v>16</v>
      </c>
      <c r="H414" t="s">
        <v>17</v>
      </c>
      <c r="I414">
        <v>0</v>
      </c>
      <c r="J414">
        <v>1</v>
      </c>
      <c r="K414">
        <v>0</v>
      </c>
    </row>
    <row r="415" spans="1:11" x14ac:dyDescent="0.25">
      <c r="A415" t="str">
        <f>"569"</f>
        <v>569</v>
      </c>
      <c r="B415" t="str">
        <f t="shared" si="23"/>
        <v>1</v>
      </c>
      <c r="C415" t="str">
        <f t="shared" si="24"/>
        <v>24</v>
      </c>
      <c r="D415" t="str">
        <f>"5"</f>
        <v>5</v>
      </c>
      <c r="E415" t="str">
        <f>"1-24-5"</f>
        <v>1-24-5</v>
      </c>
      <c r="F415" t="s">
        <v>15</v>
      </c>
      <c r="G415" t="s">
        <v>16</v>
      </c>
      <c r="H415" t="s">
        <v>17</v>
      </c>
      <c r="I415">
        <v>0</v>
      </c>
      <c r="J415">
        <v>1</v>
      </c>
      <c r="K415">
        <v>0</v>
      </c>
    </row>
    <row r="416" spans="1:11" x14ac:dyDescent="0.25">
      <c r="A416" t="str">
        <f>"570"</f>
        <v>570</v>
      </c>
      <c r="B416" t="str">
        <f t="shared" si="23"/>
        <v>1</v>
      </c>
      <c r="C416" t="str">
        <f t="shared" si="24"/>
        <v>24</v>
      </c>
      <c r="D416" t="str">
        <f>"12"</f>
        <v>12</v>
      </c>
      <c r="E416" t="str">
        <f>"1-24-12"</f>
        <v>1-24-12</v>
      </c>
      <c r="F416" t="s">
        <v>15</v>
      </c>
      <c r="G416" t="s">
        <v>16</v>
      </c>
      <c r="H416" t="s">
        <v>17</v>
      </c>
      <c r="I416">
        <v>1</v>
      </c>
      <c r="J416">
        <v>0</v>
      </c>
      <c r="K416">
        <v>0</v>
      </c>
    </row>
    <row r="417" spans="1:11" x14ac:dyDescent="0.25">
      <c r="A417" t="str">
        <f>"571"</f>
        <v>571</v>
      </c>
      <c r="B417" t="str">
        <f t="shared" si="23"/>
        <v>1</v>
      </c>
      <c r="C417" t="str">
        <f t="shared" si="24"/>
        <v>24</v>
      </c>
      <c r="D417" t="str">
        <f>"7"</f>
        <v>7</v>
      </c>
      <c r="E417" t="str">
        <f>"1-24-7"</f>
        <v>1-24-7</v>
      </c>
      <c r="F417" t="s">
        <v>15</v>
      </c>
      <c r="G417" t="s">
        <v>16</v>
      </c>
      <c r="H417" t="s">
        <v>17</v>
      </c>
      <c r="I417">
        <v>0</v>
      </c>
      <c r="J417">
        <v>1</v>
      </c>
      <c r="K417">
        <v>0</v>
      </c>
    </row>
    <row r="418" spans="1:11" x14ac:dyDescent="0.25">
      <c r="A418" t="str">
        <f>"572"</f>
        <v>572</v>
      </c>
      <c r="B418" t="str">
        <f t="shared" si="23"/>
        <v>1</v>
      </c>
      <c r="C418" t="str">
        <f t="shared" si="24"/>
        <v>24</v>
      </c>
      <c r="D418" t="str">
        <f>"10"</f>
        <v>10</v>
      </c>
      <c r="E418" t="str">
        <f>"1-24-10"</f>
        <v>1-24-10</v>
      </c>
      <c r="F418" t="s">
        <v>15</v>
      </c>
      <c r="G418" t="s">
        <v>16</v>
      </c>
      <c r="H418" t="s">
        <v>17</v>
      </c>
      <c r="I418">
        <v>0</v>
      </c>
      <c r="J418">
        <v>1</v>
      </c>
      <c r="K418">
        <v>0</v>
      </c>
    </row>
    <row r="419" spans="1:11" x14ac:dyDescent="0.25">
      <c r="A419" t="str">
        <f>"573"</f>
        <v>573</v>
      </c>
      <c r="B419" t="str">
        <f t="shared" si="23"/>
        <v>1</v>
      </c>
      <c r="C419" t="str">
        <f t="shared" si="24"/>
        <v>24</v>
      </c>
      <c r="D419" t="str">
        <f>"3"</f>
        <v>3</v>
      </c>
      <c r="E419" t="str">
        <f>"1-24-3"</f>
        <v>1-24-3</v>
      </c>
      <c r="F419" t="s">
        <v>15</v>
      </c>
      <c r="G419" t="s">
        <v>16</v>
      </c>
      <c r="H419" t="s">
        <v>17</v>
      </c>
      <c r="I419">
        <v>0</v>
      </c>
      <c r="J419">
        <v>0</v>
      </c>
      <c r="K419">
        <v>1</v>
      </c>
    </row>
    <row r="420" spans="1:11" x14ac:dyDescent="0.25">
      <c r="A420" t="str">
        <f>"574"</f>
        <v>574</v>
      </c>
      <c r="B420" t="str">
        <f t="shared" si="23"/>
        <v>1</v>
      </c>
      <c r="C420" t="str">
        <f t="shared" si="24"/>
        <v>24</v>
      </c>
      <c r="D420" t="str">
        <f>"13"</f>
        <v>13</v>
      </c>
      <c r="E420" t="str">
        <f>"1-24-13"</f>
        <v>1-24-13</v>
      </c>
      <c r="F420" t="s">
        <v>15</v>
      </c>
      <c r="G420" t="s">
        <v>16</v>
      </c>
      <c r="H420" t="s">
        <v>17</v>
      </c>
      <c r="I420">
        <v>1</v>
      </c>
      <c r="J420">
        <v>0</v>
      </c>
      <c r="K420">
        <v>0</v>
      </c>
    </row>
    <row r="421" spans="1:11" x14ac:dyDescent="0.25">
      <c r="A421" t="str">
        <f>"575"</f>
        <v>575</v>
      </c>
      <c r="B421" t="str">
        <f t="shared" si="23"/>
        <v>1</v>
      </c>
      <c r="C421" t="str">
        <f t="shared" si="24"/>
        <v>24</v>
      </c>
      <c r="D421" t="str">
        <f>"14"</f>
        <v>14</v>
      </c>
      <c r="E421" t="str">
        <f>"1-24-14"</f>
        <v>1-24-14</v>
      </c>
      <c r="F421" t="s">
        <v>15</v>
      </c>
      <c r="G421" t="s">
        <v>16</v>
      </c>
      <c r="H421" t="s">
        <v>17</v>
      </c>
      <c r="I421">
        <v>1</v>
      </c>
      <c r="J421">
        <v>0</v>
      </c>
      <c r="K421">
        <v>0</v>
      </c>
    </row>
    <row r="422" spans="1:11" x14ac:dyDescent="0.25">
      <c r="A422" t="str">
        <f>"576"</f>
        <v>576</v>
      </c>
      <c r="B422" t="str">
        <f t="shared" si="23"/>
        <v>1</v>
      </c>
      <c r="C422" t="str">
        <f t="shared" si="24"/>
        <v>24</v>
      </c>
      <c r="D422" t="str">
        <f>"16"</f>
        <v>16</v>
      </c>
      <c r="E422" t="str">
        <f>"1-24-16"</f>
        <v>1-24-16</v>
      </c>
      <c r="F422" t="s">
        <v>15</v>
      </c>
      <c r="G422" t="s">
        <v>16</v>
      </c>
      <c r="H422" t="s">
        <v>17</v>
      </c>
      <c r="I422">
        <v>0</v>
      </c>
      <c r="J422">
        <v>0</v>
      </c>
      <c r="K422">
        <v>0</v>
      </c>
    </row>
    <row r="423" spans="1:11" x14ac:dyDescent="0.25">
      <c r="A423" t="str">
        <f>"577"</f>
        <v>577</v>
      </c>
      <c r="B423" t="str">
        <f t="shared" si="23"/>
        <v>1</v>
      </c>
      <c r="C423" t="str">
        <f t="shared" si="24"/>
        <v>24</v>
      </c>
      <c r="D423" t="str">
        <f>"17"</f>
        <v>17</v>
      </c>
      <c r="E423" t="str">
        <f>"1-24-17"</f>
        <v>1-24-17</v>
      </c>
      <c r="F423" t="s">
        <v>15</v>
      </c>
      <c r="G423" t="s">
        <v>16</v>
      </c>
      <c r="H423" t="s">
        <v>17</v>
      </c>
      <c r="I423">
        <v>0</v>
      </c>
      <c r="J423">
        <v>0</v>
      </c>
      <c r="K423">
        <v>0</v>
      </c>
    </row>
    <row r="424" spans="1:11" x14ac:dyDescent="0.25">
      <c r="A424" t="str">
        <f>"578"</f>
        <v>578</v>
      </c>
      <c r="B424" t="str">
        <f t="shared" si="23"/>
        <v>1</v>
      </c>
      <c r="C424" t="str">
        <f t="shared" ref="C424:C448" si="25">"25"</f>
        <v>25</v>
      </c>
      <c r="D424" t="str">
        <f>"18"</f>
        <v>18</v>
      </c>
      <c r="E424" t="str">
        <f>"1-25-18"</f>
        <v>1-25-18</v>
      </c>
      <c r="F424" t="s">
        <v>15</v>
      </c>
      <c r="G424" t="s">
        <v>16</v>
      </c>
      <c r="H424" t="s">
        <v>17</v>
      </c>
      <c r="I424">
        <v>0</v>
      </c>
      <c r="J424">
        <v>1</v>
      </c>
      <c r="K424">
        <v>0</v>
      </c>
    </row>
    <row r="425" spans="1:11" x14ac:dyDescent="0.25">
      <c r="A425" t="str">
        <f>"579"</f>
        <v>579</v>
      </c>
      <c r="B425" t="str">
        <f t="shared" si="23"/>
        <v>1</v>
      </c>
      <c r="C425" t="str">
        <f t="shared" si="25"/>
        <v>25</v>
      </c>
      <c r="D425" t="str">
        <f>"15"</f>
        <v>15</v>
      </c>
      <c r="E425" t="str">
        <f>"1-25-15"</f>
        <v>1-25-15</v>
      </c>
      <c r="F425" t="s">
        <v>15</v>
      </c>
      <c r="G425" t="s">
        <v>16</v>
      </c>
      <c r="H425" t="s">
        <v>17</v>
      </c>
      <c r="I425">
        <v>0</v>
      </c>
      <c r="J425">
        <v>1</v>
      </c>
      <c r="K425">
        <v>0</v>
      </c>
    </row>
    <row r="426" spans="1:11" x14ac:dyDescent="0.25">
      <c r="A426" t="str">
        <f>"580"</f>
        <v>580</v>
      </c>
      <c r="B426" t="str">
        <f t="shared" si="23"/>
        <v>1</v>
      </c>
      <c r="C426" t="str">
        <f t="shared" si="25"/>
        <v>25</v>
      </c>
      <c r="D426" t="str">
        <f>"3"</f>
        <v>3</v>
      </c>
      <c r="E426" t="str">
        <f>"1-25-3"</f>
        <v>1-25-3</v>
      </c>
      <c r="F426" t="s">
        <v>15</v>
      </c>
      <c r="G426" t="s">
        <v>16</v>
      </c>
      <c r="H426" t="s">
        <v>17</v>
      </c>
      <c r="I426">
        <v>0</v>
      </c>
      <c r="J426">
        <v>1</v>
      </c>
      <c r="K426">
        <v>0</v>
      </c>
    </row>
    <row r="427" spans="1:11" x14ac:dyDescent="0.25">
      <c r="A427" t="str">
        <f>"581"</f>
        <v>581</v>
      </c>
      <c r="B427" t="str">
        <f t="shared" si="23"/>
        <v>1</v>
      </c>
      <c r="C427" t="str">
        <f t="shared" si="25"/>
        <v>25</v>
      </c>
      <c r="D427" t="str">
        <f>"23"</f>
        <v>23</v>
      </c>
      <c r="E427" t="str">
        <f>"1-25-23"</f>
        <v>1-25-23</v>
      </c>
      <c r="F427" t="s">
        <v>15</v>
      </c>
      <c r="G427" t="s">
        <v>20</v>
      </c>
      <c r="H427" t="s">
        <v>21</v>
      </c>
      <c r="I427">
        <v>0</v>
      </c>
      <c r="J427">
        <v>1</v>
      </c>
      <c r="K427">
        <v>0</v>
      </c>
    </row>
    <row r="428" spans="1:11" x14ac:dyDescent="0.25">
      <c r="A428" t="str">
        <f>"582"</f>
        <v>582</v>
      </c>
      <c r="B428" t="str">
        <f t="shared" si="23"/>
        <v>1</v>
      </c>
      <c r="C428" t="str">
        <f t="shared" si="25"/>
        <v>25</v>
      </c>
      <c r="D428" t="str">
        <f>"9"</f>
        <v>9</v>
      </c>
      <c r="E428" t="str">
        <f>"1-25-9"</f>
        <v>1-25-9</v>
      </c>
      <c r="F428" t="s">
        <v>15</v>
      </c>
      <c r="G428" t="s">
        <v>18</v>
      </c>
      <c r="H428" t="s">
        <v>19</v>
      </c>
      <c r="I428">
        <v>1</v>
      </c>
      <c r="J428">
        <v>0</v>
      </c>
      <c r="K428">
        <v>0</v>
      </c>
    </row>
    <row r="429" spans="1:11" x14ac:dyDescent="0.25">
      <c r="A429" t="str">
        <f>"583"</f>
        <v>583</v>
      </c>
      <c r="B429" t="str">
        <f t="shared" si="23"/>
        <v>1</v>
      </c>
      <c r="C429" t="str">
        <f t="shared" si="25"/>
        <v>25</v>
      </c>
      <c r="D429" t="str">
        <f>"17"</f>
        <v>17</v>
      </c>
      <c r="E429" t="str">
        <f>"1-25-17"</f>
        <v>1-25-17</v>
      </c>
      <c r="F429" t="s">
        <v>15</v>
      </c>
      <c r="G429" t="s">
        <v>16</v>
      </c>
      <c r="H429" t="s">
        <v>17</v>
      </c>
      <c r="I429">
        <v>0</v>
      </c>
      <c r="J429">
        <v>0</v>
      </c>
      <c r="K429">
        <v>1</v>
      </c>
    </row>
    <row r="430" spans="1:11" x14ac:dyDescent="0.25">
      <c r="A430" t="str">
        <f>"584"</f>
        <v>584</v>
      </c>
      <c r="B430" t="str">
        <f t="shared" si="23"/>
        <v>1</v>
      </c>
      <c r="C430" t="str">
        <f t="shared" si="25"/>
        <v>25</v>
      </c>
      <c r="D430" t="str">
        <f>"1"</f>
        <v>1</v>
      </c>
      <c r="E430" t="str">
        <f>"1-25-1"</f>
        <v>1-25-1</v>
      </c>
      <c r="F430" t="s">
        <v>15</v>
      </c>
      <c r="G430" t="s">
        <v>16</v>
      </c>
      <c r="H430" t="s">
        <v>17</v>
      </c>
      <c r="I430">
        <v>0</v>
      </c>
      <c r="J430">
        <v>1</v>
      </c>
      <c r="K430">
        <v>0</v>
      </c>
    </row>
    <row r="431" spans="1:11" x14ac:dyDescent="0.25">
      <c r="A431" t="str">
        <f>"585"</f>
        <v>585</v>
      </c>
      <c r="B431" t="str">
        <f t="shared" si="23"/>
        <v>1</v>
      </c>
      <c r="C431" t="str">
        <f t="shared" si="25"/>
        <v>25</v>
      </c>
      <c r="D431" t="str">
        <f>"19"</f>
        <v>19</v>
      </c>
      <c r="E431" t="str">
        <f>"1-25-19"</f>
        <v>1-25-19</v>
      </c>
      <c r="F431" t="s">
        <v>15</v>
      </c>
      <c r="G431" t="s">
        <v>20</v>
      </c>
      <c r="H431" t="s">
        <v>21</v>
      </c>
      <c r="I431">
        <v>0</v>
      </c>
      <c r="J431">
        <v>1</v>
      </c>
      <c r="K431">
        <v>0</v>
      </c>
    </row>
    <row r="432" spans="1:11" x14ac:dyDescent="0.25">
      <c r="A432" t="str">
        <f>"586"</f>
        <v>586</v>
      </c>
      <c r="B432" t="str">
        <f t="shared" si="23"/>
        <v>1</v>
      </c>
      <c r="C432" t="str">
        <f t="shared" si="25"/>
        <v>25</v>
      </c>
      <c r="D432" t="str">
        <f>"20"</f>
        <v>20</v>
      </c>
      <c r="E432" t="str">
        <f>"1-25-20"</f>
        <v>1-25-20</v>
      </c>
      <c r="F432" t="s">
        <v>15</v>
      </c>
      <c r="G432" t="s">
        <v>20</v>
      </c>
      <c r="H432" t="s">
        <v>21</v>
      </c>
      <c r="I432">
        <v>0</v>
      </c>
      <c r="J432">
        <v>0</v>
      </c>
      <c r="K432">
        <v>1</v>
      </c>
    </row>
    <row r="433" spans="1:11" x14ac:dyDescent="0.25">
      <c r="A433" t="str">
        <f>"587"</f>
        <v>587</v>
      </c>
      <c r="B433" t="str">
        <f t="shared" si="23"/>
        <v>1</v>
      </c>
      <c r="C433" t="str">
        <f t="shared" si="25"/>
        <v>25</v>
      </c>
      <c r="D433" t="str">
        <f>"6"</f>
        <v>6</v>
      </c>
      <c r="E433" t="str">
        <f>"1-25-6"</f>
        <v>1-25-6</v>
      </c>
      <c r="F433" t="s">
        <v>15</v>
      </c>
      <c r="G433" t="s">
        <v>16</v>
      </c>
      <c r="H433" t="s">
        <v>17</v>
      </c>
      <c r="I433">
        <v>1</v>
      </c>
      <c r="J433">
        <v>0</v>
      </c>
      <c r="K433">
        <v>0</v>
      </c>
    </row>
    <row r="434" spans="1:11" x14ac:dyDescent="0.25">
      <c r="A434" t="str">
        <f>"588"</f>
        <v>588</v>
      </c>
      <c r="B434" t="str">
        <f t="shared" si="23"/>
        <v>1</v>
      </c>
      <c r="C434" t="str">
        <f t="shared" si="25"/>
        <v>25</v>
      </c>
      <c r="D434" t="str">
        <f>"21"</f>
        <v>21</v>
      </c>
      <c r="E434" t="str">
        <f>"1-25-21"</f>
        <v>1-25-21</v>
      </c>
      <c r="F434" t="s">
        <v>15</v>
      </c>
      <c r="G434" t="s">
        <v>16</v>
      </c>
      <c r="H434" t="s">
        <v>17</v>
      </c>
      <c r="I434">
        <v>0</v>
      </c>
      <c r="J434">
        <v>1</v>
      </c>
      <c r="K434">
        <v>0</v>
      </c>
    </row>
    <row r="435" spans="1:11" x14ac:dyDescent="0.25">
      <c r="A435" t="str">
        <f>"589"</f>
        <v>589</v>
      </c>
      <c r="B435" t="str">
        <f t="shared" si="23"/>
        <v>1</v>
      </c>
      <c r="C435" t="str">
        <f t="shared" si="25"/>
        <v>25</v>
      </c>
      <c r="D435" t="str">
        <f>"10"</f>
        <v>10</v>
      </c>
      <c r="E435" t="str">
        <f>"1-25-10"</f>
        <v>1-25-10</v>
      </c>
      <c r="F435" t="s">
        <v>15</v>
      </c>
      <c r="G435" t="s">
        <v>18</v>
      </c>
      <c r="H435" t="s">
        <v>19</v>
      </c>
      <c r="I435">
        <v>1</v>
      </c>
      <c r="J435">
        <v>0</v>
      </c>
      <c r="K435">
        <v>0</v>
      </c>
    </row>
    <row r="436" spans="1:11" x14ac:dyDescent="0.25">
      <c r="A436" t="str">
        <f>"590"</f>
        <v>590</v>
      </c>
      <c r="B436" t="str">
        <f t="shared" si="23"/>
        <v>1</v>
      </c>
      <c r="C436" t="str">
        <f t="shared" si="25"/>
        <v>25</v>
      </c>
      <c r="D436" t="str">
        <f>"22"</f>
        <v>22</v>
      </c>
      <c r="E436" t="str">
        <f>"1-25-22"</f>
        <v>1-25-22</v>
      </c>
      <c r="F436" t="s">
        <v>15</v>
      </c>
      <c r="G436" t="s">
        <v>16</v>
      </c>
      <c r="H436" t="s">
        <v>17</v>
      </c>
      <c r="I436">
        <v>1</v>
      </c>
      <c r="J436">
        <v>0</v>
      </c>
      <c r="K436">
        <v>0</v>
      </c>
    </row>
    <row r="437" spans="1:11" x14ac:dyDescent="0.25">
      <c r="A437" t="str">
        <f>"591"</f>
        <v>591</v>
      </c>
      <c r="B437" t="str">
        <f t="shared" si="23"/>
        <v>1</v>
      </c>
      <c r="C437" t="str">
        <f t="shared" si="25"/>
        <v>25</v>
      </c>
      <c r="D437" t="str">
        <f>"11"</f>
        <v>11</v>
      </c>
      <c r="E437" t="str">
        <f>"1-25-11"</f>
        <v>1-25-11</v>
      </c>
      <c r="F437" t="s">
        <v>15</v>
      </c>
      <c r="G437" t="s">
        <v>18</v>
      </c>
      <c r="H437" t="s">
        <v>19</v>
      </c>
      <c r="I437">
        <v>1</v>
      </c>
      <c r="J437">
        <v>0</v>
      </c>
      <c r="K437">
        <v>0</v>
      </c>
    </row>
    <row r="438" spans="1:11" x14ac:dyDescent="0.25">
      <c r="A438" t="str">
        <f>"592"</f>
        <v>592</v>
      </c>
      <c r="B438" t="str">
        <f t="shared" si="23"/>
        <v>1</v>
      </c>
      <c r="C438" t="str">
        <f t="shared" si="25"/>
        <v>25</v>
      </c>
      <c r="D438" t="str">
        <f>"24"</f>
        <v>24</v>
      </c>
      <c r="E438" t="str">
        <f>"1-25-24"</f>
        <v>1-25-24</v>
      </c>
      <c r="F438" t="s">
        <v>15</v>
      </c>
      <c r="G438" t="s">
        <v>18</v>
      </c>
      <c r="H438" t="s">
        <v>19</v>
      </c>
      <c r="I438">
        <v>0</v>
      </c>
      <c r="J438">
        <v>1</v>
      </c>
      <c r="K438">
        <v>0</v>
      </c>
    </row>
    <row r="439" spans="1:11" x14ac:dyDescent="0.25">
      <c r="A439" t="str">
        <f>"593"</f>
        <v>593</v>
      </c>
      <c r="B439" t="str">
        <f t="shared" si="23"/>
        <v>1</v>
      </c>
      <c r="C439" t="str">
        <f t="shared" si="25"/>
        <v>25</v>
      </c>
      <c r="D439" t="str">
        <f>"25"</f>
        <v>25</v>
      </c>
      <c r="E439" t="str">
        <f>"1-25-25"</f>
        <v>1-25-25</v>
      </c>
      <c r="F439" t="s">
        <v>15</v>
      </c>
      <c r="G439" t="s">
        <v>18</v>
      </c>
      <c r="H439" t="s">
        <v>19</v>
      </c>
      <c r="I439">
        <v>0</v>
      </c>
      <c r="J439">
        <v>1</v>
      </c>
      <c r="K439">
        <v>0</v>
      </c>
    </row>
    <row r="440" spans="1:11" x14ac:dyDescent="0.25">
      <c r="A440" t="str">
        <f>"594"</f>
        <v>594</v>
      </c>
      <c r="B440" t="str">
        <f t="shared" si="23"/>
        <v>1</v>
      </c>
      <c r="C440" t="str">
        <f t="shared" si="25"/>
        <v>25</v>
      </c>
      <c r="D440" t="str">
        <f>"2"</f>
        <v>2</v>
      </c>
      <c r="E440" t="str">
        <f>"1-25-2"</f>
        <v>1-25-2</v>
      </c>
      <c r="F440" t="s">
        <v>15</v>
      </c>
      <c r="G440" t="s">
        <v>20</v>
      </c>
      <c r="H440" t="s">
        <v>21</v>
      </c>
      <c r="I440">
        <v>0</v>
      </c>
      <c r="J440">
        <v>1</v>
      </c>
      <c r="K440">
        <v>0</v>
      </c>
    </row>
    <row r="441" spans="1:11" x14ac:dyDescent="0.25">
      <c r="A441" t="str">
        <f>"595"</f>
        <v>595</v>
      </c>
      <c r="B441" t="str">
        <f t="shared" si="23"/>
        <v>1</v>
      </c>
      <c r="C441" t="str">
        <f t="shared" si="25"/>
        <v>25</v>
      </c>
      <c r="D441" t="str">
        <f>"7"</f>
        <v>7</v>
      </c>
      <c r="E441" t="str">
        <f>"1-25-7"</f>
        <v>1-25-7</v>
      </c>
      <c r="F441" t="s">
        <v>15</v>
      </c>
      <c r="G441" t="s">
        <v>18</v>
      </c>
      <c r="H441" t="s">
        <v>19</v>
      </c>
      <c r="I441">
        <v>0</v>
      </c>
      <c r="J441">
        <v>0</v>
      </c>
      <c r="K441">
        <v>1</v>
      </c>
    </row>
    <row r="442" spans="1:11" x14ac:dyDescent="0.25">
      <c r="A442" t="str">
        <f>"596"</f>
        <v>596</v>
      </c>
      <c r="B442" t="str">
        <f t="shared" si="23"/>
        <v>1</v>
      </c>
      <c r="C442" t="str">
        <f t="shared" si="25"/>
        <v>25</v>
      </c>
      <c r="D442" t="str">
        <f>"14"</f>
        <v>14</v>
      </c>
      <c r="E442" t="str">
        <f>"1-25-14"</f>
        <v>1-25-14</v>
      </c>
      <c r="F442" t="s">
        <v>15</v>
      </c>
      <c r="G442" t="s">
        <v>18</v>
      </c>
      <c r="H442" t="s">
        <v>19</v>
      </c>
      <c r="I442">
        <v>0</v>
      </c>
      <c r="J442">
        <v>1</v>
      </c>
      <c r="K442">
        <v>0</v>
      </c>
    </row>
    <row r="443" spans="1:11" x14ac:dyDescent="0.25">
      <c r="A443" t="str">
        <f>"597"</f>
        <v>597</v>
      </c>
      <c r="B443" t="str">
        <f t="shared" si="23"/>
        <v>1</v>
      </c>
      <c r="C443" t="str">
        <f t="shared" si="25"/>
        <v>25</v>
      </c>
      <c r="D443" t="str">
        <f>"5"</f>
        <v>5</v>
      </c>
      <c r="E443" t="str">
        <f>"1-25-5"</f>
        <v>1-25-5</v>
      </c>
      <c r="F443" t="s">
        <v>15</v>
      </c>
      <c r="G443" t="s">
        <v>16</v>
      </c>
      <c r="H443" t="s">
        <v>17</v>
      </c>
      <c r="I443">
        <v>0</v>
      </c>
      <c r="J443">
        <v>1</v>
      </c>
      <c r="K443">
        <v>0</v>
      </c>
    </row>
    <row r="444" spans="1:11" x14ac:dyDescent="0.25">
      <c r="A444" t="str">
        <f>"598"</f>
        <v>598</v>
      </c>
      <c r="B444" t="str">
        <f t="shared" si="23"/>
        <v>1</v>
      </c>
      <c r="C444" t="str">
        <f t="shared" si="25"/>
        <v>25</v>
      </c>
      <c r="D444" t="str">
        <f>"12"</f>
        <v>12</v>
      </c>
      <c r="E444" t="str">
        <f>"1-25-12"</f>
        <v>1-25-12</v>
      </c>
      <c r="F444" t="s">
        <v>15</v>
      </c>
      <c r="G444" t="s">
        <v>18</v>
      </c>
      <c r="H444" t="s">
        <v>19</v>
      </c>
      <c r="I444">
        <v>1</v>
      </c>
      <c r="J444">
        <v>0</v>
      </c>
      <c r="K444">
        <v>0</v>
      </c>
    </row>
    <row r="445" spans="1:11" x14ac:dyDescent="0.25">
      <c r="A445" t="str">
        <f>"599"</f>
        <v>599</v>
      </c>
      <c r="B445" t="str">
        <f t="shared" si="23"/>
        <v>1</v>
      </c>
      <c r="C445" t="str">
        <f t="shared" si="25"/>
        <v>25</v>
      </c>
      <c r="D445" t="str">
        <f>"13"</f>
        <v>13</v>
      </c>
      <c r="E445" t="str">
        <f>"1-25-13"</f>
        <v>1-25-13</v>
      </c>
      <c r="F445" t="s">
        <v>15</v>
      </c>
      <c r="G445" t="s">
        <v>18</v>
      </c>
      <c r="H445" t="s">
        <v>19</v>
      </c>
      <c r="I445">
        <v>1</v>
      </c>
      <c r="J445">
        <v>0</v>
      </c>
      <c r="K445">
        <v>0</v>
      </c>
    </row>
    <row r="446" spans="1:11" x14ac:dyDescent="0.25">
      <c r="A446" t="str">
        <f>"600"</f>
        <v>600</v>
      </c>
      <c r="B446" t="str">
        <f t="shared" si="23"/>
        <v>1</v>
      </c>
      <c r="C446" t="str">
        <f t="shared" si="25"/>
        <v>25</v>
      </c>
      <c r="D446" t="str">
        <f>"8"</f>
        <v>8</v>
      </c>
      <c r="E446" t="str">
        <f>"1-25-8"</f>
        <v>1-25-8</v>
      </c>
      <c r="F446" t="s">
        <v>15</v>
      </c>
      <c r="G446" t="s">
        <v>16</v>
      </c>
      <c r="H446" t="s">
        <v>17</v>
      </c>
      <c r="I446">
        <v>1</v>
      </c>
      <c r="J446">
        <v>0</v>
      </c>
      <c r="K446">
        <v>0</v>
      </c>
    </row>
    <row r="447" spans="1:11" x14ac:dyDescent="0.25">
      <c r="A447" t="str">
        <f>"601"</f>
        <v>601</v>
      </c>
      <c r="B447" t="str">
        <f t="shared" si="23"/>
        <v>1</v>
      </c>
      <c r="C447" t="str">
        <f t="shared" si="25"/>
        <v>25</v>
      </c>
      <c r="D447" t="str">
        <f>"16"</f>
        <v>16</v>
      </c>
      <c r="E447" t="str">
        <f>"1-25-16"</f>
        <v>1-25-16</v>
      </c>
      <c r="F447" t="s">
        <v>15</v>
      </c>
      <c r="G447" t="s">
        <v>18</v>
      </c>
      <c r="H447" t="s">
        <v>19</v>
      </c>
      <c r="I447">
        <v>0</v>
      </c>
      <c r="J447">
        <v>0</v>
      </c>
      <c r="K447">
        <v>0</v>
      </c>
    </row>
    <row r="448" spans="1:11" x14ac:dyDescent="0.25">
      <c r="A448" t="str">
        <f>"602"</f>
        <v>602</v>
      </c>
      <c r="B448" t="str">
        <f t="shared" ref="B448:B494" si="26">"1"</f>
        <v>1</v>
      </c>
      <c r="C448" t="str">
        <f t="shared" si="25"/>
        <v>25</v>
      </c>
      <c r="D448" t="str">
        <f>"4"</f>
        <v>4</v>
      </c>
      <c r="E448" t="str">
        <f>"1-25-4"</f>
        <v>1-25-4</v>
      </c>
      <c r="F448" t="s">
        <v>15</v>
      </c>
      <c r="G448" t="s">
        <v>16</v>
      </c>
      <c r="H448" t="s">
        <v>17</v>
      </c>
      <c r="I448">
        <v>0</v>
      </c>
      <c r="J448">
        <v>0</v>
      </c>
      <c r="K448">
        <v>0</v>
      </c>
    </row>
    <row r="449" spans="1:11" x14ac:dyDescent="0.25">
      <c r="A449" t="str">
        <f>"603"</f>
        <v>603</v>
      </c>
      <c r="B449" t="str">
        <f t="shared" si="26"/>
        <v>1</v>
      </c>
      <c r="C449" t="str">
        <f t="shared" ref="C449:C465" si="27">"26"</f>
        <v>26</v>
      </c>
      <c r="D449" t="str">
        <f>"31"</f>
        <v>31</v>
      </c>
      <c r="E449" t="str">
        <f>"1-26-31"</f>
        <v>1-26-31</v>
      </c>
      <c r="F449" t="s">
        <v>15</v>
      </c>
      <c r="G449" t="s">
        <v>20</v>
      </c>
      <c r="H449" t="s">
        <v>21</v>
      </c>
      <c r="I449">
        <v>0</v>
      </c>
      <c r="J449">
        <v>1</v>
      </c>
      <c r="K449">
        <v>0</v>
      </c>
    </row>
    <row r="450" spans="1:11" x14ac:dyDescent="0.25">
      <c r="A450" t="str">
        <f>"606"</f>
        <v>606</v>
      </c>
      <c r="B450" t="str">
        <f t="shared" si="26"/>
        <v>1</v>
      </c>
      <c r="C450" t="str">
        <f t="shared" si="27"/>
        <v>26</v>
      </c>
      <c r="D450" t="str">
        <f>"1"</f>
        <v>1</v>
      </c>
      <c r="E450" t="str">
        <f>"1-26-1"</f>
        <v>1-26-1</v>
      </c>
      <c r="F450" t="s">
        <v>15</v>
      </c>
      <c r="G450" t="s">
        <v>18</v>
      </c>
      <c r="H450" t="s">
        <v>19</v>
      </c>
      <c r="I450">
        <v>0</v>
      </c>
      <c r="J450">
        <v>0</v>
      </c>
      <c r="K450">
        <v>1</v>
      </c>
    </row>
    <row r="451" spans="1:11" x14ac:dyDescent="0.25">
      <c r="A451" t="str">
        <f>"607"</f>
        <v>607</v>
      </c>
      <c r="B451" t="str">
        <f t="shared" si="26"/>
        <v>1</v>
      </c>
      <c r="C451" t="str">
        <f t="shared" si="27"/>
        <v>26</v>
      </c>
      <c r="D451" t="str">
        <f>"33"</f>
        <v>33</v>
      </c>
      <c r="E451" t="str">
        <f>"1-26-33"</f>
        <v>1-26-33</v>
      </c>
      <c r="F451" t="s">
        <v>15</v>
      </c>
      <c r="G451" t="s">
        <v>16</v>
      </c>
      <c r="H451" t="s">
        <v>17</v>
      </c>
      <c r="I451">
        <v>1</v>
      </c>
      <c r="J451">
        <v>0</v>
      </c>
      <c r="K451">
        <v>0</v>
      </c>
    </row>
    <row r="452" spans="1:11" x14ac:dyDescent="0.25">
      <c r="A452" t="str">
        <f>"610"</f>
        <v>610</v>
      </c>
      <c r="B452" t="str">
        <f t="shared" si="26"/>
        <v>1</v>
      </c>
      <c r="C452" t="str">
        <f t="shared" si="27"/>
        <v>26</v>
      </c>
      <c r="D452" t="str">
        <f>"4"</f>
        <v>4</v>
      </c>
      <c r="E452" t="str">
        <f>"1-26-4"</f>
        <v>1-26-4</v>
      </c>
      <c r="F452" t="s">
        <v>15</v>
      </c>
      <c r="G452" t="s">
        <v>16</v>
      </c>
      <c r="H452" t="s">
        <v>17</v>
      </c>
      <c r="I452">
        <v>0</v>
      </c>
      <c r="J452">
        <v>0</v>
      </c>
      <c r="K452">
        <v>1</v>
      </c>
    </row>
    <row r="453" spans="1:11" x14ac:dyDescent="0.25">
      <c r="A453" t="str">
        <f>"616"</f>
        <v>616</v>
      </c>
      <c r="B453" t="str">
        <f t="shared" si="26"/>
        <v>1</v>
      </c>
      <c r="C453" t="str">
        <f t="shared" si="27"/>
        <v>26</v>
      </c>
      <c r="D453" t="str">
        <f>"3"</f>
        <v>3</v>
      </c>
      <c r="E453" t="str">
        <f>"1-26-3"</f>
        <v>1-26-3</v>
      </c>
      <c r="F453" t="s">
        <v>15</v>
      </c>
      <c r="G453" t="s">
        <v>16</v>
      </c>
      <c r="H453" t="s">
        <v>17</v>
      </c>
      <c r="I453">
        <v>0</v>
      </c>
      <c r="J453">
        <v>1</v>
      </c>
      <c r="K453">
        <v>0</v>
      </c>
    </row>
    <row r="454" spans="1:11" x14ac:dyDescent="0.25">
      <c r="A454" t="str">
        <f>"618"</f>
        <v>618</v>
      </c>
      <c r="B454" t="str">
        <f t="shared" si="26"/>
        <v>1</v>
      </c>
      <c r="C454" t="str">
        <f t="shared" si="27"/>
        <v>26</v>
      </c>
      <c r="D454" t="str">
        <f>"6"</f>
        <v>6</v>
      </c>
      <c r="E454" t="str">
        <f>"1-26-6"</f>
        <v>1-26-6</v>
      </c>
      <c r="F454" t="s">
        <v>15</v>
      </c>
      <c r="G454" t="s">
        <v>16</v>
      </c>
      <c r="H454" t="s">
        <v>17</v>
      </c>
      <c r="I454">
        <v>0</v>
      </c>
      <c r="J454">
        <v>1</v>
      </c>
      <c r="K454">
        <v>0</v>
      </c>
    </row>
    <row r="455" spans="1:11" x14ac:dyDescent="0.25">
      <c r="A455" t="str">
        <f>"622"</f>
        <v>622</v>
      </c>
      <c r="B455" t="str">
        <f t="shared" si="26"/>
        <v>1</v>
      </c>
      <c r="C455" t="str">
        <f t="shared" si="27"/>
        <v>26</v>
      </c>
      <c r="D455" t="str">
        <f>"7"</f>
        <v>7</v>
      </c>
      <c r="E455" t="str">
        <f>"1-26-7"</f>
        <v>1-26-7</v>
      </c>
      <c r="F455" t="s">
        <v>15</v>
      </c>
      <c r="G455" t="s">
        <v>16</v>
      </c>
      <c r="H455" t="s">
        <v>17</v>
      </c>
      <c r="I455">
        <v>0</v>
      </c>
      <c r="J455">
        <v>1</v>
      </c>
      <c r="K455">
        <v>0</v>
      </c>
    </row>
    <row r="456" spans="1:11" x14ac:dyDescent="0.25">
      <c r="A456" t="str">
        <f>"624"</f>
        <v>624</v>
      </c>
      <c r="B456" t="str">
        <f t="shared" si="26"/>
        <v>1</v>
      </c>
      <c r="C456" t="str">
        <f t="shared" si="27"/>
        <v>26</v>
      </c>
      <c r="D456" t="str">
        <f>"9"</f>
        <v>9</v>
      </c>
      <c r="E456" t="str">
        <f>"1-26-9"</f>
        <v>1-26-9</v>
      </c>
      <c r="F456" t="s">
        <v>15</v>
      </c>
      <c r="G456" t="s">
        <v>16</v>
      </c>
      <c r="H456" t="s">
        <v>17</v>
      </c>
      <c r="I456">
        <v>1</v>
      </c>
      <c r="J456">
        <v>0</v>
      </c>
      <c r="K456">
        <v>0</v>
      </c>
    </row>
    <row r="457" spans="1:11" x14ac:dyDescent="0.25">
      <c r="A457" t="str">
        <f>"627"</f>
        <v>627</v>
      </c>
      <c r="B457" t="str">
        <f t="shared" si="26"/>
        <v>1</v>
      </c>
      <c r="C457" t="str">
        <f t="shared" si="27"/>
        <v>26</v>
      </c>
      <c r="D457" t="str">
        <f>"27"</f>
        <v>27</v>
      </c>
      <c r="E457" t="str">
        <f>"1-26-27"</f>
        <v>1-26-27</v>
      </c>
      <c r="F457" t="s">
        <v>15</v>
      </c>
      <c r="G457" t="s">
        <v>18</v>
      </c>
      <c r="H457" t="s">
        <v>19</v>
      </c>
      <c r="I457">
        <v>0</v>
      </c>
      <c r="J457">
        <v>0</v>
      </c>
      <c r="K457">
        <v>1</v>
      </c>
    </row>
    <row r="458" spans="1:11" x14ac:dyDescent="0.25">
      <c r="A458" t="str">
        <f>"628"</f>
        <v>628</v>
      </c>
      <c r="B458" t="str">
        <f t="shared" si="26"/>
        <v>1</v>
      </c>
      <c r="C458" t="str">
        <f t="shared" si="27"/>
        <v>26</v>
      </c>
      <c r="D458" t="str">
        <f>"2"</f>
        <v>2</v>
      </c>
      <c r="E458" t="str">
        <f>"1-26-2"</f>
        <v>1-26-2</v>
      </c>
      <c r="F458" t="s">
        <v>15</v>
      </c>
      <c r="G458" t="s">
        <v>16</v>
      </c>
      <c r="H458" t="s">
        <v>17</v>
      </c>
      <c r="I458">
        <v>0</v>
      </c>
      <c r="J458">
        <v>1</v>
      </c>
      <c r="K458">
        <v>0</v>
      </c>
    </row>
    <row r="459" spans="1:11" x14ac:dyDescent="0.25">
      <c r="A459" t="str">
        <f>"629"</f>
        <v>629</v>
      </c>
      <c r="B459" t="str">
        <f t="shared" si="26"/>
        <v>1</v>
      </c>
      <c r="C459" t="str">
        <f t="shared" si="27"/>
        <v>26</v>
      </c>
      <c r="D459" t="str">
        <f>"28"</f>
        <v>28</v>
      </c>
      <c r="E459" t="str">
        <f>"1-26-28"</f>
        <v>1-26-28</v>
      </c>
      <c r="F459" t="s">
        <v>15</v>
      </c>
      <c r="G459" t="s">
        <v>18</v>
      </c>
      <c r="H459" t="s">
        <v>19</v>
      </c>
      <c r="I459">
        <v>0</v>
      </c>
      <c r="J459">
        <v>1</v>
      </c>
      <c r="K459">
        <v>0</v>
      </c>
    </row>
    <row r="460" spans="1:11" x14ac:dyDescent="0.25">
      <c r="A460" t="str">
        <f>"630"</f>
        <v>630</v>
      </c>
      <c r="B460" t="str">
        <f t="shared" si="26"/>
        <v>1</v>
      </c>
      <c r="C460" t="str">
        <f t="shared" si="27"/>
        <v>26</v>
      </c>
      <c r="D460" t="str">
        <f>"10"</f>
        <v>10</v>
      </c>
      <c r="E460" t="str">
        <f>"1-26-10"</f>
        <v>1-26-10</v>
      </c>
      <c r="F460" t="s">
        <v>15</v>
      </c>
      <c r="G460" t="s">
        <v>16</v>
      </c>
      <c r="H460" t="s">
        <v>17</v>
      </c>
      <c r="I460">
        <v>1</v>
      </c>
      <c r="J460">
        <v>0</v>
      </c>
      <c r="K460">
        <v>0</v>
      </c>
    </row>
    <row r="461" spans="1:11" x14ac:dyDescent="0.25">
      <c r="A461" t="str">
        <f>"631"</f>
        <v>631</v>
      </c>
      <c r="B461" t="str">
        <f t="shared" si="26"/>
        <v>1</v>
      </c>
      <c r="C461" t="str">
        <f t="shared" si="27"/>
        <v>26</v>
      </c>
      <c r="D461" t="str">
        <f>"29"</f>
        <v>29</v>
      </c>
      <c r="E461" t="str">
        <f>"1-26-29"</f>
        <v>1-26-29</v>
      </c>
      <c r="F461" t="s">
        <v>15</v>
      </c>
      <c r="G461" t="s">
        <v>16</v>
      </c>
      <c r="H461" t="s">
        <v>17</v>
      </c>
      <c r="I461">
        <v>1</v>
      </c>
      <c r="J461">
        <v>0</v>
      </c>
      <c r="K461">
        <v>0</v>
      </c>
    </row>
    <row r="462" spans="1:11" x14ac:dyDescent="0.25">
      <c r="A462" t="str">
        <f>"632"</f>
        <v>632</v>
      </c>
      <c r="B462" t="str">
        <f t="shared" si="26"/>
        <v>1</v>
      </c>
      <c r="C462" t="str">
        <f t="shared" si="27"/>
        <v>26</v>
      </c>
      <c r="D462" t="str">
        <f>"5"</f>
        <v>5</v>
      </c>
      <c r="E462" t="str">
        <f>"1-26-5"</f>
        <v>1-26-5</v>
      </c>
      <c r="F462" t="s">
        <v>15</v>
      </c>
      <c r="G462" t="s">
        <v>16</v>
      </c>
      <c r="H462" t="s">
        <v>17</v>
      </c>
      <c r="I462">
        <v>1</v>
      </c>
      <c r="J462">
        <v>0</v>
      </c>
      <c r="K462">
        <v>0</v>
      </c>
    </row>
    <row r="463" spans="1:11" x14ac:dyDescent="0.25">
      <c r="A463" t="str">
        <f>"633"</f>
        <v>633</v>
      </c>
      <c r="B463" t="str">
        <f t="shared" si="26"/>
        <v>1</v>
      </c>
      <c r="C463" t="str">
        <f t="shared" si="27"/>
        <v>26</v>
      </c>
      <c r="D463" t="str">
        <f>"8"</f>
        <v>8</v>
      </c>
      <c r="E463" t="str">
        <f>"1-26-8"</f>
        <v>1-26-8</v>
      </c>
      <c r="F463" t="s">
        <v>15</v>
      </c>
      <c r="G463" t="s">
        <v>16</v>
      </c>
      <c r="H463" t="s">
        <v>17</v>
      </c>
      <c r="I463">
        <v>0</v>
      </c>
      <c r="J463">
        <v>1</v>
      </c>
      <c r="K463">
        <v>0</v>
      </c>
    </row>
    <row r="464" spans="1:11" x14ac:dyDescent="0.25">
      <c r="A464" t="str">
        <f>"634"</f>
        <v>634</v>
      </c>
      <c r="B464" t="str">
        <f t="shared" si="26"/>
        <v>1</v>
      </c>
      <c r="C464" t="str">
        <f t="shared" si="27"/>
        <v>26</v>
      </c>
      <c r="D464" t="str">
        <f>"30"</f>
        <v>30</v>
      </c>
      <c r="E464" t="str">
        <f>"1-26-30"</f>
        <v>1-26-30</v>
      </c>
      <c r="F464" t="s">
        <v>15</v>
      </c>
      <c r="G464" t="s">
        <v>20</v>
      </c>
      <c r="H464" t="s">
        <v>21</v>
      </c>
      <c r="I464">
        <v>0</v>
      </c>
      <c r="J464">
        <v>0</v>
      </c>
      <c r="K464">
        <v>0</v>
      </c>
    </row>
    <row r="465" spans="1:11" x14ac:dyDescent="0.25">
      <c r="A465" t="str">
        <f>"635"</f>
        <v>635</v>
      </c>
      <c r="B465" t="str">
        <f t="shared" si="26"/>
        <v>1</v>
      </c>
      <c r="C465" t="str">
        <f t="shared" si="27"/>
        <v>26</v>
      </c>
      <c r="D465" t="str">
        <f>"32"</f>
        <v>32</v>
      </c>
      <c r="E465" t="str">
        <f>"1-26-32"</f>
        <v>1-26-32</v>
      </c>
      <c r="F465" t="s">
        <v>15</v>
      </c>
      <c r="G465" t="s">
        <v>16</v>
      </c>
      <c r="H465" t="s">
        <v>17</v>
      </c>
      <c r="I465">
        <v>0</v>
      </c>
      <c r="J465">
        <v>0</v>
      </c>
      <c r="K465">
        <v>0</v>
      </c>
    </row>
    <row r="466" spans="1:11" x14ac:dyDescent="0.25">
      <c r="A466" t="str">
        <f>"636"</f>
        <v>636</v>
      </c>
      <c r="B466" t="str">
        <f t="shared" si="26"/>
        <v>1</v>
      </c>
      <c r="C466" t="str">
        <f t="shared" ref="C466:C491" si="28">"27"</f>
        <v>27</v>
      </c>
      <c r="D466" t="str">
        <f>"24"</f>
        <v>24</v>
      </c>
      <c r="E466" t="str">
        <f>"1-27-24"</f>
        <v>1-27-24</v>
      </c>
      <c r="F466" t="s">
        <v>15</v>
      </c>
      <c r="G466" t="s">
        <v>16</v>
      </c>
      <c r="H466" t="s">
        <v>17</v>
      </c>
      <c r="I466">
        <v>1</v>
      </c>
      <c r="J466">
        <v>0</v>
      </c>
      <c r="K466">
        <v>0</v>
      </c>
    </row>
    <row r="467" spans="1:11" x14ac:dyDescent="0.25">
      <c r="A467" t="str">
        <f>"637"</f>
        <v>637</v>
      </c>
      <c r="B467" t="str">
        <f t="shared" si="26"/>
        <v>1</v>
      </c>
      <c r="C467" t="str">
        <f t="shared" si="28"/>
        <v>27</v>
      </c>
      <c r="D467" t="str">
        <f>"1"</f>
        <v>1</v>
      </c>
      <c r="E467" t="str">
        <f>"1-27-1"</f>
        <v>1-27-1</v>
      </c>
      <c r="F467" t="s">
        <v>15</v>
      </c>
      <c r="G467" t="s">
        <v>20</v>
      </c>
      <c r="H467" t="s">
        <v>21</v>
      </c>
      <c r="I467">
        <v>1</v>
      </c>
      <c r="J467">
        <v>0</v>
      </c>
      <c r="K467">
        <v>0</v>
      </c>
    </row>
    <row r="468" spans="1:11" x14ac:dyDescent="0.25">
      <c r="A468" t="str">
        <f>"638"</f>
        <v>638</v>
      </c>
      <c r="B468" t="str">
        <f t="shared" si="26"/>
        <v>1</v>
      </c>
      <c r="C468" t="str">
        <f t="shared" si="28"/>
        <v>27</v>
      </c>
      <c r="D468" t="str">
        <f>"22"</f>
        <v>22</v>
      </c>
      <c r="E468" t="str">
        <f>"1-27-22"</f>
        <v>1-27-22</v>
      </c>
      <c r="F468" t="s">
        <v>15</v>
      </c>
      <c r="G468" t="s">
        <v>16</v>
      </c>
      <c r="H468" t="s">
        <v>17</v>
      </c>
      <c r="I468">
        <v>1</v>
      </c>
      <c r="J468">
        <v>0</v>
      </c>
      <c r="K468">
        <v>0</v>
      </c>
    </row>
    <row r="469" spans="1:11" x14ac:dyDescent="0.25">
      <c r="A469" t="str">
        <f>"639"</f>
        <v>639</v>
      </c>
      <c r="B469" t="str">
        <f t="shared" si="26"/>
        <v>1</v>
      </c>
      <c r="C469" t="str">
        <f t="shared" si="28"/>
        <v>27</v>
      </c>
      <c r="D469" t="str">
        <f>"16"</f>
        <v>16</v>
      </c>
      <c r="E469" t="str">
        <f>"1-27-16"</f>
        <v>1-27-16</v>
      </c>
      <c r="F469" t="s">
        <v>15</v>
      </c>
      <c r="G469" t="s">
        <v>18</v>
      </c>
      <c r="H469" t="s">
        <v>19</v>
      </c>
      <c r="I469">
        <v>1</v>
      </c>
      <c r="J469">
        <v>0</v>
      </c>
      <c r="K469">
        <v>0</v>
      </c>
    </row>
    <row r="470" spans="1:11" x14ac:dyDescent="0.25">
      <c r="A470" t="str">
        <f>"640"</f>
        <v>640</v>
      </c>
      <c r="B470" t="str">
        <f t="shared" si="26"/>
        <v>1</v>
      </c>
      <c r="C470" t="str">
        <f t="shared" si="28"/>
        <v>27</v>
      </c>
      <c r="D470" t="str">
        <f>"3"</f>
        <v>3</v>
      </c>
      <c r="E470" t="str">
        <f>"1-27-3"</f>
        <v>1-27-3</v>
      </c>
      <c r="F470" t="s">
        <v>15</v>
      </c>
      <c r="G470" t="s">
        <v>16</v>
      </c>
      <c r="H470" t="s">
        <v>17</v>
      </c>
      <c r="I470">
        <v>0</v>
      </c>
      <c r="J470">
        <v>1</v>
      </c>
      <c r="K470">
        <v>0</v>
      </c>
    </row>
    <row r="471" spans="1:11" x14ac:dyDescent="0.25">
      <c r="A471" t="str">
        <f>"641"</f>
        <v>641</v>
      </c>
      <c r="B471" t="str">
        <f t="shared" si="26"/>
        <v>1</v>
      </c>
      <c r="C471" t="str">
        <f t="shared" si="28"/>
        <v>27</v>
      </c>
      <c r="D471" t="str">
        <f>"17"</f>
        <v>17</v>
      </c>
      <c r="E471" t="str">
        <f>"1-27-17"</f>
        <v>1-27-17</v>
      </c>
      <c r="F471" t="s">
        <v>15</v>
      </c>
      <c r="G471" t="s">
        <v>16</v>
      </c>
      <c r="H471" t="s">
        <v>17</v>
      </c>
      <c r="I471">
        <v>0</v>
      </c>
      <c r="J471">
        <v>0</v>
      </c>
      <c r="K471">
        <v>1</v>
      </c>
    </row>
    <row r="472" spans="1:11" x14ac:dyDescent="0.25">
      <c r="A472" t="str">
        <f>"642"</f>
        <v>642</v>
      </c>
      <c r="B472" t="str">
        <f t="shared" si="26"/>
        <v>1</v>
      </c>
      <c r="C472" t="str">
        <f t="shared" si="28"/>
        <v>27</v>
      </c>
      <c r="D472" t="str">
        <f>"7"</f>
        <v>7</v>
      </c>
      <c r="E472" t="str">
        <f>"1-27-7"</f>
        <v>1-27-7</v>
      </c>
      <c r="F472" t="s">
        <v>15</v>
      </c>
      <c r="G472" t="s">
        <v>16</v>
      </c>
      <c r="H472" t="s">
        <v>17</v>
      </c>
      <c r="I472">
        <v>1</v>
      </c>
      <c r="J472">
        <v>0</v>
      </c>
      <c r="K472">
        <v>0</v>
      </c>
    </row>
    <row r="473" spans="1:11" x14ac:dyDescent="0.25">
      <c r="A473" t="str">
        <f>"643"</f>
        <v>643</v>
      </c>
      <c r="B473" t="str">
        <f t="shared" si="26"/>
        <v>1</v>
      </c>
      <c r="C473" t="str">
        <f t="shared" si="28"/>
        <v>27</v>
      </c>
      <c r="D473" t="str">
        <f>"18"</f>
        <v>18</v>
      </c>
      <c r="E473" t="str">
        <f>"1-27-18"</f>
        <v>1-27-18</v>
      </c>
      <c r="F473" t="s">
        <v>15</v>
      </c>
      <c r="G473" t="s">
        <v>20</v>
      </c>
      <c r="H473" t="s">
        <v>21</v>
      </c>
      <c r="I473">
        <v>0</v>
      </c>
      <c r="J473">
        <v>1</v>
      </c>
      <c r="K473">
        <v>0</v>
      </c>
    </row>
    <row r="474" spans="1:11" x14ac:dyDescent="0.25">
      <c r="A474" t="str">
        <f>"644"</f>
        <v>644</v>
      </c>
      <c r="B474" t="str">
        <f t="shared" si="26"/>
        <v>1</v>
      </c>
      <c r="C474" t="str">
        <f t="shared" si="28"/>
        <v>27</v>
      </c>
      <c r="D474" t="str">
        <f>"2"</f>
        <v>2</v>
      </c>
      <c r="E474" t="str">
        <f>"1-27-2"</f>
        <v>1-27-2</v>
      </c>
      <c r="F474" t="s">
        <v>15</v>
      </c>
      <c r="G474" t="s">
        <v>20</v>
      </c>
      <c r="H474" t="s">
        <v>21</v>
      </c>
      <c r="I474">
        <v>1</v>
      </c>
      <c r="J474">
        <v>0</v>
      </c>
      <c r="K474">
        <v>0</v>
      </c>
    </row>
    <row r="475" spans="1:11" x14ac:dyDescent="0.25">
      <c r="A475" t="str">
        <f>"645"</f>
        <v>645</v>
      </c>
      <c r="B475" t="str">
        <f t="shared" si="26"/>
        <v>1</v>
      </c>
      <c r="C475" t="str">
        <f t="shared" si="28"/>
        <v>27</v>
      </c>
      <c r="D475" t="str">
        <f>"19"</f>
        <v>19</v>
      </c>
      <c r="E475" t="str">
        <f>"1-27-19"</f>
        <v>1-27-19</v>
      </c>
      <c r="F475" t="s">
        <v>15</v>
      </c>
      <c r="G475" t="s">
        <v>16</v>
      </c>
      <c r="H475" t="s">
        <v>17</v>
      </c>
      <c r="I475">
        <v>0</v>
      </c>
      <c r="J475">
        <v>0</v>
      </c>
      <c r="K475">
        <v>1</v>
      </c>
    </row>
    <row r="476" spans="1:11" x14ac:dyDescent="0.25">
      <c r="A476" t="str">
        <f>"646"</f>
        <v>646</v>
      </c>
      <c r="B476" t="str">
        <f t="shared" si="26"/>
        <v>1</v>
      </c>
      <c r="C476" t="str">
        <f t="shared" si="28"/>
        <v>27</v>
      </c>
      <c r="D476" t="str">
        <f>"5"</f>
        <v>5</v>
      </c>
      <c r="E476" t="str">
        <f>"1-27-5"</f>
        <v>1-27-5</v>
      </c>
      <c r="F476" t="s">
        <v>15</v>
      </c>
      <c r="G476" t="s">
        <v>20</v>
      </c>
      <c r="H476" t="s">
        <v>21</v>
      </c>
      <c r="I476">
        <v>1</v>
      </c>
      <c r="J476">
        <v>0</v>
      </c>
      <c r="K476">
        <v>0</v>
      </c>
    </row>
    <row r="477" spans="1:11" x14ac:dyDescent="0.25">
      <c r="A477" t="str">
        <f>"647"</f>
        <v>647</v>
      </c>
      <c r="B477" t="str">
        <f t="shared" si="26"/>
        <v>1</v>
      </c>
      <c r="C477" t="str">
        <f t="shared" si="28"/>
        <v>27</v>
      </c>
      <c r="D477" t="str">
        <f>"20"</f>
        <v>20</v>
      </c>
      <c r="E477" t="str">
        <f>"1-27-20"</f>
        <v>1-27-20</v>
      </c>
      <c r="F477" t="s">
        <v>15</v>
      </c>
      <c r="G477" t="s">
        <v>16</v>
      </c>
      <c r="H477" t="s">
        <v>17</v>
      </c>
      <c r="I477">
        <v>0</v>
      </c>
      <c r="J477">
        <v>0</v>
      </c>
      <c r="K477">
        <v>1</v>
      </c>
    </row>
    <row r="478" spans="1:11" x14ac:dyDescent="0.25">
      <c r="A478" t="str">
        <f>"648"</f>
        <v>648</v>
      </c>
      <c r="B478" t="str">
        <f t="shared" si="26"/>
        <v>1</v>
      </c>
      <c r="C478" t="str">
        <f t="shared" si="28"/>
        <v>27</v>
      </c>
      <c r="D478" t="str">
        <f>"11"</f>
        <v>11</v>
      </c>
      <c r="E478" t="str">
        <f>"1-27-11"</f>
        <v>1-27-11</v>
      </c>
      <c r="F478" t="s">
        <v>15</v>
      </c>
      <c r="G478" t="s">
        <v>16</v>
      </c>
      <c r="H478" t="s">
        <v>17</v>
      </c>
      <c r="I478">
        <v>1</v>
      </c>
      <c r="J478">
        <v>0</v>
      </c>
      <c r="K478">
        <v>0</v>
      </c>
    </row>
    <row r="479" spans="1:11" x14ac:dyDescent="0.25">
      <c r="A479" t="str">
        <f>"649"</f>
        <v>649</v>
      </c>
      <c r="B479" t="str">
        <f t="shared" si="26"/>
        <v>1</v>
      </c>
      <c r="C479" t="str">
        <f t="shared" si="28"/>
        <v>27</v>
      </c>
      <c r="D479" t="str">
        <f>"21"</f>
        <v>21</v>
      </c>
      <c r="E479" t="str">
        <f>"1-27-21"</f>
        <v>1-27-21</v>
      </c>
      <c r="F479" t="s">
        <v>15</v>
      </c>
      <c r="G479" t="s">
        <v>16</v>
      </c>
      <c r="H479" t="s">
        <v>17</v>
      </c>
      <c r="I479">
        <v>0</v>
      </c>
      <c r="J479">
        <v>1</v>
      </c>
      <c r="K479">
        <v>0</v>
      </c>
    </row>
    <row r="480" spans="1:11" x14ac:dyDescent="0.25">
      <c r="A480" t="str">
        <f>"650"</f>
        <v>650</v>
      </c>
      <c r="B480" t="str">
        <f t="shared" si="26"/>
        <v>1</v>
      </c>
      <c r="C480" t="str">
        <f t="shared" si="28"/>
        <v>27</v>
      </c>
      <c r="D480" t="str">
        <f>"9"</f>
        <v>9</v>
      </c>
      <c r="E480" t="str">
        <f>"1-27-9"</f>
        <v>1-27-9</v>
      </c>
      <c r="F480" t="s">
        <v>15</v>
      </c>
      <c r="G480" t="s">
        <v>18</v>
      </c>
      <c r="H480" t="s">
        <v>19</v>
      </c>
      <c r="I480">
        <v>0</v>
      </c>
      <c r="J480">
        <v>1</v>
      </c>
      <c r="K480">
        <v>0</v>
      </c>
    </row>
    <row r="481" spans="1:11" x14ac:dyDescent="0.25">
      <c r="A481" t="str">
        <f>"651"</f>
        <v>651</v>
      </c>
      <c r="B481" t="str">
        <f t="shared" si="26"/>
        <v>1</v>
      </c>
      <c r="C481" t="str">
        <f t="shared" si="28"/>
        <v>27</v>
      </c>
      <c r="D481" t="str">
        <f>"23"</f>
        <v>23</v>
      </c>
      <c r="E481" t="str">
        <f>"1-27-23"</f>
        <v>1-27-23</v>
      </c>
      <c r="F481" t="s">
        <v>15</v>
      </c>
      <c r="G481" t="s">
        <v>16</v>
      </c>
      <c r="H481" t="s">
        <v>17</v>
      </c>
      <c r="I481">
        <v>1</v>
      </c>
      <c r="J481">
        <v>0</v>
      </c>
      <c r="K481">
        <v>0</v>
      </c>
    </row>
    <row r="482" spans="1:11" x14ac:dyDescent="0.25">
      <c r="A482" t="str">
        <f>"652"</f>
        <v>652</v>
      </c>
      <c r="B482" t="str">
        <f t="shared" si="26"/>
        <v>1</v>
      </c>
      <c r="C482" t="str">
        <f t="shared" si="28"/>
        <v>27</v>
      </c>
      <c r="D482" t="str">
        <f>"8"</f>
        <v>8</v>
      </c>
      <c r="E482" t="str">
        <f>"1-27-8"</f>
        <v>1-27-8</v>
      </c>
      <c r="F482" t="s">
        <v>15</v>
      </c>
      <c r="G482" t="s">
        <v>18</v>
      </c>
      <c r="H482" t="s">
        <v>19</v>
      </c>
      <c r="I482">
        <v>0</v>
      </c>
      <c r="J482">
        <v>0</v>
      </c>
      <c r="K482">
        <v>1</v>
      </c>
    </row>
    <row r="483" spans="1:11" x14ac:dyDescent="0.25">
      <c r="A483" t="str">
        <f>"653"</f>
        <v>653</v>
      </c>
      <c r="B483" t="str">
        <f t="shared" si="26"/>
        <v>1</v>
      </c>
      <c r="C483" t="str">
        <f t="shared" si="28"/>
        <v>27</v>
      </c>
      <c r="D483" t="str">
        <f>"25"</f>
        <v>25</v>
      </c>
      <c r="E483" t="str">
        <f>"1-27-25"</f>
        <v>1-27-25</v>
      </c>
      <c r="F483" t="s">
        <v>15</v>
      </c>
      <c r="G483" t="s">
        <v>20</v>
      </c>
      <c r="H483" t="s">
        <v>21</v>
      </c>
      <c r="I483">
        <v>1</v>
      </c>
      <c r="J483">
        <v>0</v>
      </c>
      <c r="K483">
        <v>0</v>
      </c>
    </row>
    <row r="484" spans="1:11" x14ac:dyDescent="0.25">
      <c r="A484" t="str">
        <f>"654"</f>
        <v>654</v>
      </c>
      <c r="B484" t="str">
        <f t="shared" si="26"/>
        <v>1</v>
      </c>
      <c r="C484" t="str">
        <f t="shared" si="28"/>
        <v>27</v>
      </c>
      <c r="D484" t="str">
        <f>"6"</f>
        <v>6</v>
      </c>
      <c r="E484" t="str">
        <f>"1-27-6"</f>
        <v>1-27-6</v>
      </c>
      <c r="F484" t="s">
        <v>15</v>
      </c>
      <c r="G484" t="s">
        <v>20</v>
      </c>
      <c r="H484" t="s">
        <v>21</v>
      </c>
      <c r="I484">
        <v>0</v>
      </c>
      <c r="J484">
        <v>1</v>
      </c>
      <c r="K484">
        <v>0</v>
      </c>
    </row>
    <row r="485" spans="1:11" x14ac:dyDescent="0.25">
      <c r="A485" t="str">
        <f>"655"</f>
        <v>655</v>
      </c>
      <c r="B485" t="str">
        <f t="shared" si="26"/>
        <v>1</v>
      </c>
      <c r="C485" t="str">
        <f t="shared" si="28"/>
        <v>27</v>
      </c>
      <c r="D485" t="str">
        <f>"26"</f>
        <v>26</v>
      </c>
      <c r="E485" t="str">
        <f>"1-27-26"</f>
        <v>1-27-26</v>
      </c>
      <c r="F485" t="s">
        <v>15</v>
      </c>
      <c r="G485" t="s">
        <v>18</v>
      </c>
      <c r="H485" t="s">
        <v>19</v>
      </c>
      <c r="I485">
        <v>1</v>
      </c>
      <c r="J485">
        <v>0</v>
      </c>
      <c r="K485">
        <v>0</v>
      </c>
    </row>
    <row r="486" spans="1:11" x14ac:dyDescent="0.25">
      <c r="A486" t="str">
        <f>"656"</f>
        <v>656</v>
      </c>
      <c r="B486" t="str">
        <f t="shared" si="26"/>
        <v>1</v>
      </c>
      <c r="C486" t="str">
        <f t="shared" si="28"/>
        <v>27</v>
      </c>
      <c r="D486" t="str">
        <f>"12"</f>
        <v>12</v>
      </c>
      <c r="E486" t="str">
        <f>"1-27-12"</f>
        <v>1-27-12</v>
      </c>
      <c r="F486" t="s">
        <v>15</v>
      </c>
      <c r="G486" t="s">
        <v>18</v>
      </c>
      <c r="H486" t="s">
        <v>19</v>
      </c>
      <c r="I486">
        <v>0</v>
      </c>
      <c r="J486">
        <v>0</v>
      </c>
      <c r="K486">
        <v>1</v>
      </c>
    </row>
    <row r="487" spans="1:11" x14ac:dyDescent="0.25">
      <c r="A487" t="str">
        <f>"657"</f>
        <v>657</v>
      </c>
      <c r="B487" t="str">
        <f t="shared" si="26"/>
        <v>1</v>
      </c>
      <c r="C487" t="str">
        <f t="shared" si="28"/>
        <v>27</v>
      </c>
      <c r="D487" t="str">
        <f>"4"</f>
        <v>4</v>
      </c>
      <c r="E487" t="str">
        <f>"1-27-4"</f>
        <v>1-27-4</v>
      </c>
      <c r="F487" t="s">
        <v>15</v>
      </c>
      <c r="G487" t="s">
        <v>16</v>
      </c>
      <c r="H487" t="s">
        <v>17</v>
      </c>
      <c r="I487">
        <v>0</v>
      </c>
      <c r="J487">
        <v>1</v>
      </c>
      <c r="K487">
        <v>0</v>
      </c>
    </row>
    <row r="488" spans="1:11" x14ac:dyDescent="0.25">
      <c r="A488" t="str">
        <f>"658"</f>
        <v>658</v>
      </c>
      <c r="B488" t="str">
        <f t="shared" si="26"/>
        <v>1</v>
      </c>
      <c r="C488" t="str">
        <f t="shared" si="28"/>
        <v>27</v>
      </c>
      <c r="D488" t="str">
        <f>"13"</f>
        <v>13</v>
      </c>
      <c r="E488" t="str">
        <f>"1-27-13"</f>
        <v>1-27-13</v>
      </c>
      <c r="F488" t="s">
        <v>15</v>
      </c>
      <c r="G488" t="s">
        <v>16</v>
      </c>
      <c r="H488" t="s">
        <v>17</v>
      </c>
      <c r="I488">
        <v>1</v>
      </c>
      <c r="J488">
        <v>0</v>
      </c>
      <c r="K488">
        <v>0</v>
      </c>
    </row>
    <row r="489" spans="1:11" x14ac:dyDescent="0.25">
      <c r="A489" t="str">
        <f>"659"</f>
        <v>659</v>
      </c>
      <c r="B489" t="str">
        <f t="shared" si="26"/>
        <v>1</v>
      </c>
      <c r="C489" t="str">
        <f t="shared" si="28"/>
        <v>27</v>
      </c>
      <c r="D489" t="str">
        <f>"10"</f>
        <v>10</v>
      </c>
      <c r="E489" t="str">
        <f>"1-27-10"</f>
        <v>1-27-10</v>
      </c>
      <c r="F489" t="s">
        <v>15</v>
      </c>
      <c r="G489" t="s">
        <v>20</v>
      </c>
      <c r="H489" t="s">
        <v>21</v>
      </c>
      <c r="I489">
        <v>0</v>
      </c>
      <c r="J489">
        <v>1</v>
      </c>
      <c r="K489">
        <v>0</v>
      </c>
    </row>
    <row r="490" spans="1:11" x14ac:dyDescent="0.25">
      <c r="A490" t="str">
        <f>"660"</f>
        <v>660</v>
      </c>
      <c r="B490" t="str">
        <f t="shared" si="26"/>
        <v>1</v>
      </c>
      <c r="C490" t="str">
        <f t="shared" si="28"/>
        <v>27</v>
      </c>
      <c r="D490" t="str">
        <f>"14"</f>
        <v>14</v>
      </c>
      <c r="E490" t="str">
        <f>"1-27-14"</f>
        <v>1-27-14</v>
      </c>
      <c r="F490" t="s">
        <v>15</v>
      </c>
      <c r="G490" t="s">
        <v>16</v>
      </c>
      <c r="H490" t="s">
        <v>17</v>
      </c>
      <c r="I490">
        <v>0</v>
      </c>
      <c r="J490">
        <v>0</v>
      </c>
      <c r="K490">
        <v>1</v>
      </c>
    </row>
    <row r="491" spans="1:11" x14ac:dyDescent="0.25">
      <c r="A491" t="str">
        <f>"661"</f>
        <v>661</v>
      </c>
      <c r="B491" t="str">
        <f t="shared" si="26"/>
        <v>1</v>
      </c>
      <c r="C491" t="str">
        <f t="shared" si="28"/>
        <v>27</v>
      </c>
      <c r="D491" t="str">
        <f>"15"</f>
        <v>15</v>
      </c>
      <c r="E491" t="str">
        <f>"1-27-15"</f>
        <v>1-27-15</v>
      </c>
      <c r="F491" t="s">
        <v>15</v>
      </c>
      <c r="G491" t="s">
        <v>20</v>
      </c>
      <c r="H491" t="s">
        <v>21</v>
      </c>
      <c r="I491">
        <v>0</v>
      </c>
      <c r="J491">
        <v>0</v>
      </c>
      <c r="K491">
        <v>0</v>
      </c>
    </row>
    <row r="492" spans="1:11" x14ac:dyDescent="0.25">
      <c r="A492" t="str">
        <f>"662"</f>
        <v>662</v>
      </c>
      <c r="B492" t="str">
        <f t="shared" si="26"/>
        <v>1</v>
      </c>
      <c r="C492" t="str">
        <f t="shared" ref="C492:C508" si="29">"28"</f>
        <v>28</v>
      </c>
      <c r="D492" t="str">
        <f>"15"</f>
        <v>15</v>
      </c>
      <c r="E492" t="str">
        <f>"1-28-15"</f>
        <v>1-28-15</v>
      </c>
      <c r="F492" t="s">
        <v>15</v>
      </c>
      <c r="G492" t="s">
        <v>18</v>
      </c>
      <c r="H492" t="s">
        <v>19</v>
      </c>
      <c r="I492">
        <v>0</v>
      </c>
      <c r="J492">
        <v>1</v>
      </c>
      <c r="K492">
        <v>0</v>
      </c>
    </row>
    <row r="493" spans="1:11" x14ac:dyDescent="0.25">
      <c r="A493" t="str">
        <f>"664"</f>
        <v>664</v>
      </c>
      <c r="B493" t="str">
        <f t="shared" si="26"/>
        <v>1</v>
      </c>
      <c r="C493" t="str">
        <f t="shared" si="29"/>
        <v>28</v>
      </c>
      <c r="D493" t="str">
        <f>"24"</f>
        <v>24</v>
      </c>
      <c r="E493" t="str">
        <f>"1-28-24"</f>
        <v>1-28-24</v>
      </c>
      <c r="F493" t="s">
        <v>15</v>
      </c>
      <c r="G493" t="s">
        <v>20</v>
      </c>
      <c r="H493" t="s">
        <v>21</v>
      </c>
      <c r="I493">
        <v>0</v>
      </c>
      <c r="J493">
        <v>1</v>
      </c>
      <c r="K493">
        <v>0</v>
      </c>
    </row>
    <row r="494" spans="1:11" x14ac:dyDescent="0.25">
      <c r="A494" t="str">
        <f>"665"</f>
        <v>665</v>
      </c>
      <c r="B494" t="str">
        <f t="shared" si="26"/>
        <v>1</v>
      </c>
      <c r="C494" t="str">
        <f t="shared" si="29"/>
        <v>28</v>
      </c>
      <c r="D494" t="str">
        <f>"16"</f>
        <v>16</v>
      </c>
      <c r="E494" t="str">
        <f>"1-28-16"</f>
        <v>1-28-16</v>
      </c>
      <c r="F494" t="s">
        <v>15</v>
      </c>
      <c r="G494" t="s">
        <v>16</v>
      </c>
      <c r="H494" t="s">
        <v>17</v>
      </c>
      <c r="I494">
        <v>0</v>
      </c>
      <c r="J494">
        <v>1</v>
      </c>
      <c r="K494">
        <v>0</v>
      </c>
    </row>
    <row r="495" spans="1:11" x14ac:dyDescent="0.25">
      <c r="A495" t="str">
        <f>"667"</f>
        <v>667</v>
      </c>
      <c r="B495" t="str">
        <f t="shared" ref="B495:B508" si="30">"1"</f>
        <v>1</v>
      </c>
      <c r="C495" t="str">
        <f t="shared" si="29"/>
        <v>28</v>
      </c>
      <c r="D495" t="str">
        <f>"17"</f>
        <v>17</v>
      </c>
      <c r="E495" t="str">
        <f>"1-28-17"</f>
        <v>1-28-17</v>
      </c>
      <c r="F495" t="s">
        <v>15</v>
      </c>
      <c r="G495" t="s">
        <v>16</v>
      </c>
      <c r="H495" t="s">
        <v>17</v>
      </c>
      <c r="I495">
        <v>0</v>
      </c>
      <c r="J495">
        <v>1</v>
      </c>
      <c r="K495">
        <v>0</v>
      </c>
    </row>
    <row r="496" spans="1:11" x14ac:dyDescent="0.25">
      <c r="A496" t="str">
        <f>"669"</f>
        <v>669</v>
      </c>
      <c r="B496" t="str">
        <f t="shared" si="30"/>
        <v>1</v>
      </c>
      <c r="C496" t="str">
        <f t="shared" si="29"/>
        <v>28</v>
      </c>
      <c r="D496" t="str">
        <f>"18"</f>
        <v>18</v>
      </c>
      <c r="E496" t="str">
        <f>"1-28-18"</f>
        <v>1-28-18</v>
      </c>
      <c r="F496" t="s">
        <v>15</v>
      </c>
      <c r="G496" t="s">
        <v>18</v>
      </c>
      <c r="H496" t="s">
        <v>19</v>
      </c>
      <c r="I496">
        <v>0</v>
      </c>
      <c r="J496">
        <v>0</v>
      </c>
      <c r="K496">
        <v>1</v>
      </c>
    </row>
    <row r="497" spans="1:11" x14ac:dyDescent="0.25">
      <c r="A497" t="str">
        <f>"671"</f>
        <v>671</v>
      </c>
      <c r="B497" t="str">
        <f t="shared" si="30"/>
        <v>1</v>
      </c>
      <c r="C497" t="str">
        <f t="shared" si="29"/>
        <v>28</v>
      </c>
      <c r="D497" t="str">
        <f>"19"</f>
        <v>19</v>
      </c>
      <c r="E497" t="str">
        <f>"1-28-19"</f>
        <v>1-28-19</v>
      </c>
      <c r="F497" t="s">
        <v>15</v>
      </c>
      <c r="G497" t="s">
        <v>16</v>
      </c>
      <c r="H497" t="s">
        <v>17</v>
      </c>
      <c r="I497">
        <v>0</v>
      </c>
      <c r="J497">
        <v>1</v>
      </c>
      <c r="K497">
        <v>0</v>
      </c>
    </row>
    <row r="498" spans="1:11" x14ac:dyDescent="0.25">
      <c r="A498" t="str">
        <f>"673"</f>
        <v>673</v>
      </c>
      <c r="B498" t="str">
        <f t="shared" si="30"/>
        <v>1</v>
      </c>
      <c r="C498" t="str">
        <f t="shared" si="29"/>
        <v>28</v>
      </c>
      <c r="D498" t="str">
        <f>"20"</f>
        <v>20</v>
      </c>
      <c r="E498" t="str">
        <f>"1-28-20"</f>
        <v>1-28-20</v>
      </c>
      <c r="F498" t="s">
        <v>15</v>
      </c>
      <c r="G498" t="s">
        <v>20</v>
      </c>
      <c r="H498" t="s">
        <v>21</v>
      </c>
      <c r="I498">
        <v>1</v>
      </c>
      <c r="J498">
        <v>0</v>
      </c>
      <c r="K498">
        <v>0</v>
      </c>
    </row>
    <row r="499" spans="1:11" x14ac:dyDescent="0.25">
      <c r="A499" t="str">
        <f>"675"</f>
        <v>675</v>
      </c>
      <c r="B499" t="str">
        <f t="shared" si="30"/>
        <v>1</v>
      </c>
      <c r="C499" t="str">
        <f t="shared" si="29"/>
        <v>28</v>
      </c>
      <c r="D499" t="str">
        <f>"21"</f>
        <v>21</v>
      </c>
      <c r="E499" t="str">
        <f>"1-28-21"</f>
        <v>1-28-21</v>
      </c>
      <c r="F499" t="s">
        <v>15</v>
      </c>
      <c r="G499" t="s">
        <v>16</v>
      </c>
      <c r="H499" t="s">
        <v>17</v>
      </c>
      <c r="I499">
        <v>0</v>
      </c>
      <c r="J499">
        <v>1</v>
      </c>
      <c r="K499">
        <v>0</v>
      </c>
    </row>
    <row r="500" spans="1:11" x14ac:dyDescent="0.25">
      <c r="A500" t="str">
        <f>"677"</f>
        <v>677</v>
      </c>
      <c r="B500" t="str">
        <f t="shared" si="30"/>
        <v>1</v>
      </c>
      <c r="C500" t="str">
        <f t="shared" si="29"/>
        <v>28</v>
      </c>
      <c r="D500" t="str">
        <f>"22"</f>
        <v>22</v>
      </c>
      <c r="E500" t="str">
        <f>"1-28-22"</f>
        <v>1-28-22</v>
      </c>
      <c r="F500" t="s">
        <v>15</v>
      </c>
      <c r="G500" t="s">
        <v>16</v>
      </c>
      <c r="H500" t="s">
        <v>17</v>
      </c>
      <c r="I500">
        <v>0</v>
      </c>
      <c r="J500">
        <v>1</v>
      </c>
      <c r="K500">
        <v>0</v>
      </c>
    </row>
    <row r="501" spans="1:11" x14ac:dyDescent="0.25">
      <c r="A501" t="str">
        <f>"679"</f>
        <v>679</v>
      </c>
      <c r="B501" t="str">
        <f t="shared" si="30"/>
        <v>1</v>
      </c>
      <c r="C501" t="str">
        <f t="shared" si="29"/>
        <v>28</v>
      </c>
      <c r="D501" t="str">
        <f>"23"</f>
        <v>23</v>
      </c>
      <c r="E501" t="str">
        <f>"1-28-23"</f>
        <v>1-28-23</v>
      </c>
      <c r="F501" t="s">
        <v>15</v>
      </c>
      <c r="G501" t="s">
        <v>16</v>
      </c>
      <c r="H501" t="s">
        <v>17</v>
      </c>
      <c r="I501">
        <v>0</v>
      </c>
      <c r="J501">
        <v>0</v>
      </c>
      <c r="K501">
        <v>1</v>
      </c>
    </row>
    <row r="502" spans="1:11" x14ac:dyDescent="0.25">
      <c r="A502" t="str">
        <f>"680"</f>
        <v>680</v>
      </c>
      <c r="B502" t="str">
        <f t="shared" si="30"/>
        <v>1</v>
      </c>
      <c r="C502" t="str">
        <f t="shared" si="29"/>
        <v>28</v>
      </c>
      <c r="D502" t="str">
        <f>"10"</f>
        <v>10</v>
      </c>
      <c r="E502" t="str">
        <f>"1-28-10"</f>
        <v>1-28-10</v>
      </c>
      <c r="F502" t="s">
        <v>15</v>
      </c>
      <c r="G502" t="s">
        <v>16</v>
      </c>
      <c r="H502" t="s">
        <v>17</v>
      </c>
      <c r="I502">
        <v>0</v>
      </c>
      <c r="J502">
        <v>0</v>
      </c>
      <c r="K502">
        <v>1</v>
      </c>
    </row>
    <row r="503" spans="1:11" x14ac:dyDescent="0.25">
      <c r="A503" t="str">
        <f>"681"</f>
        <v>681</v>
      </c>
      <c r="B503" t="str">
        <f t="shared" si="30"/>
        <v>1</v>
      </c>
      <c r="C503" t="str">
        <f t="shared" si="29"/>
        <v>28</v>
      </c>
      <c r="D503" t="str">
        <f>"13"</f>
        <v>13</v>
      </c>
      <c r="E503" t="str">
        <f>"1-28-13"</f>
        <v>1-28-13</v>
      </c>
      <c r="F503" t="s">
        <v>15</v>
      </c>
      <c r="G503" t="s">
        <v>16</v>
      </c>
      <c r="H503" t="s">
        <v>17</v>
      </c>
      <c r="I503">
        <v>0</v>
      </c>
      <c r="J503">
        <v>1</v>
      </c>
      <c r="K503">
        <v>0</v>
      </c>
    </row>
    <row r="504" spans="1:11" x14ac:dyDescent="0.25">
      <c r="A504" t="str">
        <f>"682"</f>
        <v>682</v>
      </c>
      <c r="B504" t="str">
        <f t="shared" si="30"/>
        <v>1</v>
      </c>
      <c r="C504" t="str">
        <f t="shared" si="29"/>
        <v>28</v>
      </c>
      <c r="D504" t="str">
        <f>"14"</f>
        <v>14</v>
      </c>
      <c r="E504" t="str">
        <f>"1-28-14"</f>
        <v>1-28-14</v>
      </c>
      <c r="F504" t="s">
        <v>15</v>
      </c>
      <c r="G504" t="s">
        <v>18</v>
      </c>
      <c r="H504" t="s">
        <v>19</v>
      </c>
      <c r="I504">
        <v>0</v>
      </c>
      <c r="J504">
        <v>1</v>
      </c>
      <c r="K504">
        <v>0</v>
      </c>
    </row>
    <row r="505" spans="1:11" x14ac:dyDescent="0.25">
      <c r="A505" t="str">
        <f>"683"</f>
        <v>683</v>
      </c>
      <c r="B505" t="str">
        <f t="shared" si="30"/>
        <v>1</v>
      </c>
      <c r="C505" t="str">
        <f t="shared" si="29"/>
        <v>28</v>
      </c>
      <c r="D505" t="str">
        <f>"9"</f>
        <v>9</v>
      </c>
      <c r="E505" t="str">
        <f>"1-28-9"</f>
        <v>1-28-9</v>
      </c>
      <c r="F505" t="s">
        <v>15</v>
      </c>
      <c r="G505" t="s">
        <v>18</v>
      </c>
      <c r="H505" t="s">
        <v>19</v>
      </c>
      <c r="I505">
        <v>0</v>
      </c>
      <c r="J505">
        <v>1</v>
      </c>
      <c r="K505">
        <v>0</v>
      </c>
    </row>
    <row r="506" spans="1:11" x14ac:dyDescent="0.25">
      <c r="A506" t="str">
        <f>"684"</f>
        <v>684</v>
      </c>
      <c r="B506" t="str">
        <f t="shared" si="30"/>
        <v>1</v>
      </c>
      <c r="C506" t="str">
        <f t="shared" si="29"/>
        <v>28</v>
      </c>
      <c r="D506" t="str">
        <f>"12"</f>
        <v>12</v>
      </c>
      <c r="E506" t="str">
        <f>"1-28-12"</f>
        <v>1-28-12</v>
      </c>
      <c r="F506" t="s">
        <v>15</v>
      </c>
      <c r="G506" t="s">
        <v>16</v>
      </c>
      <c r="H506" t="s">
        <v>17</v>
      </c>
      <c r="I506">
        <v>0</v>
      </c>
      <c r="J506">
        <v>0</v>
      </c>
      <c r="K506">
        <v>1</v>
      </c>
    </row>
    <row r="507" spans="1:11" x14ac:dyDescent="0.25">
      <c r="A507" t="str">
        <f>"685"</f>
        <v>685</v>
      </c>
      <c r="B507" t="str">
        <f t="shared" si="30"/>
        <v>1</v>
      </c>
      <c r="C507" t="str">
        <f t="shared" si="29"/>
        <v>28</v>
      </c>
      <c r="D507" t="str">
        <f>"11"</f>
        <v>11</v>
      </c>
      <c r="E507" t="str">
        <f>"1-28-11"</f>
        <v>1-28-11</v>
      </c>
      <c r="F507" t="s">
        <v>15</v>
      </c>
      <c r="G507" t="s">
        <v>16</v>
      </c>
      <c r="H507" t="s">
        <v>17</v>
      </c>
      <c r="I507">
        <v>0</v>
      </c>
      <c r="J507">
        <v>1</v>
      </c>
      <c r="K507">
        <v>0</v>
      </c>
    </row>
    <row r="508" spans="1:11" x14ac:dyDescent="0.25">
      <c r="A508" t="str">
        <f>"686"</f>
        <v>686</v>
      </c>
      <c r="B508" t="str">
        <f t="shared" si="30"/>
        <v>1</v>
      </c>
      <c r="C508" t="str">
        <f t="shared" si="29"/>
        <v>28</v>
      </c>
      <c r="D508" t="str">
        <f>"25"</f>
        <v>25</v>
      </c>
      <c r="E508" t="str">
        <f>"1-28-25"</f>
        <v>1-28-25</v>
      </c>
      <c r="F508" t="s">
        <v>15</v>
      </c>
      <c r="G508" t="s">
        <v>18</v>
      </c>
      <c r="H508" t="s">
        <v>19</v>
      </c>
      <c r="I508">
        <v>0</v>
      </c>
      <c r="J508">
        <v>0</v>
      </c>
      <c r="K508">
        <v>0</v>
      </c>
    </row>
    <row r="509" spans="1:11" x14ac:dyDescent="0.25">
      <c r="A509" t="str">
        <f>"733"</f>
        <v>733</v>
      </c>
      <c r="B509" t="str">
        <f t="shared" ref="B509:B555" si="31">"1"</f>
        <v>1</v>
      </c>
      <c r="C509" t="str">
        <f t="shared" ref="C509:C524" si="32">"31"</f>
        <v>31</v>
      </c>
      <c r="D509" t="str">
        <f>"15"</f>
        <v>15</v>
      </c>
      <c r="E509" t="str">
        <f>"1-31-15"</f>
        <v>1-31-15</v>
      </c>
      <c r="F509" t="s">
        <v>15</v>
      </c>
      <c r="G509" t="s">
        <v>16</v>
      </c>
      <c r="H509" t="s">
        <v>17</v>
      </c>
      <c r="I509">
        <v>0</v>
      </c>
      <c r="J509">
        <v>0</v>
      </c>
      <c r="K509">
        <v>1</v>
      </c>
    </row>
    <row r="510" spans="1:11" x14ac:dyDescent="0.25">
      <c r="A510" t="str">
        <f>"734"</f>
        <v>734</v>
      </c>
      <c r="B510" t="str">
        <f t="shared" si="31"/>
        <v>1</v>
      </c>
      <c r="C510" t="str">
        <f t="shared" si="32"/>
        <v>31</v>
      </c>
      <c r="D510" t="str">
        <f>"3"</f>
        <v>3</v>
      </c>
      <c r="E510" t="str">
        <f>"1-31-3"</f>
        <v>1-31-3</v>
      </c>
      <c r="F510" t="s">
        <v>15</v>
      </c>
      <c r="G510" t="s">
        <v>16</v>
      </c>
      <c r="H510" t="s">
        <v>17</v>
      </c>
      <c r="I510">
        <v>0</v>
      </c>
      <c r="J510">
        <v>0</v>
      </c>
      <c r="K510">
        <v>1</v>
      </c>
    </row>
    <row r="511" spans="1:11" x14ac:dyDescent="0.25">
      <c r="A511" t="str">
        <f>"735"</f>
        <v>735</v>
      </c>
      <c r="B511" t="str">
        <f t="shared" si="31"/>
        <v>1</v>
      </c>
      <c r="C511" t="str">
        <f t="shared" si="32"/>
        <v>31</v>
      </c>
      <c r="D511" t="str">
        <f>"16"</f>
        <v>16</v>
      </c>
      <c r="E511" t="str">
        <f>"1-31-16"</f>
        <v>1-31-16</v>
      </c>
      <c r="F511" t="s">
        <v>15</v>
      </c>
      <c r="G511" t="s">
        <v>16</v>
      </c>
      <c r="H511" t="s">
        <v>17</v>
      </c>
      <c r="I511">
        <v>0</v>
      </c>
      <c r="J511">
        <v>1</v>
      </c>
      <c r="K511">
        <v>0</v>
      </c>
    </row>
    <row r="512" spans="1:11" x14ac:dyDescent="0.25">
      <c r="A512" t="str">
        <f>"736"</f>
        <v>736</v>
      </c>
      <c r="B512" t="str">
        <f t="shared" si="31"/>
        <v>1</v>
      </c>
      <c r="C512" t="str">
        <f t="shared" si="32"/>
        <v>31</v>
      </c>
      <c r="D512" t="str">
        <f>"12"</f>
        <v>12</v>
      </c>
      <c r="E512" t="str">
        <f>"1-31-12"</f>
        <v>1-31-12</v>
      </c>
      <c r="F512" t="s">
        <v>15</v>
      </c>
      <c r="G512" t="s">
        <v>16</v>
      </c>
      <c r="H512" t="s">
        <v>17</v>
      </c>
      <c r="I512">
        <v>1</v>
      </c>
      <c r="J512">
        <v>0</v>
      </c>
      <c r="K512">
        <v>0</v>
      </c>
    </row>
    <row r="513" spans="1:11" x14ac:dyDescent="0.25">
      <c r="A513" t="str">
        <f>"737"</f>
        <v>737</v>
      </c>
      <c r="B513" t="str">
        <f t="shared" si="31"/>
        <v>1</v>
      </c>
      <c r="C513" t="str">
        <f t="shared" si="32"/>
        <v>31</v>
      </c>
      <c r="D513" t="str">
        <f>"1"</f>
        <v>1</v>
      </c>
      <c r="E513" t="str">
        <f>"1-31-1"</f>
        <v>1-31-1</v>
      </c>
      <c r="F513" t="s">
        <v>15</v>
      </c>
      <c r="G513" t="s">
        <v>16</v>
      </c>
      <c r="H513" t="s">
        <v>17</v>
      </c>
      <c r="I513">
        <v>0</v>
      </c>
      <c r="J513">
        <v>0</v>
      </c>
      <c r="K513">
        <v>1</v>
      </c>
    </row>
    <row r="514" spans="1:11" x14ac:dyDescent="0.25">
      <c r="A514" t="str">
        <f>"738"</f>
        <v>738</v>
      </c>
      <c r="B514" t="str">
        <f t="shared" si="31"/>
        <v>1</v>
      </c>
      <c r="C514" t="str">
        <f t="shared" si="32"/>
        <v>31</v>
      </c>
      <c r="D514" t="str">
        <f>"11"</f>
        <v>11</v>
      </c>
      <c r="E514" t="str">
        <f>"1-31-11"</f>
        <v>1-31-11</v>
      </c>
      <c r="F514" t="s">
        <v>15</v>
      </c>
      <c r="G514" t="s">
        <v>16</v>
      </c>
      <c r="H514" t="s">
        <v>17</v>
      </c>
      <c r="I514">
        <v>1</v>
      </c>
      <c r="J514">
        <v>0</v>
      </c>
      <c r="K514">
        <v>0</v>
      </c>
    </row>
    <row r="515" spans="1:11" x14ac:dyDescent="0.25">
      <c r="A515" t="str">
        <f>"739"</f>
        <v>739</v>
      </c>
      <c r="B515" t="str">
        <f t="shared" si="31"/>
        <v>1</v>
      </c>
      <c r="C515" t="str">
        <f t="shared" si="32"/>
        <v>31</v>
      </c>
      <c r="D515" t="str">
        <f>"8"</f>
        <v>8</v>
      </c>
      <c r="E515" t="str">
        <f>"1-31-8"</f>
        <v>1-31-8</v>
      </c>
      <c r="F515" t="s">
        <v>15</v>
      </c>
      <c r="G515" t="s">
        <v>16</v>
      </c>
      <c r="H515" t="s">
        <v>17</v>
      </c>
      <c r="I515">
        <v>0</v>
      </c>
      <c r="J515">
        <v>1</v>
      </c>
      <c r="K515">
        <v>0</v>
      </c>
    </row>
    <row r="516" spans="1:11" x14ac:dyDescent="0.25">
      <c r="A516" t="str">
        <f>"740"</f>
        <v>740</v>
      </c>
      <c r="B516" t="str">
        <f t="shared" si="31"/>
        <v>1</v>
      </c>
      <c r="C516" t="str">
        <f t="shared" si="32"/>
        <v>31</v>
      </c>
      <c r="D516" t="str">
        <f>"6"</f>
        <v>6</v>
      </c>
      <c r="E516" t="str">
        <f>"1-31-6"</f>
        <v>1-31-6</v>
      </c>
      <c r="F516" t="s">
        <v>15</v>
      </c>
      <c r="G516" t="s">
        <v>16</v>
      </c>
      <c r="H516" t="s">
        <v>17</v>
      </c>
      <c r="I516">
        <v>0</v>
      </c>
      <c r="J516">
        <v>1</v>
      </c>
      <c r="K516">
        <v>0</v>
      </c>
    </row>
    <row r="517" spans="1:11" x14ac:dyDescent="0.25">
      <c r="A517" t="str">
        <f>"741"</f>
        <v>741</v>
      </c>
      <c r="B517" t="str">
        <f t="shared" si="31"/>
        <v>1</v>
      </c>
      <c r="C517" t="str">
        <f t="shared" si="32"/>
        <v>31</v>
      </c>
      <c r="D517" t="str">
        <f>"10"</f>
        <v>10</v>
      </c>
      <c r="E517" t="str">
        <f>"1-31-10"</f>
        <v>1-31-10</v>
      </c>
      <c r="F517" t="s">
        <v>15</v>
      </c>
      <c r="G517" t="s">
        <v>16</v>
      </c>
      <c r="H517" t="s">
        <v>17</v>
      </c>
      <c r="I517">
        <v>1</v>
      </c>
      <c r="J517">
        <v>0</v>
      </c>
      <c r="K517">
        <v>0</v>
      </c>
    </row>
    <row r="518" spans="1:11" x14ac:dyDescent="0.25">
      <c r="A518" t="str">
        <f>"742"</f>
        <v>742</v>
      </c>
      <c r="B518" t="str">
        <f t="shared" si="31"/>
        <v>1</v>
      </c>
      <c r="C518" t="str">
        <f t="shared" si="32"/>
        <v>31</v>
      </c>
      <c r="D518" t="str">
        <f>"9"</f>
        <v>9</v>
      </c>
      <c r="E518" t="str">
        <f>"1-31-9"</f>
        <v>1-31-9</v>
      </c>
      <c r="F518" t="s">
        <v>15</v>
      </c>
      <c r="G518" t="s">
        <v>16</v>
      </c>
      <c r="H518" t="s">
        <v>17</v>
      </c>
      <c r="I518">
        <v>0</v>
      </c>
      <c r="J518">
        <v>0</v>
      </c>
      <c r="K518">
        <v>1</v>
      </c>
    </row>
    <row r="519" spans="1:11" x14ac:dyDescent="0.25">
      <c r="A519" t="str">
        <f>"743"</f>
        <v>743</v>
      </c>
      <c r="B519" t="str">
        <f t="shared" si="31"/>
        <v>1</v>
      </c>
      <c r="C519" t="str">
        <f t="shared" si="32"/>
        <v>31</v>
      </c>
      <c r="D519" t="str">
        <f>"4"</f>
        <v>4</v>
      </c>
      <c r="E519" t="str">
        <f>"1-31-4"</f>
        <v>1-31-4</v>
      </c>
      <c r="F519" t="s">
        <v>15</v>
      </c>
      <c r="G519" t="s">
        <v>16</v>
      </c>
      <c r="H519" t="s">
        <v>17</v>
      </c>
      <c r="I519">
        <v>0</v>
      </c>
      <c r="J519">
        <v>1</v>
      </c>
      <c r="K519">
        <v>0</v>
      </c>
    </row>
    <row r="520" spans="1:11" x14ac:dyDescent="0.25">
      <c r="A520" t="str">
        <f>"744"</f>
        <v>744</v>
      </c>
      <c r="B520" t="str">
        <f t="shared" si="31"/>
        <v>1</v>
      </c>
      <c r="C520" t="str">
        <f t="shared" si="32"/>
        <v>31</v>
      </c>
      <c r="D520" t="str">
        <f>"5"</f>
        <v>5</v>
      </c>
      <c r="E520" t="str">
        <f>"1-31-5"</f>
        <v>1-31-5</v>
      </c>
      <c r="F520" t="s">
        <v>15</v>
      </c>
      <c r="G520" t="s">
        <v>16</v>
      </c>
      <c r="H520" t="s">
        <v>17</v>
      </c>
      <c r="I520">
        <v>0</v>
      </c>
      <c r="J520">
        <v>1</v>
      </c>
      <c r="K520">
        <v>0</v>
      </c>
    </row>
    <row r="521" spans="1:11" x14ac:dyDescent="0.25">
      <c r="A521" t="str">
        <f>"745"</f>
        <v>745</v>
      </c>
      <c r="B521" t="str">
        <f t="shared" si="31"/>
        <v>1</v>
      </c>
      <c r="C521" t="str">
        <f t="shared" si="32"/>
        <v>31</v>
      </c>
      <c r="D521" t="str">
        <f>"2"</f>
        <v>2</v>
      </c>
      <c r="E521" t="str">
        <f>"1-31-2"</f>
        <v>1-31-2</v>
      </c>
      <c r="F521" t="s">
        <v>15</v>
      </c>
      <c r="G521" t="s">
        <v>16</v>
      </c>
      <c r="H521" t="s">
        <v>17</v>
      </c>
      <c r="I521">
        <v>1</v>
      </c>
      <c r="J521">
        <v>0</v>
      </c>
      <c r="K521">
        <v>0</v>
      </c>
    </row>
    <row r="522" spans="1:11" x14ac:dyDescent="0.25">
      <c r="A522" t="str">
        <f>"746"</f>
        <v>746</v>
      </c>
      <c r="B522" t="str">
        <f t="shared" si="31"/>
        <v>1</v>
      </c>
      <c r="C522" t="str">
        <f t="shared" si="32"/>
        <v>31</v>
      </c>
      <c r="D522" t="str">
        <f>"13"</f>
        <v>13</v>
      </c>
      <c r="E522" t="str">
        <f>"1-31-13"</f>
        <v>1-31-13</v>
      </c>
      <c r="F522" t="s">
        <v>15</v>
      </c>
      <c r="G522" t="s">
        <v>16</v>
      </c>
      <c r="H522" t="s">
        <v>17</v>
      </c>
      <c r="I522">
        <v>0</v>
      </c>
      <c r="J522">
        <v>0</v>
      </c>
      <c r="K522">
        <v>1</v>
      </c>
    </row>
    <row r="523" spans="1:11" x14ac:dyDescent="0.25">
      <c r="A523" t="str">
        <f>"747"</f>
        <v>747</v>
      </c>
      <c r="B523" t="str">
        <f t="shared" si="31"/>
        <v>1</v>
      </c>
      <c r="C523" t="str">
        <f t="shared" si="32"/>
        <v>31</v>
      </c>
      <c r="D523" t="str">
        <f>"14"</f>
        <v>14</v>
      </c>
      <c r="E523" t="str">
        <f>"1-31-14"</f>
        <v>1-31-14</v>
      </c>
      <c r="F523" t="s">
        <v>15</v>
      </c>
      <c r="G523" t="s">
        <v>16</v>
      </c>
      <c r="H523" t="s">
        <v>17</v>
      </c>
      <c r="I523">
        <v>0</v>
      </c>
      <c r="J523">
        <v>1</v>
      </c>
      <c r="K523">
        <v>0</v>
      </c>
    </row>
    <row r="524" spans="1:11" x14ac:dyDescent="0.25">
      <c r="A524" t="str">
        <f>"748"</f>
        <v>748</v>
      </c>
      <c r="B524" t="str">
        <f t="shared" si="31"/>
        <v>1</v>
      </c>
      <c r="C524" t="str">
        <f t="shared" si="32"/>
        <v>31</v>
      </c>
      <c r="D524" t="str">
        <f>"7"</f>
        <v>7</v>
      </c>
      <c r="E524" t="str">
        <f>"1-31-7"</f>
        <v>1-31-7</v>
      </c>
      <c r="F524" t="s">
        <v>15</v>
      </c>
      <c r="G524" t="s">
        <v>16</v>
      </c>
      <c r="H524" t="s">
        <v>17</v>
      </c>
      <c r="I524">
        <v>0</v>
      </c>
      <c r="J524">
        <v>0</v>
      </c>
      <c r="K524">
        <v>0</v>
      </c>
    </row>
    <row r="525" spans="1:11" x14ac:dyDescent="0.25">
      <c r="A525" t="str">
        <f>"751"</f>
        <v>751</v>
      </c>
      <c r="B525" t="str">
        <f t="shared" si="31"/>
        <v>1</v>
      </c>
      <c r="C525" t="str">
        <f t="shared" ref="C525:C538" si="33">"32"</f>
        <v>32</v>
      </c>
      <c r="D525" t="str">
        <f>"6"</f>
        <v>6</v>
      </c>
      <c r="E525" t="str">
        <f>"1-32-6"</f>
        <v>1-32-6</v>
      </c>
      <c r="F525" t="s">
        <v>15</v>
      </c>
      <c r="G525" t="s">
        <v>16</v>
      </c>
      <c r="H525" t="s">
        <v>17</v>
      </c>
      <c r="I525">
        <v>0</v>
      </c>
      <c r="J525">
        <v>1</v>
      </c>
      <c r="K525">
        <v>0</v>
      </c>
    </row>
    <row r="526" spans="1:11" x14ac:dyDescent="0.25">
      <c r="A526" t="str">
        <f>"754"</f>
        <v>754</v>
      </c>
      <c r="B526" t="str">
        <f t="shared" si="31"/>
        <v>1</v>
      </c>
      <c r="C526" t="str">
        <f t="shared" si="33"/>
        <v>32</v>
      </c>
      <c r="D526" t="str">
        <f>"3"</f>
        <v>3</v>
      </c>
      <c r="E526" t="str">
        <f>"1-32-3"</f>
        <v>1-32-3</v>
      </c>
      <c r="F526" t="s">
        <v>15</v>
      </c>
      <c r="G526" t="s">
        <v>20</v>
      </c>
      <c r="H526" t="s">
        <v>21</v>
      </c>
      <c r="I526">
        <v>0</v>
      </c>
      <c r="J526">
        <v>0</v>
      </c>
      <c r="K526">
        <v>1</v>
      </c>
    </row>
    <row r="527" spans="1:11" x14ac:dyDescent="0.25">
      <c r="A527" t="str">
        <f>"760"</f>
        <v>760</v>
      </c>
      <c r="B527" t="str">
        <f t="shared" si="31"/>
        <v>1</v>
      </c>
      <c r="C527" t="str">
        <f t="shared" si="33"/>
        <v>32</v>
      </c>
      <c r="D527" t="str">
        <f>"2"</f>
        <v>2</v>
      </c>
      <c r="E527" t="str">
        <f>"1-32-2"</f>
        <v>1-32-2</v>
      </c>
      <c r="F527" t="s">
        <v>15</v>
      </c>
      <c r="G527" t="s">
        <v>16</v>
      </c>
      <c r="H527" t="s">
        <v>17</v>
      </c>
      <c r="I527">
        <v>0</v>
      </c>
      <c r="J527">
        <v>0</v>
      </c>
      <c r="K527">
        <v>1</v>
      </c>
    </row>
    <row r="528" spans="1:11" x14ac:dyDescent="0.25">
      <c r="A528" t="str">
        <f>"762"</f>
        <v>762</v>
      </c>
      <c r="B528" t="str">
        <f t="shared" si="31"/>
        <v>1</v>
      </c>
      <c r="C528" t="str">
        <f t="shared" si="33"/>
        <v>32</v>
      </c>
      <c r="D528" t="str">
        <f>"10"</f>
        <v>10</v>
      </c>
      <c r="E528" t="str">
        <f>"1-32-10"</f>
        <v>1-32-10</v>
      </c>
      <c r="F528" t="s">
        <v>15</v>
      </c>
      <c r="G528" t="s">
        <v>16</v>
      </c>
      <c r="H528" t="s">
        <v>17</v>
      </c>
      <c r="I528">
        <v>0</v>
      </c>
      <c r="J528">
        <v>1</v>
      </c>
      <c r="K528">
        <v>0</v>
      </c>
    </row>
    <row r="529" spans="1:11" x14ac:dyDescent="0.25">
      <c r="A529" t="str">
        <f>"764"</f>
        <v>764</v>
      </c>
      <c r="B529" t="str">
        <f t="shared" si="31"/>
        <v>1</v>
      </c>
      <c r="C529" t="str">
        <f t="shared" si="33"/>
        <v>32</v>
      </c>
      <c r="D529" t="str">
        <f>"5"</f>
        <v>5</v>
      </c>
      <c r="E529" t="str">
        <f>"1-32-5"</f>
        <v>1-32-5</v>
      </c>
      <c r="F529" t="s">
        <v>15</v>
      </c>
      <c r="G529" t="s">
        <v>16</v>
      </c>
      <c r="H529" t="s">
        <v>17</v>
      </c>
      <c r="I529">
        <v>0</v>
      </c>
      <c r="J529">
        <v>1</v>
      </c>
      <c r="K529">
        <v>0</v>
      </c>
    </row>
    <row r="530" spans="1:11" x14ac:dyDescent="0.25">
      <c r="A530" t="str">
        <f>"766"</f>
        <v>766</v>
      </c>
      <c r="B530" t="str">
        <f t="shared" si="31"/>
        <v>1</v>
      </c>
      <c r="C530" t="str">
        <f t="shared" si="33"/>
        <v>32</v>
      </c>
      <c r="D530" t="str">
        <f>"1"</f>
        <v>1</v>
      </c>
      <c r="E530" t="str">
        <f>"1-32-1"</f>
        <v>1-32-1</v>
      </c>
      <c r="F530" t="s">
        <v>15</v>
      </c>
      <c r="G530" t="s">
        <v>16</v>
      </c>
      <c r="H530" t="s">
        <v>17</v>
      </c>
      <c r="I530">
        <v>1</v>
      </c>
      <c r="J530">
        <v>0</v>
      </c>
      <c r="K530">
        <v>0</v>
      </c>
    </row>
    <row r="531" spans="1:11" x14ac:dyDescent="0.25">
      <c r="A531" t="str">
        <f>"767"</f>
        <v>767</v>
      </c>
      <c r="B531" t="str">
        <f t="shared" si="31"/>
        <v>1</v>
      </c>
      <c r="C531" t="str">
        <f t="shared" si="33"/>
        <v>32</v>
      </c>
      <c r="D531" t="str">
        <f>"25"</f>
        <v>25</v>
      </c>
      <c r="E531" t="str">
        <f>"1-32-25"</f>
        <v>1-32-25</v>
      </c>
      <c r="F531" t="s">
        <v>15</v>
      </c>
      <c r="G531" t="s">
        <v>20</v>
      </c>
      <c r="H531" t="s">
        <v>21</v>
      </c>
      <c r="I531">
        <v>0</v>
      </c>
      <c r="J531">
        <v>1</v>
      </c>
      <c r="K531">
        <v>0</v>
      </c>
    </row>
    <row r="532" spans="1:11" x14ac:dyDescent="0.25">
      <c r="A532" t="str">
        <f>"768"</f>
        <v>768</v>
      </c>
      <c r="B532" t="str">
        <f t="shared" si="31"/>
        <v>1</v>
      </c>
      <c r="C532" t="str">
        <f t="shared" si="33"/>
        <v>32</v>
      </c>
      <c r="D532" t="str">
        <f>"7"</f>
        <v>7</v>
      </c>
      <c r="E532" t="str">
        <f>"1-32-7"</f>
        <v>1-32-7</v>
      </c>
      <c r="F532" t="s">
        <v>15</v>
      </c>
      <c r="G532" t="s">
        <v>18</v>
      </c>
      <c r="H532" t="s">
        <v>19</v>
      </c>
      <c r="I532">
        <v>0</v>
      </c>
      <c r="J532">
        <v>0</v>
      </c>
      <c r="K532">
        <v>1</v>
      </c>
    </row>
    <row r="533" spans="1:11" x14ac:dyDescent="0.25">
      <c r="A533" t="str">
        <f>"769"</f>
        <v>769</v>
      </c>
      <c r="B533" t="str">
        <f t="shared" si="31"/>
        <v>1</v>
      </c>
      <c r="C533" t="str">
        <f t="shared" si="33"/>
        <v>32</v>
      </c>
      <c r="D533" t="str">
        <f>"26"</f>
        <v>26</v>
      </c>
      <c r="E533" t="str">
        <f>"1-32-26"</f>
        <v>1-32-26</v>
      </c>
      <c r="F533" t="s">
        <v>15</v>
      </c>
      <c r="G533" t="s">
        <v>16</v>
      </c>
      <c r="H533" t="s">
        <v>17</v>
      </c>
      <c r="I533">
        <v>0</v>
      </c>
      <c r="J533">
        <v>0</v>
      </c>
      <c r="K533">
        <v>1</v>
      </c>
    </row>
    <row r="534" spans="1:11" x14ac:dyDescent="0.25">
      <c r="A534" t="str">
        <f>"770"</f>
        <v>770</v>
      </c>
      <c r="B534" t="str">
        <f t="shared" si="31"/>
        <v>1</v>
      </c>
      <c r="C534" t="str">
        <f t="shared" si="33"/>
        <v>32</v>
      </c>
      <c r="D534" t="str">
        <f>"8"</f>
        <v>8</v>
      </c>
      <c r="E534" t="str">
        <f>"1-32-8"</f>
        <v>1-32-8</v>
      </c>
      <c r="F534" t="s">
        <v>15</v>
      </c>
      <c r="G534" t="s">
        <v>18</v>
      </c>
      <c r="H534" t="s">
        <v>19</v>
      </c>
      <c r="I534">
        <v>0</v>
      </c>
      <c r="J534">
        <v>0</v>
      </c>
      <c r="K534">
        <v>1</v>
      </c>
    </row>
    <row r="535" spans="1:11" x14ac:dyDescent="0.25">
      <c r="A535" t="str">
        <f>"771"</f>
        <v>771</v>
      </c>
      <c r="B535" t="str">
        <f t="shared" si="31"/>
        <v>1</v>
      </c>
      <c r="C535" t="str">
        <f t="shared" si="33"/>
        <v>32</v>
      </c>
      <c r="D535" t="str">
        <f>"12"</f>
        <v>12</v>
      </c>
      <c r="E535" t="str">
        <f>"1-32-12"</f>
        <v>1-32-12</v>
      </c>
      <c r="F535" t="s">
        <v>15</v>
      </c>
      <c r="G535" t="s">
        <v>16</v>
      </c>
      <c r="H535" t="s">
        <v>17</v>
      </c>
      <c r="I535">
        <v>0</v>
      </c>
      <c r="J535">
        <v>0</v>
      </c>
      <c r="K535">
        <v>1</v>
      </c>
    </row>
    <row r="536" spans="1:11" x14ac:dyDescent="0.25">
      <c r="A536" t="str">
        <f>"772"</f>
        <v>772</v>
      </c>
      <c r="B536" t="str">
        <f t="shared" si="31"/>
        <v>1</v>
      </c>
      <c r="C536" t="str">
        <f t="shared" si="33"/>
        <v>32</v>
      </c>
      <c r="D536" t="str">
        <f>"4"</f>
        <v>4</v>
      </c>
      <c r="E536" t="str">
        <f>"1-32-4"</f>
        <v>1-32-4</v>
      </c>
      <c r="F536" t="s">
        <v>15</v>
      </c>
      <c r="G536" t="s">
        <v>16</v>
      </c>
      <c r="H536" t="s">
        <v>17</v>
      </c>
      <c r="I536">
        <v>0</v>
      </c>
      <c r="J536">
        <v>0</v>
      </c>
      <c r="K536">
        <v>1</v>
      </c>
    </row>
    <row r="537" spans="1:11" x14ac:dyDescent="0.25">
      <c r="A537" t="str">
        <f>"773"</f>
        <v>773</v>
      </c>
      <c r="B537" t="str">
        <f t="shared" si="31"/>
        <v>1</v>
      </c>
      <c r="C537" t="str">
        <f t="shared" si="33"/>
        <v>32</v>
      </c>
      <c r="D537" t="str">
        <f>"9"</f>
        <v>9</v>
      </c>
      <c r="E537" t="str">
        <f>"1-32-9"</f>
        <v>1-32-9</v>
      </c>
      <c r="F537" t="s">
        <v>15</v>
      </c>
      <c r="G537" t="s">
        <v>16</v>
      </c>
      <c r="H537" t="s">
        <v>17</v>
      </c>
      <c r="I537">
        <v>0</v>
      </c>
      <c r="J537">
        <v>1</v>
      </c>
      <c r="K537">
        <v>0</v>
      </c>
    </row>
    <row r="538" spans="1:11" x14ac:dyDescent="0.25">
      <c r="A538" t="str">
        <f>"774"</f>
        <v>774</v>
      </c>
      <c r="B538" t="str">
        <f t="shared" si="31"/>
        <v>1</v>
      </c>
      <c r="C538" t="str">
        <f t="shared" si="33"/>
        <v>32</v>
      </c>
      <c r="D538" t="str">
        <f>"11"</f>
        <v>11</v>
      </c>
      <c r="E538" t="str">
        <f>"1-32-11"</f>
        <v>1-32-11</v>
      </c>
      <c r="F538" t="s">
        <v>15</v>
      </c>
      <c r="G538" t="s">
        <v>16</v>
      </c>
      <c r="H538" t="s">
        <v>17</v>
      </c>
      <c r="I538">
        <v>0</v>
      </c>
      <c r="J538">
        <v>1</v>
      </c>
      <c r="K538">
        <v>0</v>
      </c>
    </row>
    <row r="539" spans="1:11" x14ac:dyDescent="0.25">
      <c r="A539" t="str">
        <f>"775"</f>
        <v>775</v>
      </c>
      <c r="B539" t="str">
        <f t="shared" si="31"/>
        <v>1</v>
      </c>
      <c r="C539" t="str">
        <f t="shared" ref="C539:C560" si="34">"33"</f>
        <v>33</v>
      </c>
      <c r="D539" t="str">
        <f>"15"</f>
        <v>15</v>
      </c>
      <c r="E539" t="str">
        <f>"1-33-15"</f>
        <v>1-33-15</v>
      </c>
      <c r="F539" t="s">
        <v>15</v>
      </c>
      <c r="G539" t="s">
        <v>18</v>
      </c>
      <c r="H539" t="s">
        <v>19</v>
      </c>
      <c r="I539">
        <v>0</v>
      </c>
      <c r="J539">
        <v>1</v>
      </c>
      <c r="K539">
        <v>0</v>
      </c>
    </row>
    <row r="540" spans="1:11" x14ac:dyDescent="0.25">
      <c r="A540" t="str">
        <f>"776"</f>
        <v>776</v>
      </c>
      <c r="B540" t="str">
        <f t="shared" si="31"/>
        <v>1</v>
      </c>
      <c r="C540" t="str">
        <f t="shared" si="34"/>
        <v>33</v>
      </c>
      <c r="D540" t="str">
        <f>"6"</f>
        <v>6</v>
      </c>
      <c r="E540" t="str">
        <f>"1-33-6"</f>
        <v>1-33-6</v>
      </c>
      <c r="F540" t="s">
        <v>15</v>
      </c>
      <c r="G540" t="s">
        <v>16</v>
      </c>
      <c r="H540" t="s">
        <v>17</v>
      </c>
      <c r="I540">
        <v>0</v>
      </c>
      <c r="J540">
        <v>1</v>
      </c>
      <c r="K540">
        <v>0</v>
      </c>
    </row>
    <row r="541" spans="1:11" x14ac:dyDescent="0.25">
      <c r="A541" t="str">
        <f>"777"</f>
        <v>777</v>
      </c>
      <c r="B541" t="str">
        <f t="shared" si="31"/>
        <v>1</v>
      </c>
      <c r="C541" t="str">
        <f t="shared" si="34"/>
        <v>33</v>
      </c>
      <c r="D541" t="str">
        <f>"19"</f>
        <v>19</v>
      </c>
      <c r="E541" t="str">
        <f>"1-33-19"</f>
        <v>1-33-19</v>
      </c>
      <c r="F541" t="s">
        <v>15</v>
      </c>
      <c r="G541" t="s">
        <v>20</v>
      </c>
      <c r="H541" t="s">
        <v>21</v>
      </c>
      <c r="I541">
        <v>1</v>
      </c>
      <c r="J541">
        <v>0</v>
      </c>
      <c r="K541">
        <v>0</v>
      </c>
    </row>
    <row r="542" spans="1:11" x14ac:dyDescent="0.25">
      <c r="A542" t="str">
        <f>"778"</f>
        <v>778</v>
      </c>
      <c r="B542" t="str">
        <f t="shared" si="31"/>
        <v>1</v>
      </c>
      <c r="C542" t="str">
        <f t="shared" si="34"/>
        <v>33</v>
      </c>
      <c r="D542" t="str">
        <f>"16"</f>
        <v>16</v>
      </c>
      <c r="E542" t="str">
        <f>"1-33-16"</f>
        <v>1-33-16</v>
      </c>
      <c r="F542" t="s">
        <v>15</v>
      </c>
      <c r="G542" t="s">
        <v>18</v>
      </c>
      <c r="H542" t="s">
        <v>19</v>
      </c>
      <c r="I542">
        <v>0</v>
      </c>
      <c r="J542">
        <v>0</v>
      </c>
      <c r="K542">
        <v>1</v>
      </c>
    </row>
    <row r="543" spans="1:11" x14ac:dyDescent="0.25">
      <c r="A543" t="str">
        <f>"779"</f>
        <v>779</v>
      </c>
      <c r="B543" t="str">
        <f t="shared" si="31"/>
        <v>1</v>
      </c>
      <c r="C543" t="str">
        <f t="shared" si="34"/>
        <v>33</v>
      </c>
      <c r="D543" t="str">
        <f>"5"</f>
        <v>5</v>
      </c>
      <c r="E543" t="str">
        <f>"1-33-5"</f>
        <v>1-33-5</v>
      </c>
      <c r="F543" t="s">
        <v>15</v>
      </c>
      <c r="G543" t="s">
        <v>16</v>
      </c>
      <c r="H543" t="s">
        <v>17</v>
      </c>
      <c r="I543">
        <v>1</v>
      </c>
      <c r="J543">
        <v>0</v>
      </c>
      <c r="K543">
        <v>0</v>
      </c>
    </row>
    <row r="544" spans="1:11" x14ac:dyDescent="0.25">
      <c r="A544" t="str">
        <f>"780"</f>
        <v>780</v>
      </c>
      <c r="B544" t="str">
        <f t="shared" si="31"/>
        <v>1</v>
      </c>
      <c r="C544" t="str">
        <f t="shared" si="34"/>
        <v>33</v>
      </c>
      <c r="D544" t="str">
        <f>"17"</f>
        <v>17</v>
      </c>
      <c r="E544" t="str">
        <f>"1-33-17"</f>
        <v>1-33-17</v>
      </c>
      <c r="F544" t="s">
        <v>15</v>
      </c>
      <c r="G544" t="s">
        <v>16</v>
      </c>
      <c r="H544" t="s">
        <v>17</v>
      </c>
      <c r="I544">
        <v>1</v>
      </c>
      <c r="J544">
        <v>0</v>
      </c>
      <c r="K544">
        <v>0</v>
      </c>
    </row>
    <row r="545" spans="1:11" x14ac:dyDescent="0.25">
      <c r="A545" t="str">
        <f>"781"</f>
        <v>781</v>
      </c>
      <c r="B545" t="str">
        <f t="shared" si="31"/>
        <v>1</v>
      </c>
      <c r="C545" t="str">
        <f t="shared" si="34"/>
        <v>33</v>
      </c>
      <c r="D545" t="str">
        <f>"2"</f>
        <v>2</v>
      </c>
      <c r="E545" t="str">
        <f>"1-33-2"</f>
        <v>1-33-2</v>
      </c>
      <c r="F545" t="s">
        <v>15</v>
      </c>
      <c r="G545" t="s">
        <v>18</v>
      </c>
      <c r="H545" t="s">
        <v>19</v>
      </c>
      <c r="I545">
        <v>0</v>
      </c>
      <c r="J545">
        <v>0</v>
      </c>
      <c r="K545">
        <v>1</v>
      </c>
    </row>
    <row r="546" spans="1:11" x14ac:dyDescent="0.25">
      <c r="A546" t="str">
        <f>"782"</f>
        <v>782</v>
      </c>
      <c r="B546" t="str">
        <f t="shared" si="31"/>
        <v>1</v>
      </c>
      <c r="C546" t="str">
        <f t="shared" si="34"/>
        <v>33</v>
      </c>
      <c r="D546" t="str">
        <f>"18"</f>
        <v>18</v>
      </c>
      <c r="E546" t="str">
        <f>"1-33-18"</f>
        <v>1-33-18</v>
      </c>
      <c r="F546" t="s">
        <v>15</v>
      </c>
      <c r="G546" t="s">
        <v>18</v>
      </c>
      <c r="H546" t="s">
        <v>19</v>
      </c>
      <c r="I546">
        <v>0</v>
      </c>
      <c r="J546">
        <v>0</v>
      </c>
      <c r="K546">
        <v>1</v>
      </c>
    </row>
    <row r="547" spans="1:11" x14ac:dyDescent="0.25">
      <c r="A547" t="str">
        <f>"783"</f>
        <v>783</v>
      </c>
      <c r="B547" t="str">
        <f t="shared" si="31"/>
        <v>1</v>
      </c>
      <c r="C547" t="str">
        <f t="shared" si="34"/>
        <v>33</v>
      </c>
      <c r="D547" t="str">
        <f>"12"</f>
        <v>12</v>
      </c>
      <c r="E547" t="str">
        <f>"1-33-12"</f>
        <v>1-33-12</v>
      </c>
      <c r="F547" t="s">
        <v>15</v>
      </c>
      <c r="G547" t="s">
        <v>18</v>
      </c>
      <c r="H547" t="s">
        <v>19</v>
      </c>
      <c r="I547">
        <v>0</v>
      </c>
      <c r="J547">
        <v>1</v>
      </c>
      <c r="K547">
        <v>0</v>
      </c>
    </row>
    <row r="548" spans="1:11" x14ac:dyDescent="0.25">
      <c r="A548" t="str">
        <f>"784"</f>
        <v>784</v>
      </c>
      <c r="B548" t="str">
        <f t="shared" si="31"/>
        <v>1</v>
      </c>
      <c r="C548" t="str">
        <f t="shared" si="34"/>
        <v>33</v>
      </c>
      <c r="D548" t="str">
        <f>"20"</f>
        <v>20</v>
      </c>
      <c r="E548" t="str">
        <f>"1-33-20"</f>
        <v>1-33-20</v>
      </c>
      <c r="F548" t="s">
        <v>15</v>
      </c>
      <c r="G548" t="s">
        <v>20</v>
      </c>
      <c r="H548" t="s">
        <v>21</v>
      </c>
      <c r="I548">
        <v>1</v>
      </c>
      <c r="J548">
        <v>0</v>
      </c>
      <c r="K548">
        <v>0</v>
      </c>
    </row>
    <row r="549" spans="1:11" x14ac:dyDescent="0.25">
      <c r="A549" t="str">
        <f>"785"</f>
        <v>785</v>
      </c>
      <c r="B549" t="str">
        <f t="shared" si="31"/>
        <v>1</v>
      </c>
      <c r="C549" t="str">
        <f t="shared" si="34"/>
        <v>33</v>
      </c>
      <c r="D549" t="str">
        <f>"14"</f>
        <v>14</v>
      </c>
      <c r="E549" t="str">
        <f>"1-33-14"</f>
        <v>1-33-14</v>
      </c>
      <c r="F549" t="s">
        <v>15</v>
      </c>
      <c r="G549" t="s">
        <v>18</v>
      </c>
      <c r="H549" t="s">
        <v>19</v>
      </c>
      <c r="I549">
        <v>0</v>
      </c>
      <c r="J549">
        <v>0</v>
      </c>
      <c r="K549">
        <v>1</v>
      </c>
    </row>
    <row r="550" spans="1:11" x14ac:dyDescent="0.25">
      <c r="A550" t="str">
        <f>"787"</f>
        <v>787</v>
      </c>
      <c r="B550" t="str">
        <f t="shared" si="31"/>
        <v>1</v>
      </c>
      <c r="C550" t="str">
        <f t="shared" si="34"/>
        <v>33</v>
      </c>
      <c r="D550" t="str">
        <f>"3"</f>
        <v>3</v>
      </c>
      <c r="E550" t="str">
        <f>"1-33-3"</f>
        <v>1-33-3</v>
      </c>
      <c r="F550" t="s">
        <v>15</v>
      </c>
      <c r="G550" t="s">
        <v>18</v>
      </c>
      <c r="H550" t="s">
        <v>19</v>
      </c>
      <c r="I550">
        <v>0</v>
      </c>
      <c r="J550">
        <v>1</v>
      </c>
      <c r="K550">
        <v>0</v>
      </c>
    </row>
    <row r="551" spans="1:11" x14ac:dyDescent="0.25">
      <c r="A551" t="str">
        <f>"789"</f>
        <v>789</v>
      </c>
      <c r="B551" t="str">
        <f t="shared" si="31"/>
        <v>1</v>
      </c>
      <c r="C551" t="str">
        <f t="shared" si="34"/>
        <v>33</v>
      </c>
      <c r="D551" t="str">
        <f>"1"</f>
        <v>1</v>
      </c>
      <c r="E551" t="str">
        <f>"1-33-1"</f>
        <v>1-33-1</v>
      </c>
      <c r="F551" t="s">
        <v>15</v>
      </c>
      <c r="G551" t="s">
        <v>18</v>
      </c>
      <c r="H551" t="s">
        <v>19</v>
      </c>
      <c r="I551">
        <v>0</v>
      </c>
      <c r="J551">
        <v>1</v>
      </c>
      <c r="K551">
        <v>0</v>
      </c>
    </row>
    <row r="552" spans="1:11" x14ac:dyDescent="0.25">
      <c r="A552" t="str">
        <f>"790"</f>
        <v>790</v>
      </c>
      <c r="B552" t="str">
        <f t="shared" si="31"/>
        <v>1</v>
      </c>
      <c r="C552" t="str">
        <f t="shared" si="34"/>
        <v>33</v>
      </c>
      <c r="D552" t="str">
        <f>"23"</f>
        <v>23</v>
      </c>
      <c r="E552" t="str">
        <f>"1-33-23"</f>
        <v>1-33-23</v>
      </c>
      <c r="F552" t="s">
        <v>15</v>
      </c>
      <c r="G552" t="s">
        <v>16</v>
      </c>
      <c r="H552" t="s">
        <v>17</v>
      </c>
      <c r="I552">
        <v>0</v>
      </c>
      <c r="J552">
        <v>0</v>
      </c>
      <c r="K552">
        <v>1</v>
      </c>
    </row>
    <row r="553" spans="1:11" x14ac:dyDescent="0.25">
      <c r="A553" t="str">
        <f>"791"</f>
        <v>791</v>
      </c>
      <c r="B553" t="str">
        <f t="shared" si="31"/>
        <v>1</v>
      </c>
      <c r="C553" t="str">
        <f t="shared" si="34"/>
        <v>33</v>
      </c>
      <c r="D553" t="str">
        <f>"11"</f>
        <v>11</v>
      </c>
      <c r="E553" t="str">
        <f>"1-33-11"</f>
        <v>1-33-11</v>
      </c>
      <c r="F553" t="s">
        <v>15</v>
      </c>
      <c r="G553" t="s">
        <v>18</v>
      </c>
      <c r="H553" t="s">
        <v>19</v>
      </c>
      <c r="I553">
        <v>0</v>
      </c>
      <c r="J553">
        <v>1</v>
      </c>
      <c r="K553">
        <v>0</v>
      </c>
    </row>
    <row r="554" spans="1:11" x14ac:dyDescent="0.25">
      <c r="A554" t="str">
        <f>"792"</f>
        <v>792</v>
      </c>
      <c r="B554" t="str">
        <f t="shared" si="31"/>
        <v>1</v>
      </c>
      <c r="C554" t="str">
        <f t="shared" si="34"/>
        <v>33</v>
      </c>
      <c r="D554" t="str">
        <f>"10"</f>
        <v>10</v>
      </c>
      <c r="E554" t="str">
        <f>"1-33-10"</f>
        <v>1-33-10</v>
      </c>
      <c r="F554" t="s">
        <v>15</v>
      </c>
      <c r="G554" t="s">
        <v>18</v>
      </c>
      <c r="H554" t="s">
        <v>19</v>
      </c>
      <c r="I554">
        <v>0</v>
      </c>
      <c r="J554">
        <v>1</v>
      </c>
      <c r="K554">
        <v>0</v>
      </c>
    </row>
    <row r="555" spans="1:11" x14ac:dyDescent="0.25">
      <c r="A555" t="str">
        <f>"793"</f>
        <v>793</v>
      </c>
      <c r="B555" t="str">
        <f t="shared" si="31"/>
        <v>1</v>
      </c>
      <c r="C555" t="str">
        <f t="shared" si="34"/>
        <v>33</v>
      </c>
      <c r="D555" t="str">
        <f>"7"</f>
        <v>7</v>
      </c>
      <c r="E555" t="str">
        <f>"1-33-7"</f>
        <v>1-33-7</v>
      </c>
      <c r="F555" t="s">
        <v>15</v>
      </c>
      <c r="G555" t="s">
        <v>18</v>
      </c>
      <c r="H555" t="s">
        <v>19</v>
      </c>
      <c r="I555">
        <v>1</v>
      </c>
      <c r="J555">
        <v>0</v>
      </c>
      <c r="K555">
        <v>0</v>
      </c>
    </row>
    <row r="556" spans="1:11" x14ac:dyDescent="0.25">
      <c r="A556" t="str">
        <f>"794"</f>
        <v>794</v>
      </c>
      <c r="B556" t="str">
        <f t="shared" ref="B556:B619" si="35">"1"</f>
        <v>1</v>
      </c>
      <c r="C556" t="str">
        <f t="shared" si="34"/>
        <v>33</v>
      </c>
      <c r="D556" t="str">
        <f>"8"</f>
        <v>8</v>
      </c>
      <c r="E556" t="str">
        <f>"1-33-8"</f>
        <v>1-33-8</v>
      </c>
      <c r="F556" t="s">
        <v>15</v>
      </c>
      <c r="G556" t="s">
        <v>18</v>
      </c>
      <c r="H556" t="s">
        <v>19</v>
      </c>
      <c r="I556">
        <v>0</v>
      </c>
      <c r="J556">
        <v>1</v>
      </c>
      <c r="K556">
        <v>0</v>
      </c>
    </row>
    <row r="557" spans="1:11" x14ac:dyDescent="0.25">
      <c r="A557" t="str">
        <f>"795"</f>
        <v>795</v>
      </c>
      <c r="B557" t="str">
        <f t="shared" si="35"/>
        <v>1</v>
      </c>
      <c r="C557" t="str">
        <f t="shared" si="34"/>
        <v>33</v>
      </c>
      <c r="D557" t="str">
        <f>"4"</f>
        <v>4</v>
      </c>
      <c r="E557" t="str">
        <f>"1-33-4"</f>
        <v>1-33-4</v>
      </c>
      <c r="F557" t="s">
        <v>15</v>
      </c>
      <c r="G557" t="s">
        <v>18</v>
      </c>
      <c r="H557" t="s">
        <v>19</v>
      </c>
      <c r="I557">
        <v>0</v>
      </c>
      <c r="J557">
        <v>1</v>
      </c>
      <c r="K557">
        <v>0</v>
      </c>
    </row>
    <row r="558" spans="1:11" x14ac:dyDescent="0.25">
      <c r="A558" t="str">
        <f>"796"</f>
        <v>796</v>
      </c>
      <c r="B558" t="str">
        <f t="shared" si="35"/>
        <v>1</v>
      </c>
      <c r="C558" t="str">
        <f t="shared" si="34"/>
        <v>33</v>
      </c>
      <c r="D558" t="str">
        <f>"9"</f>
        <v>9</v>
      </c>
      <c r="E558" t="str">
        <f>"1-33-9"</f>
        <v>1-33-9</v>
      </c>
      <c r="F558" t="s">
        <v>15</v>
      </c>
      <c r="G558" t="s">
        <v>18</v>
      </c>
      <c r="H558" t="s">
        <v>19</v>
      </c>
      <c r="I558">
        <v>0</v>
      </c>
      <c r="J558">
        <v>1</v>
      </c>
      <c r="K558">
        <v>0</v>
      </c>
    </row>
    <row r="559" spans="1:11" x14ac:dyDescent="0.25">
      <c r="A559" t="str">
        <f>"797"</f>
        <v>797</v>
      </c>
      <c r="B559" t="str">
        <f t="shared" si="35"/>
        <v>1</v>
      </c>
      <c r="C559" t="str">
        <f t="shared" si="34"/>
        <v>33</v>
      </c>
      <c r="D559" t="str">
        <f>"13"</f>
        <v>13</v>
      </c>
      <c r="E559" t="str">
        <f>"1-33-13"</f>
        <v>1-33-13</v>
      </c>
      <c r="F559" t="s">
        <v>15</v>
      </c>
      <c r="G559" t="s">
        <v>18</v>
      </c>
      <c r="H559" t="s">
        <v>19</v>
      </c>
      <c r="I559">
        <v>1</v>
      </c>
      <c r="J559">
        <v>0</v>
      </c>
      <c r="K559">
        <v>0</v>
      </c>
    </row>
    <row r="560" spans="1:11" x14ac:dyDescent="0.25">
      <c r="A560" t="str">
        <f>"798"</f>
        <v>798</v>
      </c>
      <c r="B560" t="str">
        <f t="shared" si="35"/>
        <v>1</v>
      </c>
      <c r="C560" t="str">
        <f t="shared" si="34"/>
        <v>33</v>
      </c>
      <c r="D560" t="str">
        <f>"24"</f>
        <v>24</v>
      </c>
      <c r="E560" t="str">
        <f>"1-33-24"</f>
        <v>1-33-24</v>
      </c>
      <c r="F560" t="s">
        <v>15</v>
      </c>
      <c r="G560" t="s">
        <v>16</v>
      </c>
      <c r="H560" t="s">
        <v>17</v>
      </c>
      <c r="I560">
        <v>0</v>
      </c>
      <c r="J560">
        <v>0</v>
      </c>
      <c r="K560">
        <v>0</v>
      </c>
    </row>
    <row r="561" spans="1:11" x14ac:dyDescent="0.25">
      <c r="A561" t="str">
        <f>"799"</f>
        <v>799</v>
      </c>
      <c r="B561" t="str">
        <f t="shared" si="35"/>
        <v>1</v>
      </c>
      <c r="C561" t="str">
        <f t="shared" ref="C561:C588" si="36">"34"</f>
        <v>34</v>
      </c>
      <c r="D561" t="str">
        <f>"20"</f>
        <v>20</v>
      </c>
      <c r="E561" t="str">
        <f>"1-34-20"</f>
        <v>1-34-20</v>
      </c>
      <c r="F561" t="s">
        <v>15</v>
      </c>
      <c r="G561" t="s">
        <v>16</v>
      </c>
      <c r="H561" t="s">
        <v>17</v>
      </c>
      <c r="I561">
        <v>0</v>
      </c>
      <c r="J561">
        <v>1</v>
      </c>
      <c r="K561">
        <v>0</v>
      </c>
    </row>
    <row r="562" spans="1:11" x14ac:dyDescent="0.25">
      <c r="A562" t="str">
        <f>"800"</f>
        <v>800</v>
      </c>
      <c r="B562" t="str">
        <f t="shared" si="35"/>
        <v>1</v>
      </c>
      <c r="C562" t="str">
        <f t="shared" si="36"/>
        <v>34</v>
      </c>
      <c r="D562" t="str">
        <f>"15"</f>
        <v>15</v>
      </c>
      <c r="E562" t="str">
        <f>"1-34-15"</f>
        <v>1-34-15</v>
      </c>
      <c r="F562" t="s">
        <v>15</v>
      </c>
      <c r="G562" t="s">
        <v>16</v>
      </c>
      <c r="H562" t="s">
        <v>17</v>
      </c>
      <c r="I562">
        <v>0</v>
      </c>
      <c r="J562">
        <v>0</v>
      </c>
      <c r="K562">
        <v>1</v>
      </c>
    </row>
    <row r="563" spans="1:11" x14ac:dyDescent="0.25">
      <c r="A563" t="str">
        <f>"801"</f>
        <v>801</v>
      </c>
      <c r="B563" t="str">
        <f t="shared" si="35"/>
        <v>1</v>
      </c>
      <c r="C563" t="str">
        <f t="shared" si="36"/>
        <v>34</v>
      </c>
      <c r="D563" t="str">
        <f>"2"</f>
        <v>2</v>
      </c>
      <c r="E563" t="str">
        <f>"1-34-2"</f>
        <v>1-34-2</v>
      </c>
      <c r="F563" t="s">
        <v>15</v>
      </c>
      <c r="G563" t="s">
        <v>18</v>
      </c>
      <c r="H563" t="s">
        <v>19</v>
      </c>
      <c r="I563">
        <v>1</v>
      </c>
      <c r="J563">
        <v>0</v>
      </c>
      <c r="K563">
        <v>0</v>
      </c>
    </row>
    <row r="564" spans="1:11" x14ac:dyDescent="0.25">
      <c r="A564" t="str">
        <f>"802"</f>
        <v>802</v>
      </c>
      <c r="B564" t="str">
        <f t="shared" si="35"/>
        <v>1</v>
      </c>
      <c r="C564" t="str">
        <f t="shared" si="36"/>
        <v>34</v>
      </c>
      <c r="D564" t="str">
        <f>"24"</f>
        <v>24</v>
      </c>
      <c r="E564" t="str">
        <f>"1-34-24"</f>
        <v>1-34-24</v>
      </c>
      <c r="F564" t="s">
        <v>15</v>
      </c>
      <c r="G564" t="s">
        <v>16</v>
      </c>
      <c r="H564" t="s">
        <v>17</v>
      </c>
      <c r="I564">
        <v>0</v>
      </c>
      <c r="J564">
        <v>0</v>
      </c>
      <c r="K564">
        <v>1</v>
      </c>
    </row>
    <row r="565" spans="1:11" x14ac:dyDescent="0.25">
      <c r="A565" t="str">
        <f>"803"</f>
        <v>803</v>
      </c>
      <c r="B565" t="str">
        <f t="shared" si="35"/>
        <v>1</v>
      </c>
      <c r="C565" t="str">
        <f t="shared" si="36"/>
        <v>34</v>
      </c>
      <c r="D565" t="str">
        <f>"16"</f>
        <v>16</v>
      </c>
      <c r="E565" t="str">
        <f>"1-34-16"</f>
        <v>1-34-16</v>
      </c>
      <c r="F565" t="s">
        <v>15</v>
      </c>
      <c r="G565" t="s">
        <v>16</v>
      </c>
      <c r="H565" t="s">
        <v>17</v>
      </c>
      <c r="I565">
        <v>0</v>
      </c>
      <c r="J565">
        <v>1</v>
      </c>
      <c r="K565">
        <v>0</v>
      </c>
    </row>
    <row r="566" spans="1:11" x14ac:dyDescent="0.25">
      <c r="A566" t="str">
        <f>"804"</f>
        <v>804</v>
      </c>
      <c r="B566" t="str">
        <f t="shared" si="35"/>
        <v>1</v>
      </c>
      <c r="C566" t="str">
        <f t="shared" si="36"/>
        <v>34</v>
      </c>
      <c r="D566" t="str">
        <f>"3"</f>
        <v>3</v>
      </c>
      <c r="E566" t="str">
        <f>"1-34-3"</f>
        <v>1-34-3</v>
      </c>
      <c r="F566" t="s">
        <v>15</v>
      </c>
      <c r="G566" t="s">
        <v>16</v>
      </c>
      <c r="H566" t="s">
        <v>17</v>
      </c>
      <c r="I566">
        <v>0</v>
      </c>
      <c r="J566">
        <v>1</v>
      </c>
      <c r="K566">
        <v>0</v>
      </c>
    </row>
    <row r="567" spans="1:11" x14ac:dyDescent="0.25">
      <c r="A567" t="str">
        <f>"805"</f>
        <v>805</v>
      </c>
      <c r="B567" t="str">
        <f t="shared" si="35"/>
        <v>1</v>
      </c>
      <c r="C567" t="str">
        <f t="shared" si="36"/>
        <v>34</v>
      </c>
      <c r="D567" t="str">
        <f>"17"</f>
        <v>17</v>
      </c>
      <c r="E567" t="str">
        <f>"1-34-17"</f>
        <v>1-34-17</v>
      </c>
      <c r="F567" t="s">
        <v>15</v>
      </c>
      <c r="G567" t="s">
        <v>18</v>
      </c>
      <c r="H567" t="s">
        <v>19</v>
      </c>
      <c r="I567">
        <v>1</v>
      </c>
      <c r="J567">
        <v>0</v>
      </c>
      <c r="K567">
        <v>0</v>
      </c>
    </row>
    <row r="568" spans="1:11" x14ac:dyDescent="0.25">
      <c r="A568" t="str">
        <f>"806"</f>
        <v>806</v>
      </c>
      <c r="B568" t="str">
        <f t="shared" si="35"/>
        <v>1</v>
      </c>
      <c r="C568" t="str">
        <f t="shared" si="36"/>
        <v>34</v>
      </c>
      <c r="D568" t="str">
        <f>"4"</f>
        <v>4</v>
      </c>
      <c r="E568" t="str">
        <f>"1-34-4"</f>
        <v>1-34-4</v>
      </c>
      <c r="F568" t="s">
        <v>15</v>
      </c>
      <c r="G568" t="s">
        <v>16</v>
      </c>
      <c r="H568" t="s">
        <v>17</v>
      </c>
      <c r="I568">
        <v>0</v>
      </c>
      <c r="J568">
        <v>1</v>
      </c>
      <c r="K568">
        <v>0</v>
      </c>
    </row>
    <row r="569" spans="1:11" x14ac:dyDescent="0.25">
      <c r="A569" t="str">
        <f>"807"</f>
        <v>807</v>
      </c>
      <c r="B569" t="str">
        <f t="shared" si="35"/>
        <v>1</v>
      </c>
      <c r="C569" t="str">
        <f t="shared" si="36"/>
        <v>34</v>
      </c>
      <c r="D569" t="str">
        <f>"18"</f>
        <v>18</v>
      </c>
      <c r="E569" t="str">
        <f>"1-34-18"</f>
        <v>1-34-18</v>
      </c>
      <c r="F569" t="s">
        <v>15</v>
      </c>
      <c r="G569" t="s">
        <v>16</v>
      </c>
      <c r="H569" t="s">
        <v>17</v>
      </c>
      <c r="I569">
        <v>1</v>
      </c>
      <c r="J569">
        <v>0</v>
      </c>
      <c r="K569">
        <v>0</v>
      </c>
    </row>
    <row r="570" spans="1:11" x14ac:dyDescent="0.25">
      <c r="A570" t="str">
        <f>"808"</f>
        <v>808</v>
      </c>
      <c r="B570" t="str">
        <f t="shared" si="35"/>
        <v>1</v>
      </c>
      <c r="C570" t="str">
        <f t="shared" si="36"/>
        <v>34</v>
      </c>
      <c r="D570" t="str">
        <f>"14"</f>
        <v>14</v>
      </c>
      <c r="E570" t="str">
        <f>"1-34-14"</f>
        <v>1-34-14</v>
      </c>
      <c r="F570" t="s">
        <v>15</v>
      </c>
      <c r="G570" t="s">
        <v>16</v>
      </c>
      <c r="H570" t="s">
        <v>17</v>
      </c>
      <c r="I570">
        <v>1</v>
      </c>
      <c r="J570">
        <v>0</v>
      </c>
      <c r="K570">
        <v>0</v>
      </c>
    </row>
    <row r="571" spans="1:11" x14ac:dyDescent="0.25">
      <c r="A571" t="str">
        <f>"809"</f>
        <v>809</v>
      </c>
      <c r="B571" t="str">
        <f t="shared" si="35"/>
        <v>1</v>
      </c>
      <c r="C571" t="str">
        <f t="shared" si="36"/>
        <v>34</v>
      </c>
      <c r="D571" t="str">
        <f>"19"</f>
        <v>19</v>
      </c>
      <c r="E571" t="str">
        <f>"1-34-19"</f>
        <v>1-34-19</v>
      </c>
      <c r="F571" t="s">
        <v>15</v>
      </c>
      <c r="G571" t="s">
        <v>16</v>
      </c>
      <c r="H571" t="s">
        <v>17</v>
      </c>
      <c r="I571">
        <v>0</v>
      </c>
      <c r="J571">
        <v>1</v>
      </c>
      <c r="K571">
        <v>0</v>
      </c>
    </row>
    <row r="572" spans="1:11" x14ac:dyDescent="0.25">
      <c r="A572" t="str">
        <f>"810"</f>
        <v>810</v>
      </c>
      <c r="B572" t="str">
        <f t="shared" si="35"/>
        <v>1</v>
      </c>
      <c r="C572" t="str">
        <f t="shared" si="36"/>
        <v>34</v>
      </c>
      <c r="D572" t="str">
        <f>"13"</f>
        <v>13</v>
      </c>
      <c r="E572" t="str">
        <f>"1-34-13"</f>
        <v>1-34-13</v>
      </c>
      <c r="F572" t="s">
        <v>15</v>
      </c>
      <c r="G572" t="s">
        <v>16</v>
      </c>
      <c r="H572" t="s">
        <v>17</v>
      </c>
      <c r="I572">
        <v>0</v>
      </c>
      <c r="J572">
        <v>0</v>
      </c>
      <c r="K572">
        <v>1</v>
      </c>
    </row>
    <row r="573" spans="1:11" x14ac:dyDescent="0.25">
      <c r="A573" t="str">
        <f>"811"</f>
        <v>811</v>
      </c>
      <c r="B573" t="str">
        <f t="shared" si="35"/>
        <v>1</v>
      </c>
      <c r="C573" t="str">
        <f t="shared" si="36"/>
        <v>34</v>
      </c>
      <c r="D573" t="str">
        <f>"9"</f>
        <v>9</v>
      </c>
      <c r="E573" t="str">
        <f>"1-34-9"</f>
        <v>1-34-9</v>
      </c>
      <c r="F573" t="s">
        <v>15</v>
      </c>
      <c r="G573" t="s">
        <v>16</v>
      </c>
      <c r="H573" t="s">
        <v>17</v>
      </c>
      <c r="I573">
        <v>0</v>
      </c>
      <c r="J573">
        <v>1</v>
      </c>
      <c r="K573">
        <v>0</v>
      </c>
    </row>
    <row r="574" spans="1:11" x14ac:dyDescent="0.25">
      <c r="A574" t="str">
        <f>"812"</f>
        <v>812</v>
      </c>
      <c r="B574" t="str">
        <f t="shared" si="35"/>
        <v>1</v>
      </c>
      <c r="C574" t="str">
        <f t="shared" si="36"/>
        <v>34</v>
      </c>
      <c r="D574" t="str">
        <f>"1"</f>
        <v>1</v>
      </c>
      <c r="E574" t="str">
        <f>"1-34-1"</f>
        <v>1-34-1</v>
      </c>
      <c r="F574" t="s">
        <v>15</v>
      </c>
      <c r="G574" t="s">
        <v>16</v>
      </c>
      <c r="H574" t="s">
        <v>17</v>
      </c>
      <c r="I574">
        <v>1</v>
      </c>
      <c r="J574">
        <v>0</v>
      </c>
      <c r="K574">
        <v>0</v>
      </c>
    </row>
    <row r="575" spans="1:11" x14ac:dyDescent="0.25">
      <c r="A575" t="str">
        <f>"813"</f>
        <v>813</v>
      </c>
      <c r="B575" t="str">
        <f t="shared" si="35"/>
        <v>1</v>
      </c>
      <c r="C575" t="str">
        <f t="shared" si="36"/>
        <v>34</v>
      </c>
      <c r="D575" t="str">
        <f>"23"</f>
        <v>23</v>
      </c>
      <c r="E575" t="str">
        <f>"1-34-23"</f>
        <v>1-34-23</v>
      </c>
      <c r="F575" t="s">
        <v>15</v>
      </c>
      <c r="G575" t="s">
        <v>16</v>
      </c>
      <c r="H575" t="s">
        <v>17</v>
      </c>
      <c r="I575">
        <v>0</v>
      </c>
      <c r="J575">
        <v>1</v>
      </c>
      <c r="K575">
        <v>0</v>
      </c>
    </row>
    <row r="576" spans="1:11" x14ac:dyDescent="0.25">
      <c r="A576" t="str">
        <f>"814"</f>
        <v>814</v>
      </c>
      <c r="B576" t="str">
        <f t="shared" si="35"/>
        <v>1</v>
      </c>
      <c r="C576" t="str">
        <f t="shared" si="36"/>
        <v>34</v>
      </c>
      <c r="D576" t="str">
        <f>"6"</f>
        <v>6</v>
      </c>
      <c r="E576" t="str">
        <f>"1-34-6"</f>
        <v>1-34-6</v>
      </c>
      <c r="F576" t="s">
        <v>15</v>
      </c>
      <c r="G576" t="s">
        <v>16</v>
      </c>
      <c r="H576" t="s">
        <v>17</v>
      </c>
      <c r="I576">
        <v>1</v>
      </c>
      <c r="J576">
        <v>0</v>
      </c>
      <c r="K576">
        <v>0</v>
      </c>
    </row>
    <row r="577" spans="1:11" x14ac:dyDescent="0.25">
      <c r="A577" t="str">
        <f>"815"</f>
        <v>815</v>
      </c>
      <c r="B577" t="str">
        <f t="shared" si="35"/>
        <v>1</v>
      </c>
      <c r="C577" t="str">
        <f t="shared" si="36"/>
        <v>34</v>
      </c>
      <c r="D577" t="str">
        <f>"25"</f>
        <v>25</v>
      </c>
      <c r="E577" t="str">
        <f>"1-34-25"</f>
        <v>1-34-25</v>
      </c>
      <c r="F577" t="s">
        <v>15</v>
      </c>
      <c r="G577" t="s">
        <v>16</v>
      </c>
      <c r="H577" t="s">
        <v>17</v>
      </c>
      <c r="I577">
        <v>0</v>
      </c>
      <c r="J577">
        <v>1</v>
      </c>
      <c r="K577">
        <v>0</v>
      </c>
    </row>
    <row r="578" spans="1:11" x14ac:dyDescent="0.25">
      <c r="A578" t="str">
        <f>"816"</f>
        <v>816</v>
      </c>
      <c r="B578" t="str">
        <f t="shared" si="35"/>
        <v>1</v>
      </c>
      <c r="C578" t="str">
        <f t="shared" si="36"/>
        <v>34</v>
      </c>
      <c r="D578" t="str">
        <f>"5"</f>
        <v>5</v>
      </c>
      <c r="E578" t="str">
        <f>"1-34-5"</f>
        <v>1-34-5</v>
      </c>
      <c r="F578" t="s">
        <v>15</v>
      </c>
      <c r="G578" t="s">
        <v>16</v>
      </c>
      <c r="H578" t="s">
        <v>17</v>
      </c>
      <c r="I578">
        <v>0</v>
      </c>
      <c r="J578">
        <v>0</v>
      </c>
      <c r="K578">
        <v>1</v>
      </c>
    </row>
    <row r="579" spans="1:11" x14ac:dyDescent="0.25">
      <c r="A579" t="str">
        <f>"817"</f>
        <v>817</v>
      </c>
      <c r="B579" t="str">
        <f t="shared" si="35"/>
        <v>1</v>
      </c>
      <c r="C579" t="str">
        <f t="shared" si="36"/>
        <v>34</v>
      </c>
      <c r="D579" t="str">
        <f>"26"</f>
        <v>26</v>
      </c>
      <c r="E579" t="str">
        <f>"1-34-26"</f>
        <v>1-34-26</v>
      </c>
      <c r="F579" t="s">
        <v>15</v>
      </c>
      <c r="G579" t="s">
        <v>18</v>
      </c>
      <c r="H579" t="s">
        <v>19</v>
      </c>
      <c r="I579">
        <v>0</v>
      </c>
      <c r="J579">
        <v>0</v>
      </c>
      <c r="K579">
        <v>1</v>
      </c>
    </row>
    <row r="580" spans="1:11" x14ac:dyDescent="0.25">
      <c r="A580" t="str">
        <f>"818"</f>
        <v>818</v>
      </c>
      <c r="B580" t="str">
        <f t="shared" si="35"/>
        <v>1</v>
      </c>
      <c r="C580" t="str">
        <f t="shared" si="36"/>
        <v>34</v>
      </c>
      <c r="D580" t="str">
        <f>"8"</f>
        <v>8</v>
      </c>
      <c r="E580" t="str">
        <f>"1-34-8"</f>
        <v>1-34-8</v>
      </c>
      <c r="F580" t="s">
        <v>15</v>
      </c>
      <c r="G580" t="s">
        <v>20</v>
      </c>
      <c r="H580" t="s">
        <v>21</v>
      </c>
      <c r="I580">
        <v>0</v>
      </c>
      <c r="J580">
        <v>0</v>
      </c>
      <c r="K580">
        <v>1</v>
      </c>
    </row>
    <row r="581" spans="1:11" x14ac:dyDescent="0.25">
      <c r="A581" t="str">
        <f>"819"</f>
        <v>819</v>
      </c>
      <c r="B581" t="str">
        <f t="shared" si="35"/>
        <v>1</v>
      </c>
      <c r="C581" t="str">
        <f t="shared" si="36"/>
        <v>34</v>
      </c>
      <c r="D581" t="str">
        <f>"27"</f>
        <v>27</v>
      </c>
      <c r="E581" t="str">
        <f>"1-34-27"</f>
        <v>1-34-27</v>
      </c>
      <c r="F581" t="s">
        <v>15</v>
      </c>
      <c r="G581" t="s">
        <v>18</v>
      </c>
      <c r="H581" t="s">
        <v>19</v>
      </c>
      <c r="I581">
        <v>0</v>
      </c>
      <c r="J581">
        <v>0</v>
      </c>
      <c r="K581">
        <v>1</v>
      </c>
    </row>
    <row r="582" spans="1:11" x14ac:dyDescent="0.25">
      <c r="A582" t="str">
        <f>"820"</f>
        <v>820</v>
      </c>
      <c r="B582" t="str">
        <f t="shared" si="35"/>
        <v>1</v>
      </c>
      <c r="C582" t="str">
        <f t="shared" si="36"/>
        <v>34</v>
      </c>
      <c r="D582" t="str">
        <f>"7"</f>
        <v>7</v>
      </c>
      <c r="E582" t="str">
        <f>"1-34-7"</f>
        <v>1-34-7</v>
      </c>
      <c r="F582" t="s">
        <v>15</v>
      </c>
      <c r="G582" t="s">
        <v>16</v>
      </c>
      <c r="H582" t="s">
        <v>17</v>
      </c>
      <c r="I582">
        <v>1</v>
      </c>
      <c r="J582">
        <v>0</v>
      </c>
      <c r="K582">
        <v>0</v>
      </c>
    </row>
    <row r="583" spans="1:11" x14ac:dyDescent="0.25">
      <c r="A583" t="str">
        <f>"821"</f>
        <v>821</v>
      </c>
      <c r="B583" t="str">
        <f t="shared" si="35"/>
        <v>1</v>
      </c>
      <c r="C583" t="str">
        <f t="shared" si="36"/>
        <v>34</v>
      </c>
      <c r="D583" t="str">
        <f>"28"</f>
        <v>28</v>
      </c>
      <c r="E583" t="str">
        <f>"1-34-28"</f>
        <v>1-34-28</v>
      </c>
      <c r="F583" t="s">
        <v>15</v>
      </c>
      <c r="G583" t="s">
        <v>16</v>
      </c>
      <c r="H583" t="s">
        <v>17</v>
      </c>
      <c r="I583">
        <v>1</v>
      </c>
      <c r="J583">
        <v>0</v>
      </c>
      <c r="K583">
        <v>0</v>
      </c>
    </row>
    <row r="584" spans="1:11" x14ac:dyDescent="0.25">
      <c r="A584" t="str">
        <f>"822"</f>
        <v>822</v>
      </c>
      <c r="B584" t="str">
        <f t="shared" si="35"/>
        <v>1</v>
      </c>
      <c r="C584" t="str">
        <f t="shared" si="36"/>
        <v>34</v>
      </c>
      <c r="D584" t="str">
        <f>"11"</f>
        <v>11</v>
      </c>
      <c r="E584" t="str">
        <f>"1-34-11"</f>
        <v>1-34-11</v>
      </c>
      <c r="F584" t="s">
        <v>15</v>
      </c>
      <c r="G584" t="s">
        <v>16</v>
      </c>
      <c r="H584" t="s">
        <v>17</v>
      </c>
      <c r="I584">
        <v>0</v>
      </c>
      <c r="J584">
        <v>1</v>
      </c>
      <c r="K584">
        <v>0</v>
      </c>
    </row>
    <row r="585" spans="1:11" x14ac:dyDescent="0.25">
      <c r="A585" t="str">
        <f>"823"</f>
        <v>823</v>
      </c>
      <c r="B585" t="str">
        <f t="shared" si="35"/>
        <v>1</v>
      </c>
      <c r="C585" t="str">
        <f t="shared" si="36"/>
        <v>34</v>
      </c>
      <c r="D585" t="str">
        <f>"10"</f>
        <v>10</v>
      </c>
      <c r="E585" t="str">
        <f>"1-34-10"</f>
        <v>1-34-10</v>
      </c>
      <c r="F585" t="s">
        <v>15</v>
      </c>
      <c r="G585" t="s">
        <v>20</v>
      </c>
      <c r="H585" t="s">
        <v>21</v>
      </c>
      <c r="I585">
        <v>0</v>
      </c>
      <c r="J585">
        <v>1</v>
      </c>
      <c r="K585">
        <v>0</v>
      </c>
    </row>
    <row r="586" spans="1:11" x14ac:dyDescent="0.25">
      <c r="A586" t="str">
        <f>"824"</f>
        <v>824</v>
      </c>
      <c r="B586" t="str">
        <f t="shared" si="35"/>
        <v>1</v>
      </c>
      <c r="C586" t="str">
        <f t="shared" si="36"/>
        <v>34</v>
      </c>
      <c r="D586" t="str">
        <f>"21"</f>
        <v>21</v>
      </c>
      <c r="E586" t="str">
        <f>"1-34-21"</f>
        <v>1-34-21</v>
      </c>
      <c r="F586" t="s">
        <v>15</v>
      </c>
      <c r="G586" t="s">
        <v>16</v>
      </c>
      <c r="H586" t="s">
        <v>17</v>
      </c>
      <c r="I586">
        <v>0</v>
      </c>
      <c r="J586">
        <v>0</v>
      </c>
      <c r="K586">
        <v>0</v>
      </c>
    </row>
    <row r="587" spans="1:11" x14ac:dyDescent="0.25">
      <c r="A587" t="str">
        <f>"825"</f>
        <v>825</v>
      </c>
      <c r="B587" t="str">
        <f t="shared" si="35"/>
        <v>1</v>
      </c>
      <c r="C587" t="str">
        <f t="shared" si="36"/>
        <v>34</v>
      </c>
      <c r="D587" t="str">
        <f>"22"</f>
        <v>22</v>
      </c>
      <c r="E587" t="str">
        <f>"1-34-22"</f>
        <v>1-34-22</v>
      </c>
      <c r="F587" t="s">
        <v>15</v>
      </c>
      <c r="G587" t="s">
        <v>16</v>
      </c>
      <c r="H587" t="s">
        <v>17</v>
      </c>
      <c r="I587">
        <v>0</v>
      </c>
      <c r="J587">
        <v>0</v>
      </c>
      <c r="K587">
        <v>0</v>
      </c>
    </row>
    <row r="588" spans="1:11" x14ac:dyDescent="0.25">
      <c r="A588" t="str">
        <f>"826"</f>
        <v>826</v>
      </c>
      <c r="B588" t="str">
        <f t="shared" si="35"/>
        <v>1</v>
      </c>
      <c r="C588" t="str">
        <f t="shared" si="36"/>
        <v>34</v>
      </c>
      <c r="D588" t="str">
        <f>"12"</f>
        <v>12</v>
      </c>
      <c r="E588" t="str">
        <f>"1-34-12"</f>
        <v>1-34-12</v>
      </c>
      <c r="F588" t="s">
        <v>15</v>
      </c>
      <c r="G588" t="s">
        <v>16</v>
      </c>
      <c r="H588" t="s">
        <v>17</v>
      </c>
      <c r="I588">
        <v>0</v>
      </c>
      <c r="J588">
        <v>0</v>
      </c>
      <c r="K588">
        <v>0</v>
      </c>
    </row>
    <row r="589" spans="1:11" x14ac:dyDescent="0.25">
      <c r="A589" t="str">
        <f>"827"</f>
        <v>827</v>
      </c>
      <c r="B589" t="str">
        <f t="shared" si="35"/>
        <v>1</v>
      </c>
      <c r="C589" t="str">
        <f t="shared" ref="C589:C615" si="37">"35"</f>
        <v>35</v>
      </c>
      <c r="D589" t="str">
        <f>"25"</f>
        <v>25</v>
      </c>
      <c r="E589" t="str">
        <f>"1-35-25"</f>
        <v>1-35-25</v>
      </c>
      <c r="F589" t="s">
        <v>15</v>
      </c>
      <c r="G589" t="s">
        <v>16</v>
      </c>
      <c r="H589" t="s">
        <v>17</v>
      </c>
      <c r="I589">
        <v>0</v>
      </c>
      <c r="J589">
        <v>1</v>
      </c>
      <c r="K589">
        <v>0</v>
      </c>
    </row>
    <row r="590" spans="1:11" x14ac:dyDescent="0.25">
      <c r="A590" t="str">
        <f>"828"</f>
        <v>828</v>
      </c>
      <c r="B590" t="str">
        <f t="shared" si="35"/>
        <v>1</v>
      </c>
      <c r="C590" t="str">
        <f t="shared" si="37"/>
        <v>35</v>
      </c>
      <c r="D590" t="str">
        <f>"15"</f>
        <v>15</v>
      </c>
      <c r="E590" t="str">
        <f>"1-35-15"</f>
        <v>1-35-15</v>
      </c>
      <c r="F590" t="s">
        <v>15</v>
      </c>
      <c r="G590" t="s">
        <v>16</v>
      </c>
      <c r="H590" t="s">
        <v>17</v>
      </c>
      <c r="I590">
        <v>0</v>
      </c>
      <c r="J590">
        <v>0</v>
      </c>
      <c r="K590">
        <v>1</v>
      </c>
    </row>
    <row r="591" spans="1:11" x14ac:dyDescent="0.25">
      <c r="A591" t="str">
        <f>"829"</f>
        <v>829</v>
      </c>
      <c r="B591" t="str">
        <f t="shared" si="35"/>
        <v>1</v>
      </c>
      <c r="C591" t="str">
        <f t="shared" si="37"/>
        <v>35</v>
      </c>
      <c r="D591" t="str">
        <f>"2"</f>
        <v>2</v>
      </c>
      <c r="E591" t="str">
        <f>"1-35-2"</f>
        <v>1-35-2</v>
      </c>
      <c r="F591" t="s">
        <v>15</v>
      </c>
      <c r="G591" t="s">
        <v>16</v>
      </c>
      <c r="H591" t="s">
        <v>17</v>
      </c>
      <c r="I591">
        <v>0</v>
      </c>
      <c r="J591">
        <v>0</v>
      </c>
      <c r="K591">
        <v>1</v>
      </c>
    </row>
    <row r="592" spans="1:11" x14ac:dyDescent="0.25">
      <c r="A592" t="str">
        <f>"830"</f>
        <v>830</v>
      </c>
      <c r="B592" t="str">
        <f t="shared" si="35"/>
        <v>1</v>
      </c>
      <c r="C592" t="str">
        <f t="shared" si="37"/>
        <v>35</v>
      </c>
      <c r="D592" t="str">
        <f>"27"</f>
        <v>27</v>
      </c>
      <c r="E592" t="str">
        <f>"1-35-27"</f>
        <v>1-35-27</v>
      </c>
      <c r="F592" t="s">
        <v>15</v>
      </c>
      <c r="G592" t="s">
        <v>18</v>
      </c>
      <c r="H592" t="s">
        <v>19</v>
      </c>
      <c r="I592">
        <v>0</v>
      </c>
      <c r="J592">
        <v>0</v>
      </c>
      <c r="K592">
        <v>1</v>
      </c>
    </row>
    <row r="593" spans="1:11" x14ac:dyDescent="0.25">
      <c r="A593" t="str">
        <f>"831"</f>
        <v>831</v>
      </c>
      <c r="B593" t="str">
        <f t="shared" si="35"/>
        <v>1</v>
      </c>
      <c r="C593" t="str">
        <f t="shared" si="37"/>
        <v>35</v>
      </c>
      <c r="D593" t="str">
        <f>"16"</f>
        <v>16</v>
      </c>
      <c r="E593" t="str">
        <f>"1-35-16"</f>
        <v>1-35-16</v>
      </c>
      <c r="F593" t="s">
        <v>15</v>
      </c>
      <c r="G593" t="s">
        <v>16</v>
      </c>
      <c r="H593" t="s">
        <v>17</v>
      </c>
      <c r="I593">
        <v>0</v>
      </c>
      <c r="J593">
        <v>0</v>
      </c>
      <c r="K593">
        <v>1</v>
      </c>
    </row>
    <row r="594" spans="1:11" x14ac:dyDescent="0.25">
      <c r="A594" t="str">
        <f>"832"</f>
        <v>832</v>
      </c>
      <c r="B594" t="str">
        <f t="shared" si="35"/>
        <v>1</v>
      </c>
      <c r="C594" t="str">
        <f t="shared" si="37"/>
        <v>35</v>
      </c>
      <c r="D594" t="str">
        <f>"3"</f>
        <v>3</v>
      </c>
      <c r="E594" t="str">
        <f>"1-35-3"</f>
        <v>1-35-3</v>
      </c>
      <c r="F594" t="s">
        <v>15</v>
      </c>
      <c r="G594" t="s">
        <v>16</v>
      </c>
      <c r="H594" t="s">
        <v>17</v>
      </c>
      <c r="I594">
        <v>0</v>
      </c>
      <c r="J594">
        <v>1</v>
      </c>
      <c r="K594">
        <v>0</v>
      </c>
    </row>
    <row r="595" spans="1:11" x14ac:dyDescent="0.25">
      <c r="A595" t="str">
        <f>"833"</f>
        <v>833</v>
      </c>
      <c r="B595" t="str">
        <f t="shared" si="35"/>
        <v>1</v>
      </c>
      <c r="C595" t="str">
        <f t="shared" si="37"/>
        <v>35</v>
      </c>
      <c r="D595" t="str">
        <f>"17"</f>
        <v>17</v>
      </c>
      <c r="E595" t="str">
        <f>"1-35-17"</f>
        <v>1-35-17</v>
      </c>
      <c r="F595" t="s">
        <v>15</v>
      </c>
      <c r="G595" t="s">
        <v>16</v>
      </c>
      <c r="H595" t="s">
        <v>17</v>
      </c>
      <c r="I595">
        <v>0</v>
      </c>
      <c r="J595">
        <v>1</v>
      </c>
      <c r="K595">
        <v>0</v>
      </c>
    </row>
    <row r="596" spans="1:11" x14ac:dyDescent="0.25">
      <c r="A596" t="str">
        <f>"834"</f>
        <v>834</v>
      </c>
      <c r="B596" t="str">
        <f t="shared" si="35"/>
        <v>1</v>
      </c>
      <c r="C596" t="str">
        <f t="shared" si="37"/>
        <v>35</v>
      </c>
      <c r="D596" t="str">
        <f>"4"</f>
        <v>4</v>
      </c>
      <c r="E596" t="str">
        <f>"1-35-4"</f>
        <v>1-35-4</v>
      </c>
      <c r="F596" t="s">
        <v>15</v>
      </c>
      <c r="G596" t="s">
        <v>16</v>
      </c>
      <c r="H596" t="s">
        <v>17</v>
      </c>
      <c r="I596">
        <v>0</v>
      </c>
      <c r="J596">
        <v>1</v>
      </c>
      <c r="K596">
        <v>0</v>
      </c>
    </row>
    <row r="597" spans="1:11" x14ac:dyDescent="0.25">
      <c r="A597" t="str">
        <f>"835"</f>
        <v>835</v>
      </c>
      <c r="B597" t="str">
        <f t="shared" si="35"/>
        <v>1</v>
      </c>
      <c r="C597" t="str">
        <f t="shared" si="37"/>
        <v>35</v>
      </c>
      <c r="D597" t="str">
        <f>"18"</f>
        <v>18</v>
      </c>
      <c r="E597" t="str">
        <f>"1-35-18"</f>
        <v>1-35-18</v>
      </c>
      <c r="F597" t="s">
        <v>15</v>
      </c>
      <c r="G597" t="s">
        <v>18</v>
      </c>
      <c r="H597" t="s">
        <v>19</v>
      </c>
      <c r="I597">
        <v>0</v>
      </c>
      <c r="J597">
        <v>0</v>
      </c>
      <c r="K597">
        <v>1</v>
      </c>
    </row>
    <row r="598" spans="1:11" x14ac:dyDescent="0.25">
      <c r="A598" t="str">
        <f>"836"</f>
        <v>836</v>
      </c>
      <c r="B598" t="str">
        <f t="shared" si="35"/>
        <v>1</v>
      </c>
      <c r="C598" t="str">
        <f t="shared" si="37"/>
        <v>35</v>
      </c>
      <c r="D598" t="str">
        <f>"8"</f>
        <v>8</v>
      </c>
      <c r="E598" t="str">
        <f>"1-35-8"</f>
        <v>1-35-8</v>
      </c>
      <c r="F598" t="s">
        <v>15</v>
      </c>
      <c r="G598" t="s">
        <v>16</v>
      </c>
      <c r="H598" t="s">
        <v>17</v>
      </c>
      <c r="I598">
        <v>0</v>
      </c>
      <c r="J598">
        <v>0</v>
      </c>
      <c r="K598">
        <v>1</v>
      </c>
    </row>
    <row r="599" spans="1:11" x14ac:dyDescent="0.25">
      <c r="A599" t="str">
        <f>"837"</f>
        <v>837</v>
      </c>
      <c r="B599" t="str">
        <f t="shared" si="35"/>
        <v>1</v>
      </c>
      <c r="C599" t="str">
        <f t="shared" si="37"/>
        <v>35</v>
      </c>
      <c r="D599" t="str">
        <f>"19"</f>
        <v>19</v>
      </c>
      <c r="E599" t="str">
        <f>"1-35-19"</f>
        <v>1-35-19</v>
      </c>
      <c r="F599" t="s">
        <v>15</v>
      </c>
      <c r="G599" t="s">
        <v>16</v>
      </c>
      <c r="H599" t="s">
        <v>17</v>
      </c>
      <c r="I599">
        <v>0</v>
      </c>
      <c r="J599">
        <v>1</v>
      </c>
      <c r="K599">
        <v>0</v>
      </c>
    </row>
    <row r="600" spans="1:11" x14ac:dyDescent="0.25">
      <c r="A600" t="str">
        <f>"838"</f>
        <v>838</v>
      </c>
      <c r="B600" t="str">
        <f t="shared" si="35"/>
        <v>1</v>
      </c>
      <c r="C600" t="str">
        <f t="shared" si="37"/>
        <v>35</v>
      </c>
      <c r="D600" t="str">
        <f>"14"</f>
        <v>14</v>
      </c>
      <c r="E600" t="str">
        <f>"1-35-14"</f>
        <v>1-35-14</v>
      </c>
      <c r="F600" t="s">
        <v>15</v>
      </c>
      <c r="G600" t="s">
        <v>16</v>
      </c>
      <c r="H600" t="s">
        <v>17</v>
      </c>
      <c r="I600">
        <v>0</v>
      </c>
      <c r="J600">
        <v>0</v>
      </c>
      <c r="K600">
        <v>1</v>
      </c>
    </row>
    <row r="601" spans="1:11" x14ac:dyDescent="0.25">
      <c r="A601" t="str">
        <f>"839"</f>
        <v>839</v>
      </c>
      <c r="B601" t="str">
        <f t="shared" si="35"/>
        <v>1</v>
      </c>
      <c r="C601" t="str">
        <f t="shared" si="37"/>
        <v>35</v>
      </c>
      <c r="D601" t="str">
        <f>"20"</f>
        <v>20</v>
      </c>
      <c r="E601" t="str">
        <f>"1-35-20"</f>
        <v>1-35-20</v>
      </c>
      <c r="F601" t="s">
        <v>15</v>
      </c>
      <c r="G601" t="s">
        <v>16</v>
      </c>
      <c r="H601" t="s">
        <v>17</v>
      </c>
      <c r="I601">
        <v>0</v>
      </c>
      <c r="J601">
        <v>0</v>
      </c>
      <c r="K601">
        <v>1</v>
      </c>
    </row>
    <row r="602" spans="1:11" x14ac:dyDescent="0.25">
      <c r="A602" t="str">
        <f>"840"</f>
        <v>840</v>
      </c>
      <c r="B602" t="str">
        <f t="shared" si="35"/>
        <v>1</v>
      </c>
      <c r="C602" t="str">
        <f t="shared" si="37"/>
        <v>35</v>
      </c>
      <c r="D602" t="str">
        <f>"1"</f>
        <v>1</v>
      </c>
      <c r="E602" t="str">
        <f>"1-35-1"</f>
        <v>1-35-1</v>
      </c>
      <c r="F602" t="s">
        <v>15</v>
      </c>
      <c r="G602" t="s">
        <v>16</v>
      </c>
      <c r="H602" t="s">
        <v>17</v>
      </c>
      <c r="I602">
        <v>0</v>
      </c>
      <c r="J602">
        <v>1</v>
      </c>
      <c r="K602">
        <v>0</v>
      </c>
    </row>
    <row r="603" spans="1:11" x14ac:dyDescent="0.25">
      <c r="A603" t="str">
        <f>"841"</f>
        <v>841</v>
      </c>
      <c r="B603" t="str">
        <f t="shared" si="35"/>
        <v>1</v>
      </c>
      <c r="C603" t="str">
        <f t="shared" si="37"/>
        <v>35</v>
      </c>
      <c r="D603" t="str">
        <f>"21"</f>
        <v>21</v>
      </c>
      <c r="E603" t="str">
        <f>"1-35-21"</f>
        <v>1-35-21</v>
      </c>
      <c r="F603" t="s">
        <v>15</v>
      </c>
      <c r="G603" t="s">
        <v>16</v>
      </c>
      <c r="H603" t="s">
        <v>17</v>
      </c>
      <c r="I603">
        <v>1</v>
      </c>
      <c r="J603">
        <v>0</v>
      </c>
      <c r="K603">
        <v>0</v>
      </c>
    </row>
    <row r="604" spans="1:11" x14ac:dyDescent="0.25">
      <c r="A604" t="str">
        <f>"842"</f>
        <v>842</v>
      </c>
      <c r="B604" t="str">
        <f t="shared" si="35"/>
        <v>1</v>
      </c>
      <c r="C604" t="str">
        <f t="shared" si="37"/>
        <v>35</v>
      </c>
      <c r="D604" t="str">
        <f>"9"</f>
        <v>9</v>
      </c>
      <c r="E604" t="str">
        <f>"1-35-9"</f>
        <v>1-35-9</v>
      </c>
      <c r="F604" t="s">
        <v>15</v>
      </c>
      <c r="G604" t="s">
        <v>16</v>
      </c>
      <c r="H604" t="s">
        <v>17</v>
      </c>
      <c r="I604">
        <v>1</v>
      </c>
      <c r="J604">
        <v>0</v>
      </c>
      <c r="K604">
        <v>0</v>
      </c>
    </row>
    <row r="605" spans="1:11" x14ac:dyDescent="0.25">
      <c r="A605" t="str">
        <f>"843"</f>
        <v>843</v>
      </c>
      <c r="B605" t="str">
        <f t="shared" si="35"/>
        <v>1</v>
      </c>
      <c r="C605" t="str">
        <f t="shared" si="37"/>
        <v>35</v>
      </c>
      <c r="D605" t="str">
        <f>"22"</f>
        <v>22</v>
      </c>
      <c r="E605" t="str">
        <f>"1-35-22"</f>
        <v>1-35-22</v>
      </c>
      <c r="F605" t="s">
        <v>15</v>
      </c>
      <c r="G605" t="s">
        <v>16</v>
      </c>
      <c r="H605" t="s">
        <v>17</v>
      </c>
      <c r="I605">
        <v>0</v>
      </c>
      <c r="J605">
        <v>0</v>
      </c>
      <c r="K605">
        <v>1</v>
      </c>
    </row>
    <row r="606" spans="1:11" x14ac:dyDescent="0.25">
      <c r="A606" t="str">
        <f>"844"</f>
        <v>844</v>
      </c>
      <c r="B606" t="str">
        <f t="shared" si="35"/>
        <v>1</v>
      </c>
      <c r="C606" t="str">
        <f t="shared" si="37"/>
        <v>35</v>
      </c>
      <c r="D606" t="str">
        <f>"10"</f>
        <v>10</v>
      </c>
      <c r="E606" t="str">
        <f>"1-35-10"</f>
        <v>1-35-10</v>
      </c>
      <c r="F606" t="s">
        <v>15</v>
      </c>
      <c r="G606" t="s">
        <v>16</v>
      </c>
      <c r="H606" t="s">
        <v>17</v>
      </c>
      <c r="I606">
        <v>1</v>
      </c>
      <c r="J606">
        <v>0</v>
      </c>
      <c r="K606">
        <v>0</v>
      </c>
    </row>
    <row r="607" spans="1:11" x14ac:dyDescent="0.25">
      <c r="A607" t="str">
        <f>"845"</f>
        <v>845</v>
      </c>
      <c r="B607" t="str">
        <f t="shared" si="35"/>
        <v>1</v>
      </c>
      <c r="C607" t="str">
        <f t="shared" si="37"/>
        <v>35</v>
      </c>
      <c r="D607" t="str">
        <f>"23"</f>
        <v>23</v>
      </c>
      <c r="E607" t="str">
        <f>"1-35-23"</f>
        <v>1-35-23</v>
      </c>
      <c r="F607" t="s">
        <v>15</v>
      </c>
      <c r="G607" t="s">
        <v>18</v>
      </c>
      <c r="H607" t="s">
        <v>19</v>
      </c>
      <c r="I607">
        <v>0</v>
      </c>
      <c r="J607">
        <v>1</v>
      </c>
      <c r="K607">
        <v>0</v>
      </c>
    </row>
    <row r="608" spans="1:11" x14ac:dyDescent="0.25">
      <c r="A608" t="str">
        <f>"846"</f>
        <v>846</v>
      </c>
      <c r="B608" t="str">
        <f t="shared" si="35"/>
        <v>1</v>
      </c>
      <c r="C608" t="str">
        <f t="shared" si="37"/>
        <v>35</v>
      </c>
      <c r="D608" t="str">
        <f>"12"</f>
        <v>12</v>
      </c>
      <c r="E608" t="str">
        <f>"1-35-12"</f>
        <v>1-35-12</v>
      </c>
      <c r="F608" t="s">
        <v>15</v>
      </c>
      <c r="G608" t="s">
        <v>18</v>
      </c>
      <c r="H608" t="s">
        <v>19</v>
      </c>
      <c r="I608">
        <v>1</v>
      </c>
      <c r="J608">
        <v>0</v>
      </c>
      <c r="K608">
        <v>0</v>
      </c>
    </row>
    <row r="609" spans="1:11" x14ac:dyDescent="0.25">
      <c r="A609" t="str">
        <f>"847"</f>
        <v>847</v>
      </c>
      <c r="B609" t="str">
        <f t="shared" si="35"/>
        <v>1</v>
      </c>
      <c r="C609" t="str">
        <f t="shared" si="37"/>
        <v>35</v>
      </c>
      <c r="D609" t="str">
        <f>"24"</f>
        <v>24</v>
      </c>
      <c r="E609" t="str">
        <f>"1-35-24"</f>
        <v>1-35-24</v>
      </c>
      <c r="F609" t="s">
        <v>15</v>
      </c>
      <c r="G609" t="s">
        <v>18</v>
      </c>
      <c r="H609" t="s">
        <v>19</v>
      </c>
      <c r="I609">
        <v>1</v>
      </c>
      <c r="J609">
        <v>0</v>
      </c>
      <c r="K609">
        <v>0</v>
      </c>
    </row>
    <row r="610" spans="1:11" x14ac:dyDescent="0.25">
      <c r="A610" t="str">
        <f>"848"</f>
        <v>848</v>
      </c>
      <c r="B610" t="str">
        <f t="shared" si="35"/>
        <v>1</v>
      </c>
      <c r="C610" t="str">
        <f t="shared" si="37"/>
        <v>35</v>
      </c>
      <c r="D610" t="str">
        <f>"6"</f>
        <v>6</v>
      </c>
      <c r="E610" t="str">
        <f>"1-35-6"</f>
        <v>1-35-6</v>
      </c>
      <c r="F610" t="s">
        <v>15</v>
      </c>
      <c r="G610" t="s">
        <v>16</v>
      </c>
      <c r="H610" t="s">
        <v>17</v>
      </c>
      <c r="I610">
        <v>0</v>
      </c>
      <c r="J610">
        <v>1</v>
      </c>
      <c r="K610">
        <v>0</v>
      </c>
    </row>
    <row r="611" spans="1:11" x14ac:dyDescent="0.25">
      <c r="A611" t="str">
        <f>"849"</f>
        <v>849</v>
      </c>
      <c r="B611" t="str">
        <f t="shared" si="35"/>
        <v>1</v>
      </c>
      <c r="C611" t="str">
        <f t="shared" si="37"/>
        <v>35</v>
      </c>
      <c r="D611" t="str">
        <f>"26"</f>
        <v>26</v>
      </c>
      <c r="E611" t="str">
        <f>"1-35-26"</f>
        <v>1-35-26</v>
      </c>
      <c r="F611" t="s">
        <v>15</v>
      </c>
      <c r="G611" t="s">
        <v>18</v>
      </c>
      <c r="H611" t="s">
        <v>19</v>
      </c>
      <c r="I611">
        <v>0</v>
      </c>
      <c r="J611">
        <v>0</v>
      </c>
      <c r="K611">
        <v>1</v>
      </c>
    </row>
    <row r="612" spans="1:11" x14ac:dyDescent="0.25">
      <c r="A612" t="str">
        <f>"850"</f>
        <v>850</v>
      </c>
      <c r="B612" t="str">
        <f t="shared" si="35"/>
        <v>1</v>
      </c>
      <c r="C612" t="str">
        <f t="shared" si="37"/>
        <v>35</v>
      </c>
      <c r="D612" t="str">
        <f>"7"</f>
        <v>7</v>
      </c>
      <c r="E612" t="str">
        <f>"1-35-7"</f>
        <v>1-35-7</v>
      </c>
      <c r="F612" t="s">
        <v>15</v>
      </c>
      <c r="G612" t="s">
        <v>16</v>
      </c>
      <c r="H612" t="s">
        <v>17</v>
      </c>
      <c r="I612">
        <v>0</v>
      </c>
      <c r="J612">
        <v>0</v>
      </c>
      <c r="K612">
        <v>1</v>
      </c>
    </row>
    <row r="613" spans="1:11" x14ac:dyDescent="0.25">
      <c r="A613" t="str">
        <f>"851"</f>
        <v>851</v>
      </c>
      <c r="B613" t="str">
        <f t="shared" si="35"/>
        <v>1</v>
      </c>
      <c r="C613" t="str">
        <f t="shared" si="37"/>
        <v>35</v>
      </c>
      <c r="D613" t="str">
        <f>"11"</f>
        <v>11</v>
      </c>
      <c r="E613" t="str">
        <f>"1-35-11"</f>
        <v>1-35-11</v>
      </c>
      <c r="F613" t="s">
        <v>15</v>
      </c>
      <c r="G613" t="s">
        <v>18</v>
      </c>
      <c r="H613" t="s">
        <v>19</v>
      </c>
      <c r="I613">
        <v>1</v>
      </c>
      <c r="J613">
        <v>0</v>
      </c>
      <c r="K613">
        <v>0</v>
      </c>
    </row>
    <row r="614" spans="1:11" x14ac:dyDescent="0.25">
      <c r="A614" t="str">
        <f>"852"</f>
        <v>852</v>
      </c>
      <c r="B614" t="str">
        <f t="shared" si="35"/>
        <v>1</v>
      </c>
      <c r="C614" t="str">
        <f t="shared" si="37"/>
        <v>35</v>
      </c>
      <c r="D614" t="str">
        <f>"5"</f>
        <v>5</v>
      </c>
      <c r="E614" t="str">
        <f>"1-35-5"</f>
        <v>1-35-5</v>
      </c>
      <c r="F614" t="s">
        <v>15</v>
      </c>
      <c r="G614" t="s">
        <v>16</v>
      </c>
      <c r="H614" t="s">
        <v>17</v>
      </c>
      <c r="I614">
        <v>1</v>
      </c>
      <c r="J614">
        <v>0</v>
      </c>
      <c r="K614">
        <v>0</v>
      </c>
    </row>
    <row r="615" spans="1:11" x14ac:dyDescent="0.25">
      <c r="A615" t="str">
        <f>"853"</f>
        <v>853</v>
      </c>
      <c r="B615" t="str">
        <f t="shared" si="35"/>
        <v>1</v>
      </c>
      <c r="C615" t="str">
        <f t="shared" si="37"/>
        <v>35</v>
      </c>
      <c r="D615" t="str">
        <f>"13"</f>
        <v>13</v>
      </c>
      <c r="E615" t="str">
        <f>"1-35-13"</f>
        <v>1-35-13</v>
      </c>
      <c r="F615" t="s">
        <v>15</v>
      </c>
      <c r="G615" t="s">
        <v>16</v>
      </c>
      <c r="H615" t="s">
        <v>17</v>
      </c>
      <c r="I615">
        <v>0</v>
      </c>
      <c r="J615">
        <v>1</v>
      </c>
      <c r="K615">
        <v>0</v>
      </c>
    </row>
    <row r="616" spans="1:11" x14ac:dyDescent="0.25">
      <c r="A616" t="str">
        <f>"854"</f>
        <v>854</v>
      </c>
      <c r="B616" t="str">
        <f t="shared" si="35"/>
        <v>1</v>
      </c>
      <c r="C616" t="str">
        <f t="shared" ref="C616:C640" si="38">"36"</f>
        <v>36</v>
      </c>
      <c r="D616" t="str">
        <f>"23"</f>
        <v>23</v>
      </c>
      <c r="E616" t="str">
        <f>"1-36-23"</f>
        <v>1-36-23</v>
      </c>
      <c r="F616" t="s">
        <v>15</v>
      </c>
      <c r="G616" t="s">
        <v>18</v>
      </c>
      <c r="H616" t="s">
        <v>19</v>
      </c>
      <c r="I616">
        <v>0</v>
      </c>
      <c r="J616">
        <v>0</v>
      </c>
      <c r="K616">
        <v>1</v>
      </c>
    </row>
    <row r="617" spans="1:11" x14ac:dyDescent="0.25">
      <c r="A617" t="str">
        <f>"855"</f>
        <v>855</v>
      </c>
      <c r="B617" t="str">
        <f t="shared" si="35"/>
        <v>1</v>
      </c>
      <c r="C617" t="str">
        <f t="shared" si="38"/>
        <v>36</v>
      </c>
      <c r="D617" t="str">
        <f>"15"</f>
        <v>15</v>
      </c>
      <c r="E617" t="str">
        <f>"1-36-15"</f>
        <v>1-36-15</v>
      </c>
      <c r="F617" t="s">
        <v>15</v>
      </c>
      <c r="G617" t="s">
        <v>18</v>
      </c>
      <c r="H617" t="s">
        <v>19</v>
      </c>
      <c r="I617">
        <v>0</v>
      </c>
      <c r="J617">
        <v>1</v>
      </c>
      <c r="K617">
        <v>0</v>
      </c>
    </row>
    <row r="618" spans="1:11" x14ac:dyDescent="0.25">
      <c r="A618" t="str">
        <f>"856"</f>
        <v>856</v>
      </c>
      <c r="B618" t="str">
        <f t="shared" si="35"/>
        <v>1</v>
      </c>
      <c r="C618" t="str">
        <f t="shared" si="38"/>
        <v>36</v>
      </c>
      <c r="D618" t="str">
        <f>"1"</f>
        <v>1</v>
      </c>
      <c r="E618" t="str">
        <f>"1-36-1"</f>
        <v>1-36-1</v>
      </c>
      <c r="F618" t="s">
        <v>15</v>
      </c>
      <c r="G618" t="s">
        <v>18</v>
      </c>
      <c r="H618" t="s">
        <v>19</v>
      </c>
      <c r="I618">
        <v>0</v>
      </c>
      <c r="J618">
        <v>0</v>
      </c>
      <c r="K618">
        <v>1</v>
      </c>
    </row>
    <row r="619" spans="1:11" x14ac:dyDescent="0.25">
      <c r="A619" t="str">
        <f>"857"</f>
        <v>857</v>
      </c>
      <c r="B619" t="str">
        <f t="shared" si="35"/>
        <v>1</v>
      </c>
      <c r="C619" t="str">
        <f t="shared" si="38"/>
        <v>36</v>
      </c>
      <c r="D619" t="str">
        <f>"19"</f>
        <v>19</v>
      </c>
      <c r="E619" t="str">
        <f>"1-36-19"</f>
        <v>1-36-19</v>
      </c>
      <c r="F619" t="s">
        <v>15</v>
      </c>
      <c r="G619" t="s">
        <v>18</v>
      </c>
      <c r="H619" t="s">
        <v>19</v>
      </c>
      <c r="I619">
        <v>0</v>
      </c>
      <c r="J619">
        <v>0</v>
      </c>
      <c r="K619">
        <v>1</v>
      </c>
    </row>
    <row r="620" spans="1:11" x14ac:dyDescent="0.25">
      <c r="A620" t="str">
        <f>"858"</f>
        <v>858</v>
      </c>
      <c r="B620" t="str">
        <f t="shared" ref="B620:B683" si="39">"1"</f>
        <v>1</v>
      </c>
      <c r="C620" t="str">
        <f t="shared" si="38"/>
        <v>36</v>
      </c>
      <c r="D620" t="str">
        <f>"16"</f>
        <v>16</v>
      </c>
      <c r="E620" t="str">
        <f>"1-36-16"</f>
        <v>1-36-16</v>
      </c>
      <c r="F620" t="s">
        <v>15</v>
      </c>
      <c r="G620" t="s">
        <v>18</v>
      </c>
      <c r="H620" t="s">
        <v>19</v>
      </c>
      <c r="I620">
        <v>1</v>
      </c>
      <c r="J620">
        <v>0</v>
      </c>
      <c r="K620">
        <v>0</v>
      </c>
    </row>
    <row r="621" spans="1:11" x14ac:dyDescent="0.25">
      <c r="A621" t="str">
        <f>"859"</f>
        <v>859</v>
      </c>
      <c r="B621" t="str">
        <f t="shared" si="39"/>
        <v>1</v>
      </c>
      <c r="C621" t="str">
        <f t="shared" si="38"/>
        <v>36</v>
      </c>
      <c r="D621" t="str">
        <f>"4"</f>
        <v>4</v>
      </c>
      <c r="E621" t="str">
        <f>"1-36-4"</f>
        <v>1-36-4</v>
      </c>
      <c r="F621" t="s">
        <v>15</v>
      </c>
      <c r="G621" t="s">
        <v>18</v>
      </c>
      <c r="H621" t="s">
        <v>19</v>
      </c>
      <c r="I621">
        <v>0</v>
      </c>
      <c r="J621">
        <v>1</v>
      </c>
      <c r="K621">
        <v>0</v>
      </c>
    </row>
    <row r="622" spans="1:11" x14ac:dyDescent="0.25">
      <c r="A622" t="str">
        <f>"860"</f>
        <v>860</v>
      </c>
      <c r="B622" t="str">
        <f t="shared" si="39"/>
        <v>1</v>
      </c>
      <c r="C622" t="str">
        <f t="shared" si="38"/>
        <v>36</v>
      </c>
      <c r="D622" t="str">
        <f>"17"</f>
        <v>17</v>
      </c>
      <c r="E622" t="str">
        <f>"1-36-17"</f>
        <v>1-36-17</v>
      </c>
      <c r="F622" t="s">
        <v>15</v>
      </c>
      <c r="G622" t="s">
        <v>18</v>
      </c>
      <c r="H622" t="s">
        <v>19</v>
      </c>
      <c r="I622">
        <v>1</v>
      </c>
      <c r="J622">
        <v>0</v>
      </c>
      <c r="K622">
        <v>0</v>
      </c>
    </row>
    <row r="623" spans="1:11" x14ac:dyDescent="0.25">
      <c r="A623" t="str">
        <f>"861"</f>
        <v>861</v>
      </c>
      <c r="B623" t="str">
        <f t="shared" si="39"/>
        <v>1</v>
      </c>
      <c r="C623" t="str">
        <f t="shared" si="38"/>
        <v>36</v>
      </c>
      <c r="D623" t="str">
        <f>"11"</f>
        <v>11</v>
      </c>
      <c r="E623" t="str">
        <f>"1-36-11"</f>
        <v>1-36-11</v>
      </c>
      <c r="F623" t="s">
        <v>15</v>
      </c>
      <c r="G623" t="s">
        <v>18</v>
      </c>
      <c r="H623" t="s">
        <v>19</v>
      </c>
      <c r="I623">
        <v>0</v>
      </c>
      <c r="J623">
        <v>1</v>
      </c>
      <c r="K623">
        <v>0</v>
      </c>
    </row>
    <row r="624" spans="1:11" x14ac:dyDescent="0.25">
      <c r="A624" t="str">
        <f>"862"</f>
        <v>862</v>
      </c>
      <c r="B624" t="str">
        <f t="shared" si="39"/>
        <v>1</v>
      </c>
      <c r="C624" t="str">
        <f t="shared" si="38"/>
        <v>36</v>
      </c>
      <c r="D624" t="str">
        <f>"18"</f>
        <v>18</v>
      </c>
      <c r="E624" t="str">
        <f>"1-36-18"</f>
        <v>1-36-18</v>
      </c>
      <c r="F624" t="s">
        <v>15</v>
      </c>
      <c r="G624" t="s">
        <v>18</v>
      </c>
      <c r="H624" t="s">
        <v>19</v>
      </c>
      <c r="I624">
        <v>0</v>
      </c>
      <c r="J624">
        <v>1</v>
      </c>
      <c r="K624">
        <v>0</v>
      </c>
    </row>
    <row r="625" spans="1:11" x14ac:dyDescent="0.25">
      <c r="A625" t="str">
        <f>"863"</f>
        <v>863</v>
      </c>
      <c r="B625" t="str">
        <f t="shared" si="39"/>
        <v>1</v>
      </c>
      <c r="C625" t="str">
        <f t="shared" si="38"/>
        <v>36</v>
      </c>
      <c r="D625" t="str">
        <f>"3"</f>
        <v>3</v>
      </c>
      <c r="E625" t="str">
        <f>"1-36-3"</f>
        <v>1-36-3</v>
      </c>
      <c r="F625" t="s">
        <v>15</v>
      </c>
      <c r="G625" t="s">
        <v>18</v>
      </c>
      <c r="H625" t="s">
        <v>19</v>
      </c>
      <c r="I625">
        <v>0</v>
      </c>
      <c r="J625">
        <v>0</v>
      </c>
      <c r="K625">
        <v>1</v>
      </c>
    </row>
    <row r="626" spans="1:11" x14ac:dyDescent="0.25">
      <c r="A626" t="str">
        <f>"864"</f>
        <v>864</v>
      </c>
      <c r="B626" t="str">
        <f t="shared" si="39"/>
        <v>1</v>
      </c>
      <c r="C626" t="str">
        <f t="shared" si="38"/>
        <v>36</v>
      </c>
      <c r="D626" t="str">
        <f>"20"</f>
        <v>20</v>
      </c>
      <c r="E626" t="str">
        <f>"1-36-20"</f>
        <v>1-36-20</v>
      </c>
      <c r="F626" t="s">
        <v>15</v>
      </c>
      <c r="G626" t="s">
        <v>18</v>
      </c>
      <c r="H626" t="s">
        <v>19</v>
      </c>
      <c r="I626">
        <v>0</v>
      </c>
      <c r="J626">
        <v>0</v>
      </c>
      <c r="K626">
        <v>1</v>
      </c>
    </row>
    <row r="627" spans="1:11" x14ac:dyDescent="0.25">
      <c r="A627" t="str">
        <f>"865"</f>
        <v>865</v>
      </c>
      <c r="B627" t="str">
        <f t="shared" si="39"/>
        <v>1</v>
      </c>
      <c r="C627" t="str">
        <f t="shared" si="38"/>
        <v>36</v>
      </c>
      <c r="D627" t="str">
        <f>"8"</f>
        <v>8</v>
      </c>
      <c r="E627" t="str">
        <f>"1-36-8"</f>
        <v>1-36-8</v>
      </c>
      <c r="F627" t="s">
        <v>15</v>
      </c>
      <c r="G627" t="s">
        <v>18</v>
      </c>
      <c r="H627" t="s">
        <v>19</v>
      </c>
      <c r="I627">
        <v>0</v>
      </c>
      <c r="J627">
        <v>0</v>
      </c>
      <c r="K627">
        <v>1</v>
      </c>
    </row>
    <row r="628" spans="1:11" x14ac:dyDescent="0.25">
      <c r="A628" t="str">
        <f>"866"</f>
        <v>866</v>
      </c>
      <c r="B628" t="str">
        <f t="shared" si="39"/>
        <v>1</v>
      </c>
      <c r="C628" t="str">
        <f t="shared" si="38"/>
        <v>36</v>
      </c>
      <c r="D628" t="str">
        <f>"21"</f>
        <v>21</v>
      </c>
      <c r="E628" t="str">
        <f>"1-36-21"</f>
        <v>1-36-21</v>
      </c>
      <c r="F628" t="s">
        <v>15</v>
      </c>
      <c r="G628" t="s">
        <v>18</v>
      </c>
      <c r="H628" t="s">
        <v>19</v>
      </c>
      <c r="I628">
        <v>1</v>
      </c>
      <c r="J628">
        <v>0</v>
      </c>
      <c r="K628">
        <v>0</v>
      </c>
    </row>
    <row r="629" spans="1:11" x14ac:dyDescent="0.25">
      <c r="A629" t="str">
        <f>"867"</f>
        <v>867</v>
      </c>
      <c r="B629" t="str">
        <f t="shared" si="39"/>
        <v>1</v>
      </c>
      <c r="C629" t="str">
        <f t="shared" si="38"/>
        <v>36</v>
      </c>
      <c r="D629" t="str">
        <f>"14"</f>
        <v>14</v>
      </c>
      <c r="E629" t="str">
        <f>"1-36-14"</f>
        <v>1-36-14</v>
      </c>
      <c r="F629" t="s">
        <v>15</v>
      </c>
      <c r="G629" t="s">
        <v>18</v>
      </c>
      <c r="H629" t="s">
        <v>19</v>
      </c>
      <c r="I629">
        <v>1</v>
      </c>
      <c r="J629">
        <v>0</v>
      </c>
      <c r="K629">
        <v>0</v>
      </c>
    </row>
    <row r="630" spans="1:11" x14ac:dyDescent="0.25">
      <c r="A630" t="str">
        <f>"868"</f>
        <v>868</v>
      </c>
      <c r="B630" t="str">
        <f t="shared" si="39"/>
        <v>1</v>
      </c>
      <c r="C630" t="str">
        <f t="shared" si="38"/>
        <v>36</v>
      </c>
      <c r="D630" t="str">
        <f>"22"</f>
        <v>22</v>
      </c>
      <c r="E630" t="str">
        <f>"1-36-22"</f>
        <v>1-36-22</v>
      </c>
      <c r="F630" t="s">
        <v>15</v>
      </c>
      <c r="G630" t="s">
        <v>18</v>
      </c>
      <c r="H630" t="s">
        <v>19</v>
      </c>
      <c r="I630">
        <v>0</v>
      </c>
      <c r="J630">
        <v>1</v>
      </c>
      <c r="K630">
        <v>0</v>
      </c>
    </row>
    <row r="631" spans="1:11" x14ac:dyDescent="0.25">
      <c r="A631" t="str">
        <f>"869"</f>
        <v>869</v>
      </c>
      <c r="B631" t="str">
        <f t="shared" si="39"/>
        <v>1</v>
      </c>
      <c r="C631" t="str">
        <f t="shared" si="38"/>
        <v>36</v>
      </c>
      <c r="D631" t="str">
        <f>"12"</f>
        <v>12</v>
      </c>
      <c r="E631" t="str">
        <f>"1-36-12"</f>
        <v>1-36-12</v>
      </c>
      <c r="F631" t="s">
        <v>15</v>
      </c>
      <c r="G631" t="s">
        <v>16</v>
      </c>
      <c r="H631" t="s">
        <v>17</v>
      </c>
      <c r="I631">
        <v>0</v>
      </c>
      <c r="J631">
        <v>1</v>
      </c>
      <c r="K631">
        <v>0</v>
      </c>
    </row>
    <row r="632" spans="1:11" x14ac:dyDescent="0.25">
      <c r="A632" t="str">
        <f>"870"</f>
        <v>870</v>
      </c>
      <c r="B632" t="str">
        <f t="shared" si="39"/>
        <v>1</v>
      </c>
      <c r="C632" t="str">
        <f t="shared" si="38"/>
        <v>36</v>
      </c>
      <c r="D632" t="str">
        <f>"24"</f>
        <v>24</v>
      </c>
      <c r="E632" t="str">
        <f>"1-36-24"</f>
        <v>1-36-24</v>
      </c>
      <c r="F632" t="s">
        <v>15</v>
      </c>
      <c r="G632" t="s">
        <v>18</v>
      </c>
      <c r="H632" t="s">
        <v>19</v>
      </c>
      <c r="I632">
        <v>0</v>
      </c>
      <c r="J632">
        <v>1</v>
      </c>
      <c r="K632">
        <v>0</v>
      </c>
    </row>
    <row r="633" spans="1:11" x14ac:dyDescent="0.25">
      <c r="A633" t="str">
        <f>"871"</f>
        <v>871</v>
      </c>
      <c r="B633" t="str">
        <f t="shared" si="39"/>
        <v>1</v>
      </c>
      <c r="C633" t="str">
        <f t="shared" si="38"/>
        <v>36</v>
      </c>
      <c r="D633" t="str">
        <f>"9"</f>
        <v>9</v>
      </c>
      <c r="E633" t="str">
        <f>"1-36-9"</f>
        <v>1-36-9</v>
      </c>
      <c r="F633" t="s">
        <v>15</v>
      </c>
      <c r="G633" t="s">
        <v>18</v>
      </c>
      <c r="H633" t="s">
        <v>19</v>
      </c>
      <c r="I633">
        <v>0</v>
      </c>
      <c r="J633">
        <v>0</v>
      </c>
      <c r="K633">
        <v>1</v>
      </c>
    </row>
    <row r="634" spans="1:11" x14ac:dyDescent="0.25">
      <c r="A634" t="str">
        <f>"872"</f>
        <v>872</v>
      </c>
      <c r="B634" t="str">
        <f t="shared" si="39"/>
        <v>1</v>
      </c>
      <c r="C634" t="str">
        <f t="shared" si="38"/>
        <v>36</v>
      </c>
      <c r="D634" t="str">
        <f>"25"</f>
        <v>25</v>
      </c>
      <c r="E634" t="str">
        <f>"1-36-25"</f>
        <v>1-36-25</v>
      </c>
      <c r="F634" t="s">
        <v>15</v>
      </c>
      <c r="G634" t="s">
        <v>18</v>
      </c>
      <c r="H634" t="s">
        <v>19</v>
      </c>
      <c r="I634">
        <v>0</v>
      </c>
      <c r="J634">
        <v>0</v>
      </c>
      <c r="K634">
        <v>1</v>
      </c>
    </row>
    <row r="635" spans="1:11" x14ac:dyDescent="0.25">
      <c r="A635" t="str">
        <f>"873"</f>
        <v>873</v>
      </c>
      <c r="B635" t="str">
        <f t="shared" si="39"/>
        <v>1</v>
      </c>
      <c r="C635" t="str">
        <f t="shared" si="38"/>
        <v>36</v>
      </c>
      <c r="D635" t="str">
        <f>"2"</f>
        <v>2</v>
      </c>
      <c r="E635" t="str">
        <f>"1-36-2"</f>
        <v>1-36-2</v>
      </c>
      <c r="F635" t="s">
        <v>15</v>
      </c>
      <c r="G635" t="s">
        <v>18</v>
      </c>
      <c r="H635" t="s">
        <v>19</v>
      </c>
      <c r="I635">
        <v>0</v>
      </c>
      <c r="J635">
        <v>0</v>
      </c>
      <c r="K635">
        <v>1</v>
      </c>
    </row>
    <row r="636" spans="1:11" x14ac:dyDescent="0.25">
      <c r="A636" t="str">
        <f>"874"</f>
        <v>874</v>
      </c>
      <c r="B636" t="str">
        <f t="shared" si="39"/>
        <v>1</v>
      </c>
      <c r="C636" t="str">
        <f t="shared" si="38"/>
        <v>36</v>
      </c>
      <c r="D636" t="str">
        <f>"7"</f>
        <v>7</v>
      </c>
      <c r="E636" t="str">
        <f>"1-36-7"</f>
        <v>1-36-7</v>
      </c>
      <c r="F636" t="s">
        <v>15</v>
      </c>
      <c r="G636" t="s">
        <v>18</v>
      </c>
      <c r="H636" t="s">
        <v>19</v>
      </c>
      <c r="I636">
        <v>0</v>
      </c>
      <c r="J636">
        <v>1</v>
      </c>
      <c r="K636">
        <v>0</v>
      </c>
    </row>
    <row r="637" spans="1:11" x14ac:dyDescent="0.25">
      <c r="A637" t="str">
        <f>"875"</f>
        <v>875</v>
      </c>
      <c r="B637" t="str">
        <f t="shared" si="39"/>
        <v>1</v>
      </c>
      <c r="C637" t="str">
        <f t="shared" si="38"/>
        <v>36</v>
      </c>
      <c r="D637" t="str">
        <f>"5"</f>
        <v>5</v>
      </c>
      <c r="E637" t="str">
        <f>"1-36-5"</f>
        <v>1-36-5</v>
      </c>
      <c r="F637" t="s">
        <v>15</v>
      </c>
      <c r="G637" t="s">
        <v>18</v>
      </c>
      <c r="H637" t="s">
        <v>19</v>
      </c>
      <c r="I637">
        <v>0</v>
      </c>
      <c r="J637">
        <v>0</v>
      </c>
      <c r="K637">
        <v>1</v>
      </c>
    </row>
    <row r="638" spans="1:11" x14ac:dyDescent="0.25">
      <c r="A638" t="str">
        <f>"876"</f>
        <v>876</v>
      </c>
      <c r="B638" t="str">
        <f t="shared" si="39"/>
        <v>1</v>
      </c>
      <c r="C638" t="str">
        <f t="shared" si="38"/>
        <v>36</v>
      </c>
      <c r="D638" t="str">
        <f>"10"</f>
        <v>10</v>
      </c>
      <c r="E638" t="str">
        <f>"1-36-10"</f>
        <v>1-36-10</v>
      </c>
      <c r="F638" t="s">
        <v>15</v>
      </c>
      <c r="G638" t="s">
        <v>18</v>
      </c>
      <c r="H638" t="s">
        <v>19</v>
      </c>
      <c r="I638">
        <v>1</v>
      </c>
      <c r="J638">
        <v>0</v>
      </c>
      <c r="K638">
        <v>0</v>
      </c>
    </row>
    <row r="639" spans="1:11" x14ac:dyDescent="0.25">
      <c r="A639" t="str">
        <f>"877"</f>
        <v>877</v>
      </c>
      <c r="B639" t="str">
        <f t="shared" si="39"/>
        <v>1</v>
      </c>
      <c r="C639" t="str">
        <f t="shared" si="38"/>
        <v>36</v>
      </c>
      <c r="D639" t="str">
        <f>"13"</f>
        <v>13</v>
      </c>
      <c r="E639" t="str">
        <f>"1-36-13"</f>
        <v>1-36-13</v>
      </c>
      <c r="F639" t="s">
        <v>15</v>
      </c>
      <c r="G639" t="s">
        <v>18</v>
      </c>
      <c r="H639" t="s">
        <v>19</v>
      </c>
      <c r="I639">
        <v>0</v>
      </c>
      <c r="J639">
        <v>0</v>
      </c>
      <c r="K639">
        <v>1</v>
      </c>
    </row>
    <row r="640" spans="1:11" x14ac:dyDescent="0.25">
      <c r="A640" t="str">
        <f>"878"</f>
        <v>878</v>
      </c>
      <c r="B640" t="str">
        <f t="shared" si="39"/>
        <v>1</v>
      </c>
      <c r="C640" t="str">
        <f t="shared" si="38"/>
        <v>36</v>
      </c>
      <c r="D640" t="str">
        <f>"6"</f>
        <v>6</v>
      </c>
      <c r="E640" t="str">
        <f>"1-36-6"</f>
        <v>1-36-6</v>
      </c>
      <c r="F640" t="s">
        <v>15</v>
      </c>
      <c r="G640" t="s">
        <v>18</v>
      </c>
      <c r="H640" t="s">
        <v>19</v>
      </c>
      <c r="I640">
        <v>0</v>
      </c>
      <c r="J640">
        <v>0</v>
      </c>
      <c r="K640">
        <v>1</v>
      </c>
    </row>
    <row r="641" spans="1:11" x14ac:dyDescent="0.25">
      <c r="A641" t="str">
        <f>"879"</f>
        <v>879</v>
      </c>
      <c r="B641" t="str">
        <f t="shared" si="39"/>
        <v>1</v>
      </c>
      <c r="C641" t="str">
        <f t="shared" ref="C641:C665" si="40">"37"</f>
        <v>37</v>
      </c>
      <c r="D641" t="str">
        <f>"15"</f>
        <v>15</v>
      </c>
      <c r="E641" t="str">
        <f>"1-37-15"</f>
        <v>1-37-15</v>
      </c>
      <c r="F641" t="s">
        <v>15</v>
      </c>
      <c r="G641" t="s">
        <v>16</v>
      </c>
      <c r="H641" t="s">
        <v>17</v>
      </c>
      <c r="I641">
        <v>0</v>
      </c>
      <c r="J641">
        <v>1</v>
      </c>
      <c r="K641">
        <v>0</v>
      </c>
    </row>
    <row r="642" spans="1:11" x14ac:dyDescent="0.25">
      <c r="A642" t="str">
        <f>"880"</f>
        <v>880</v>
      </c>
      <c r="B642" t="str">
        <f t="shared" si="39"/>
        <v>1</v>
      </c>
      <c r="C642" t="str">
        <f t="shared" si="40"/>
        <v>37</v>
      </c>
      <c r="D642" t="str">
        <f>"4"</f>
        <v>4</v>
      </c>
      <c r="E642" t="str">
        <f>"1-37-4"</f>
        <v>1-37-4</v>
      </c>
      <c r="F642" t="s">
        <v>15</v>
      </c>
      <c r="G642" t="s">
        <v>16</v>
      </c>
      <c r="H642" t="s">
        <v>17</v>
      </c>
      <c r="I642">
        <v>0</v>
      </c>
      <c r="J642">
        <v>0</v>
      </c>
      <c r="K642">
        <v>1</v>
      </c>
    </row>
    <row r="643" spans="1:11" x14ac:dyDescent="0.25">
      <c r="A643" t="str">
        <f>"881"</f>
        <v>881</v>
      </c>
      <c r="B643" t="str">
        <f t="shared" si="39"/>
        <v>1</v>
      </c>
      <c r="C643" t="str">
        <f t="shared" si="40"/>
        <v>37</v>
      </c>
      <c r="D643" t="str">
        <f>"21"</f>
        <v>21</v>
      </c>
      <c r="E643" t="str">
        <f>"1-37-21"</f>
        <v>1-37-21</v>
      </c>
      <c r="F643" t="s">
        <v>15</v>
      </c>
      <c r="G643" t="s">
        <v>16</v>
      </c>
      <c r="H643" t="s">
        <v>17</v>
      </c>
      <c r="I643">
        <v>0</v>
      </c>
      <c r="J643">
        <v>0</v>
      </c>
      <c r="K643">
        <v>1</v>
      </c>
    </row>
    <row r="644" spans="1:11" x14ac:dyDescent="0.25">
      <c r="A644" t="str">
        <f>"882"</f>
        <v>882</v>
      </c>
      <c r="B644" t="str">
        <f t="shared" si="39"/>
        <v>1</v>
      </c>
      <c r="C644" t="str">
        <f t="shared" si="40"/>
        <v>37</v>
      </c>
      <c r="D644" t="str">
        <f>"2"</f>
        <v>2</v>
      </c>
      <c r="E644" t="str">
        <f>"1-37-2"</f>
        <v>1-37-2</v>
      </c>
      <c r="F644" t="s">
        <v>15</v>
      </c>
      <c r="G644" t="s">
        <v>18</v>
      </c>
      <c r="H644" t="s">
        <v>19</v>
      </c>
      <c r="I644">
        <v>0</v>
      </c>
      <c r="J644">
        <v>1</v>
      </c>
      <c r="K644">
        <v>0</v>
      </c>
    </row>
    <row r="645" spans="1:11" x14ac:dyDescent="0.25">
      <c r="A645" t="str">
        <f>"883"</f>
        <v>883</v>
      </c>
      <c r="B645" t="str">
        <f t="shared" si="39"/>
        <v>1</v>
      </c>
      <c r="C645" t="str">
        <f t="shared" si="40"/>
        <v>37</v>
      </c>
      <c r="D645" t="str">
        <f>"17"</f>
        <v>17</v>
      </c>
      <c r="E645" t="str">
        <f>"1-37-17"</f>
        <v>1-37-17</v>
      </c>
      <c r="F645" t="s">
        <v>15</v>
      </c>
      <c r="G645" t="s">
        <v>18</v>
      </c>
      <c r="H645" t="s">
        <v>19</v>
      </c>
      <c r="I645">
        <v>1</v>
      </c>
      <c r="J645">
        <v>0</v>
      </c>
      <c r="K645">
        <v>0</v>
      </c>
    </row>
    <row r="646" spans="1:11" x14ac:dyDescent="0.25">
      <c r="A646" t="str">
        <f>"884"</f>
        <v>884</v>
      </c>
      <c r="B646" t="str">
        <f t="shared" si="39"/>
        <v>1</v>
      </c>
      <c r="C646" t="str">
        <f t="shared" si="40"/>
        <v>37</v>
      </c>
      <c r="D646" t="str">
        <f>"1"</f>
        <v>1</v>
      </c>
      <c r="E646" t="str">
        <f>"1-37-1"</f>
        <v>1-37-1</v>
      </c>
      <c r="F646" t="s">
        <v>15</v>
      </c>
      <c r="G646" t="s">
        <v>16</v>
      </c>
      <c r="H646" t="s">
        <v>17</v>
      </c>
      <c r="I646">
        <v>0</v>
      </c>
      <c r="J646">
        <v>1</v>
      </c>
      <c r="K646">
        <v>0</v>
      </c>
    </row>
    <row r="647" spans="1:11" x14ac:dyDescent="0.25">
      <c r="A647" t="str">
        <f>"885"</f>
        <v>885</v>
      </c>
      <c r="B647" t="str">
        <f t="shared" si="39"/>
        <v>1</v>
      </c>
      <c r="C647" t="str">
        <f t="shared" si="40"/>
        <v>37</v>
      </c>
      <c r="D647" t="str">
        <f>"18"</f>
        <v>18</v>
      </c>
      <c r="E647" t="str">
        <f>"1-37-18"</f>
        <v>1-37-18</v>
      </c>
      <c r="F647" t="s">
        <v>15</v>
      </c>
      <c r="G647" t="s">
        <v>16</v>
      </c>
      <c r="H647" t="s">
        <v>17</v>
      </c>
      <c r="I647">
        <v>0</v>
      </c>
      <c r="J647">
        <v>1</v>
      </c>
      <c r="K647">
        <v>0</v>
      </c>
    </row>
    <row r="648" spans="1:11" x14ac:dyDescent="0.25">
      <c r="A648" t="str">
        <f>"886"</f>
        <v>886</v>
      </c>
      <c r="B648" t="str">
        <f t="shared" si="39"/>
        <v>1</v>
      </c>
      <c r="C648" t="str">
        <f t="shared" si="40"/>
        <v>37</v>
      </c>
      <c r="D648" t="str">
        <f>"5"</f>
        <v>5</v>
      </c>
      <c r="E648" t="str">
        <f>"1-37-5"</f>
        <v>1-37-5</v>
      </c>
      <c r="F648" t="s">
        <v>15</v>
      </c>
      <c r="G648" t="s">
        <v>16</v>
      </c>
      <c r="H648" t="s">
        <v>17</v>
      </c>
      <c r="I648">
        <v>1</v>
      </c>
      <c r="J648">
        <v>0</v>
      </c>
      <c r="K648">
        <v>0</v>
      </c>
    </row>
    <row r="649" spans="1:11" x14ac:dyDescent="0.25">
      <c r="A649" t="str">
        <f>"887"</f>
        <v>887</v>
      </c>
      <c r="B649" t="str">
        <f t="shared" si="39"/>
        <v>1</v>
      </c>
      <c r="C649" t="str">
        <f t="shared" si="40"/>
        <v>37</v>
      </c>
      <c r="D649" t="str">
        <f>"19"</f>
        <v>19</v>
      </c>
      <c r="E649" t="str">
        <f>"1-37-19"</f>
        <v>1-37-19</v>
      </c>
      <c r="F649" t="s">
        <v>15</v>
      </c>
      <c r="G649" t="s">
        <v>16</v>
      </c>
      <c r="H649" t="s">
        <v>17</v>
      </c>
      <c r="I649">
        <v>0</v>
      </c>
      <c r="J649">
        <v>1</v>
      </c>
      <c r="K649">
        <v>0</v>
      </c>
    </row>
    <row r="650" spans="1:11" x14ac:dyDescent="0.25">
      <c r="A650" t="str">
        <f>"888"</f>
        <v>888</v>
      </c>
      <c r="B650" t="str">
        <f t="shared" si="39"/>
        <v>1</v>
      </c>
      <c r="C650" t="str">
        <f t="shared" si="40"/>
        <v>37</v>
      </c>
      <c r="D650" t="str">
        <f>"14"</f>
        <v>14</v>
      </c>
      <c r="E650" t="str">
        <f>"1-37-14"</f>
        <v>1-37-14</v>
      </c>
      <c r="F650" t="s">
        <v>15</v>
      </c>
      <c r="G650" t="s">
        <v>20</v>
      </c>
      <c r="H650" t="s">
        <v>21</v>
      </c>
      <c r="I650">
        <v>1</v>
      </c>
      <c r="J650">
        <v>0</v>
      </c>
      <c r="K650">
        <v>0</v>
      </c>
    </row>
    <row r="651" spans="1:11" x14ac:dyDescent="0.25">
      <c r="A651" t="str">
        <f>"889"</f>
        <v>889</v>
      </c>
      <c r="B651" t="str">
        <f t="shared" si="39"/>
        <v>1</v>
      </c>
      <c r="C651" t="str">
        <f t="shared" si="40"/>
        <v>37</v>
      </c>
      <c r="D651" t="str">
        <f>"20"</f>
        <v>20</v>
      </c>
      <c r="E651" t="str">
        <f>"1-37-20"</f>
        <v>1-37-20</v>
      </c>
      <c r="F651" t="s">
        <v>15</v>
      </c>
      <c r="G651" t="s">
        <v>20</v>
      </c>
      <c r="H651" t="s">
        <v>21</v>
      </c>
      <c r="I651">
        <v>0</v>
      </c>
      <c r="J651">
        <v>1</v>
      </c>
      <c r="K651">
        <v>0</v>
      </c>
    </row>
    <row r="652" spans="1:11" x14ac:dyDescent="0.25">
      <c r="A652" t="str">
        <f>"890"</f>
        <v>890</v>
      </c>
      <c r="B652" t="str">
        <f t="shared" si="39"/>
        <v>1</v>
      </c>
      <c r="C652" t="str">
        <f t="shared" si="40"/>
        <v>37</v>
      </c>
      <c r="D652" t="str">
        <f>"8"</f>
        <v>8</v>
      </c>
      <c r="E652" t="str">
        <f>"1-37-8"</f>
        <v>1-37-8</v>
      </c>
      <c r="F652" t="s">
        <v>15</v>
      </c>
      <c r="G652" t="s">
        <v>18</v>
      </c>
      <c r="H652" t="s">
        <v>19</v>
      </c>
      <c r="I652">
        <v>0</v>
      </c>
      <c r="J652">
        <v>1</v>
      </c>
      <c r="K652">
        <v>0</v>
      </c>
    </row>
    <row r="653" spans="1:11" x14ac:dyDescent="0.25">
      <c r="A653" t="str">
        <f>"891"</f>
        <v>891</v>
      </c>
      <c r="B653" t="str">
        <f t="shared" si="39"/>
        <v>1</v>
      </c>
      <c r="C653" t="str">
        <f t="shared" si="40"/>
        <v>37</v>
      </c>
      <c r="D653" t="str">
        <f>"22"</f>
        <v>22</v>
      </c>
      <c r="E653" t="str">
        <f>"1-37-22"</f>
        <v>1-37-22</v>
      </c>
      <c r="F653" t="s">
        <v>15</v>
      </c>
      <c r="G653" t="s">
        <v>16</v>
      </c>
      <c r="H653" t="s">
        <v>17</v>
      </c>
      <c r="I653">
        <v>0</v>
      </c>
      <c r="J653">
        <v>0</v>
      </c>
      <c r="K653">
        <v>1</v>
      </c>
    </row>
    <row r="654" spans="1:11" x14ac:dyDescent="0.25">
      <c r="A654" t="str">
        <f>"892"</f>
        <v>892</v>
      </c>
      <c r="B654" t="str">
        <f t="shared" si="39"/>
        <v>1</v>
      </c>
      <c r="C654" t="str">
        <f t="shared" si="40"/>
        <v>37</v>
      </c>
      <c r="D654" t="str">
        <f>"12"</f>
        <v>12</v>
      </c>
      <c r="E654" t="str">
        <f>"1-37-12"</f>
        <v>1-37-12</v>
      </c>
      <c r="F654" t="s">
        <v>15</v>
      </c>
      <c r="G654" t="s">
        <v>16</v>
      </c>
      <c r="H654" t="s">
        <v>17</v>
      </c>
      <c r="I654">
        <v>0</v>
      </c>
      <c r="J654">
        <v>1</v>
      </c>
      <c r="K654">
        <v>0</v>
      </c>
    </row>
    <row r="655" spans="1:11" x14ac:dyDescent="0.25">
      <c r="A655" t="str">
        <f>"893"</f>
        <v>893</v>
      </c>
      <c r="B655" t="str">
        <f t="shared" si="39"/>
        <v>1</v>
      </c>
      <c r="C655" t="str">
        <f t="shared" si="40"/>
        <v>37</v>
      </c>
      <c r="D655" t="str">
        <f>"23"</f>
        <v>23</v>
      </c>
      <c r="E655" t="str">
        <f>"1-37-23"</f>
        <v>1-37-23</v>
      </c>
      <c r="F655" t="s">
        <v>15</v>
      </c>
      <c r="G655" t="s">
        <v>16</v>
      </c>
      <c r="H655" t="s">
        <v>17</v>
      </c>
      <c r="I655">
        <v>0</v>
      </c>
      <c r="J655">
        <v>0</v>
      </c>
      <c r="K655">
        <v>1</v>
      </c>
    </row>
    <row r="656" spans="1:11" x14ac:dyDescent="0.25">
      <c r="A656" t="str">
        <f>"894"</f>
        <v>894</v>
      </c>
      <c r="B656" t="str">
        <f t="shared" si="39"/>
        <v>1</v>
      </c>
      <c r="C656" t="str">
        <f t="shared" si="40"/>
        <v>37</v>
      </c>
      <c r="D656" t="str">
        <f>"7"</f>
        <v>7</v>
      </c>
      <c r="E656" t="str">
        <f>"1-37-7"</f>
        <v>1-37-7</v>
      </c>
      <c r="F656" t="s">
        <v>15</v>
      </c>
      <c r="G656" t="s">
        <v>18</v>
      </c>
      <c r="H656" t="s">
        <v>19</v>
      </c>
      <c r="I656">
        <v>0</v>
      </c>
      <c r="J656">
        <v>1</v>
      </c>
      <c r="K656">
        <v>0</v>
      </c>
    </row>
    <row r="657" spans="1:11" x14ac:dyDescent="0.25">
      <c r="A657" t="str">
        <f>"895"</f>
        <v>895</v>
      </c>
      <c r="B657" t="str">
        <f t="shared" si="39"/>
        <v>1</v>
      </c>
      <c r="C657" t="str">
        <f t="shared" si="40"/>
        <v>37</v>
      </c>
      <c r="D657" t="str">
        <f>"24"</f>
        <v>24</v>
      </c>
      <c r="E657" t="str">
        <f>"1-37-24"</f>
        <v>1-37-24</v>
      </c>
      <c r="F657" t="s">
        <v>15</v>
      </c>
      <c r="G657" t="s">
        <v>16</v>
      </c>
      <c r="H657" t="s">
        <v>17</v>
      </c>
      <c r="I657">
        <v>0</v>
      </c>
      <c r="J657">
        <v>1</v>
      </c>
      <c r="K657">
        <v>0</v>
      </c>
    </row>
    <row r="658" spans="1:11" x14ac:dyDescent="0.25">
      <c r="A658" t="str">
        <f>"896"</f>
        <v>896</v>
      </c>
      <c r="B658" t="str">
        <f t="shared" si="39"/>
        <v>1</v>
      </c>
      <c r="C658" t="str">
        <f t="shared" si="40"/>
        <v>37</v>
      </c>
      <c r="D658" t="str">
        <f>"9"</f>
        <v>9</v>
      </c>
      <c r="E658" t="str">
        <f>"1-37-9"</f>
        <v>1-37-9</v>
      </c>
      <c r="F658" t="s">
        <v>15</v>
      </c>
      <c r="G658" t="s">
        <v>18</v>
      </c>
      <c r="H658" t="s">
        <v>19</v>
      </c>
      <c r="I658">
        <v>0</v>
      </c>
      <c r="J658">
        <v>1</v>
      </c>
      <c r="K658">
        <v>0</v>
      </c>
    </row>
    <row r="659" spans="1:11" x14ac:dyDescent="0.25">
      <c r="A659" t="str">
        <f>"897"</f>
        <v>897</v>
      </c>
      <c r="B659" t="str">
        <f t="shared" si="39"/>
        <v>1</v>
      </c>
      <c r="C659" t="str">
        <f t="shared" si="40"/>
        <v>37</v>
      </c>
      <c r="D659" t="str">
        <f>"11"</f>
        <v>11</v>
      </c>
      <c r="E659" t="str">
        <f>"1-37-11"</f>
        <v>1-37-11</v>
      </c>
      <c r="F659" t="s">
        <v>15</v>
      </c>
      <c r="G659" t="s">
        <v>16</v>
      </c>
      <c r="H659" t="s">
        <v>17</v>
      </c>
      <c r="I659">
        <v>1</v>
      </c>
      <c r="J659">
        <v>0</v>
      </c>
      <c r="K659">
        <v>0</v>
      </c>
    </row>
    <row r="660" spans="1:11" x14ac:dyDescent="0.25">
      <c r="A660" t="str">
        <f>"898"</f>
        <v>898</v>
      </c>
      <c r="B660" t="str">
        <f t="shared" si="39"/>
        <v>1</v>
      </c>
      <c r="C660" t="str">
        <f t="shared" si="40"/>
        <v>37</v>
      </c>
      <c r="D660" t="str">
        <f>"13"</f>
        <v>13</v>
      </c>
      <c r="E660" t="str">
        <f>"1-37-13"</f>
        <v>1-37-13</v>
      </c>
      <c r="F660" t="s">
        <v>15</v>
      </c>
      <c r="G660" t="s">
        <v>16</v>
      </c>
      <c r="H660" t="s">
        <v>17</v>
      </c>
      <c r="I660">
        <v>0</v>
      </c>
      <c r="J660">
        <v>1</v>
      </c>
      <c r="K660">
        <v>0</v>
      </c>
    </row>
    <row r="661" spans="1:11" x14ac:dyDescent="0.25">
      <c r="A661" t="str">
        <f>"899"</f>
        <v>899</v>
      </c>
      <c r="B661" t="str">
        <f t="shared" si="39"/>
        <v>1</v>
      </c>
      <c r="C661" t="str">
        <f t="shared" si="40"/>
        <v>37</v>
      </c>
      <c r="D661" t="str">
        <f>"10"</f>
        <v>10</v>
      </c>
      <c r="E661" t="str">
        <f>"1-37-10"</f>
        <v>1-37-10</v>
      </c>
      <c r="F661" t="s">
        <v>15</v>
      </c>
      <c r="G661" t="s">
        <v>18</v>
      </c>
      <c r="H661" t="s">
        <v>19</v>
      </c>
      <c r="I661">
        <v>0</v>
      </c>
      <c r="J661">
        <v>1</v>
      </c>
      <c r="K661">
        <v>0</v>
      </c>
    </row>
    <row r="662" spans="1:11" x14ac:dyDescent="0.25">
      <c r="A662" t="str">
        <f>"900"</f>
        <v>900</v>
      </c>
      <c r="B662" t="str">
        <f t="shared" si="39"/>
        <v>1</v>
      </c>
      <c r="C662" t="str">
        <f t="shared" si="40"/>
        <v>37</v>
      </c>
      <c r="D662" t="str">
        <f>"6"</f>
        <v>6</v>
      </c>
      <c r="E662" t="str">
        <f>"1-37-6"</f>
        <v>1-37-6</v>
      </c>
      <c r="F662" t="s">
        <v>15</v>
      </c>
      <c r="G662" t="s">
        <v>16</v>
      </c>
      <c r="H662" t="s">
        <v>17</v>
      </c>
      <c r="I662">
        <v>0</v>
      </c>
      <c r="J662">
        <v>1</v>
      </c>
      <c r="K662">
        <v>0</v>
      </c>
    </row>
    <row r="663" spans="1:11" x14ac:dyDescent="0.25">
      <c r="A663" t="str">
        <f>"901"</f>
        <v>901</v>
      </c>
      <c r="B663" t="str">
        <f t="shared" si="39"/>
        <v>1</v>
      </c>
      <c r="C663" t="str">
        <f t="shared" si="40"/>
        <v>37</v>
      </c>
      <c r="D663" t="str">
        <f>"3"</f>
        <v>3</v>
      </c>
      <c r="E663" t="str">
        <f>"1-37-3"</f>
        <v>1-37-3</v>
      </c>
      <c r="F663" t="s">
        <v>15</v>
      </c>
      <c r="G663" t="s">
        <v>16</v>
      </c>
      <c r="H663" t="s">
        <v>17</v>
      </c>
      <c r="I663">
        <v>0</v>
      </c>
      <c r="J663">
        <v>0</v>
      </c>
      <c r="K663">
        <v>0</v>
      </c>
    </row>
    <row r="664" spans="1:11" x14ac:dyDescent="0.25">
      <c r="A664" t="str">
        <f>"902"</f>
        <v>902</v>
      </c>
      <c r="B664" t="str">
        <f t="shared" si="39"/>
        <v>1</v>
      </c>
      <c r="C664" t="str">
        <f t="shared" si="40"/>
        <v>37</v>
      </c>
      <c r="D664" t="str">
        <f>"16"</f>
        <v>16</v>
      </c>
      <c r="E664" t="str">
        <f>"1-37-16"</f>
        <v>1-37-16</v>
      </c>
      <c r="F664" t="s">
        <v>15</v>
      </c>
      <c r="G664" t="s">
        <v>16</v>
      </c>
      <c r="H664" t="s">
        <v>17</v>
      </c>
      <c r="I664">
        <v>0</v>
      </c>
      <c r="J664">
        <v>0</v>
      </c>
      <c r="K664">
        <v>0</v>
      </c>
    </row>
    <row r="665" spans="1:11" x14ac:dyDescent="0.25">
      <c r="A665" t="str">
        <f>"903"</f>
        <v>903</v>
      </c>
      <c r="B665" t="str">
        <f t="shared" si="39"/>
        <v>1</v>
      </c>
      <c r="C665" t="str">
        <f t="shared" si="40"/>
        <v>37</v>
      </c>
      <c r="D665" t="str">
        <f>"25"</f>
        <v>25</v>
      </c>
      <c r="E665" t="str">
        <f>"1-37-25"</f>
        <v>1-37-25</v>
      </c>
      <c r="F665" t="s">
        <v>15</v>
      </c>
      <c r="G665" t="s">
        <v>16</v>
      </c>
      <c r="H665" t="s">
        <v>17</v>
      </c>
      <c r="I665">
        <v>0</v>
      </c>
      <c r="J665">
        <v>0</v>
      </c>
      <c r="K665">
        <v>0</v>
      </c>
    </row>
    <row r="666" spans="1:11" x14ac:dyDescent="0.25">
      <c r="A666" t="str">
        <f>"904"</f>
        <v>904</v>
      </c>
      <c r="B666" t="str">
        <f t="shared" si="39"/>
        <v>1</v>
      </c>
      <c r="C666" t="str">
        <f t="shared" ref="C666:C692" si="41">"38"</f>
        <v>38</v>
      </c>
      <c r="D666" t="str">
        <f>"23"</f>
        <v>23</v>
      </c>
      <c r="E666" t="str">
        <f>"1-38-23"</f>
        <v>1-38-23</v>
      </c>
      <c r="F666" t="s">
        <v>15</v>
      </c>
      <c r="G666" t="s">
        <v>20</v>
      </c>
      <c r="H666" t="s">
        <v>21</v>
      </c>
      <c r="I666">
        <v>0</v>
      </c>
      <c r="J666">
        <v>0</v>
      </c>
      <c r="K666">
        <v>1</v>
      </c>
    </row>
    <row r="667" spans="1:11" x14ac:dyDescent="0.25">
      <c r="A667" t="str">
        <f>"905"</f>
        <v>905</v>
      </c>
      <c r="B667" t="str">
        <f t="shared" si="39"/>
        <v>1</v>
      </c>
      <c r="C667" t="str">
        <f t="shared" si="41"/>
        <v>38</v>
      </c>
      <c r="D667" t="str">
        <f>"15"</f>
        <v>15</v>
      </c>
      <c r="E667" t="str">
        <f>"1-38-15"</f>
        <v>1-38-15</v>
      </c>
      <c r="F667" t="s">
        <v>15</v>
      </c>
      <c r="G667" t="s">
        <v>20</v>
      </c>
      <c r="H667" t="s">
        <v>21</v>
      </c>
      <c r="I667">
        <v>0</v>
      </c>
      <c r="J667">
        <v>0</v>
      </c>
      <c r="K667">
        <v>1</v>
      </c>
    </row>
    <row r="668" spans="1:11" x14ac:dyDescent="0.25">
      <c r="A668" t="str">
        <f>"906"</f>
        <v>906</v>
      </c>
      <c r="B668" t="str">
        <f t="shared" si="39"/>
        <v>1</v>
      </c>
      <c r="C668" t="str">
        <f t="shared" si="41"/>
        <v>38</v>
      </c>
      <c r="D668" t="str">
        <f>"16"</f>
        <v>16</v>
      </c>
      <c r="E668" t="str">
        <f>"1-38-16"</f>
        <v>1-38-16</v>
      </c>
      <c r="F668" t="s">
        <v>15</v>
      </c>
      <c r="G668" t="s">
        <v>20</v>
      </c>
      <c r="H668" t="s">
        <v>21</v>
      </c>
      <c r="I668">
        <v>1</v>
      </c>
      <c r="J668">
        <v>0</v>
      </c>
      <c r="K668">
        <v>0</v>
      </c>
    </row>
    <row r="669" spans="1:11" x14ac:dyDescent="0.25">
      <c r="A669" t="str">
        <f>"907"</f>
        <v>907</v>
      </c>
      <c r="B669" t="str">
        <f t="shared" si="39"/>
        <v>1</v>
      </c>
      <c r="C669" t="str">
        <f t="shared" si="41"/>
        <v>38</v>
      </c>
      <c r="D669" t="str">
        <f>"3"</f>
        <v>3</v>
      </c>
      <c r="E669" t="str">
        <f>"1-38-3"</f>
        <v>1-38-3</v>
      </c>
      <c r="F669" t="s">
        <v>15</v>
      </c>
      <c r="G669" t="s">
        <v>20</v>
      </c>
      <c r="H669" t="s">
        <v>21</v>
      </c>
      <c r="I669">
        <v>1</v>
      </c>
      <c r="J669">
        <v>0</v>
      </c>
      <c r="K669">
        <v>0</v>
      </c>
    </row>
    <row r="670" spans="1:11" x14ac:dyDescent="0.25">
      <c r="A670" t="str">
        <f>"908"</f>
        <v>908</v>
      </c>
      <c r="B670" t="str">
        <f t="shared" si="39"/>
        <v>1</v>
      </c>
      <c r="C670" t="str">
        <f t="shared" si="41"/>
        <v>38</v>
      </c>
      <c r="D670" t="str">
        <f>"17"</f>
        <v>17</v>
      </c>
      <c r="E670" t="str">
        <f>"1-38-17"</f>
        <v>1-38-17</v>
      </c>
      <c r="F670" t="s">
        <v>15</v>
      </c>
      <c r="G670" t="s">
        <v>20</v>
      </c>
      <c r="H670" t="s">
        <v>21</v>
      </c>
      <c r="I670">
        <v>1</v>
      </c>
      <c r="J670">
        <v>0</v>
      </c>
      <c r="K670">
        <v>0</v>
      </c>
    </row>
    <row r="671" spans="1:11" x14ac:dyDescent="0.25">
      <c r="A671" t="str">
        <f>"909"</f>
        <v>909</v>
      </c>
      <c r="B671" t="str">
        <f t="shared" si="39"/>
        <v>1</v>
      </c>
      <c r="C671" t="str">
        <f t="shared" si="41"/>
        <v>38</v>
      </c>
      <c r="D671" t="str">
        <f>"11"</f>
        <v>11</v>
      </c>
      <c r="E671" t="str">
        <f>"1-38-11"</f>
        <v>1-38-11</v>
      </c>
      <c r="F671" t="s">
        <v>15</v>
      </c>
      <c r="G671" t="s">
        <v>20</v>
      </c>
      <c r="H671" t="s">
        <v>21</v>
      </c>
      <c r="I671">
        <v>0</v>
      </c>
      <c r="J671">
        <v>1</v>
      </c>
      <c r="K671">
        <v>0</v>
      </c>
    </row>
    <row r="672" spans="1:11" x14ac:dyDescent="0.25">
      <c r="A672" t="str">
        <f>"910"</f>
        <v>910</v>
      </c>
      <c r="B672" t="str">
        <f t="shared" si="39"/>
        <v>1</v>
      </c>
      <c r="C672" t="str">
        <f t="shared" si="41"/>
        <v>38</v>
      </c>
      <c r="D672" t="str">
        <f>"18"</f>
        <v>18</v>
      </c>
      <c r="E672" t="str">
        <f>"1-38-18"</f>
        <v>1-38-18</v>
      </c>
      <c r="F672" t="s">
        <v>15</v>
      </c>
      <c r="G672" t="s">
        <v>20</v>
      </c>
      <c r="H672" t="s">
        <v>21</v>
      </c>
      <c r="I672">
        <v>1</v>
      </c>
      <c r="J672">
        <v>0</v>
      </c>
      <c r="K672">
        <v>0</v>
      </c>
    </row>
    <row r="673" spans="1:11" x14ac:dyDescent="0.25">
      <c r="A673" t="str">
        <f>"911"</f>
        <v>911</v>
      </c>
      <c r="B673" t="str">
        <f t="shared" si="39"/>
        <v>1</v>
      </c>
      <c r="C673" t="str">
        <f t="shared" si="41"/>
        <v>38</v>
      </c>
      <c r="D673" t="str">
        <f>"7"</f>
        <v>7</v>
      </c>
      <c r="E673" t="str">
        <f>"1-38-7"</f>
        <v>1-38-7</v>
      </c>
      <c r="F673" t="s">
        <v>15</v>
      </c>
      <c r="G673" t="s">
        <v>20</v>
      </c>
      <c r="H673" t="s">
        <v>21</v>
      </c>
      <c r="I673">
        <v>0</v>
      </c>
      <c r="J673">
        <v>0</v>
      </c>
      <c r="K673">
        <v>1</v>
      </c>
    </row>
    <row r="674" spans="1:11" x14ac:dyDescent="0.25">
      <c r="A674" t="str">
        <f>"912"</f>
        <v>912</v>
      </c>
      <c r="B674" t="str">
        <f t="shared" si="39"/>
        <v>1</v>
      </c>
      <c r="C674" t="str">
        <f t="shared" si="41"/>
        <v>38</v>
      </c>
      <c r="D674" t="str">
        <f>"19"</f>
        <v>19</v>
      </c>
      <c r="E674" t="str">
        <f>"1-38-19"</f>
        <v>1-38-19</v>
      </c>
      <c r="F674" t="s">
        <v>15</v>
      </c>
      <c r="G674" t="s">
        <v>20</v>
      </c>
      <c r="H674" t="s">
        <v>21</v>
      </c>
      <c r="I674">
        <v>1</v>
      </c>
      <c r="J674">
        <v>0</v>
      </c>
      <c r="K674">
        <v>0</v>
      </c>
    </row>
    <row r="675" spans="1:11" x14ac:dyDescent="0.25">
      <c r="A675" t="str">
        <f>"913"</f>
        <v>913</v>
      </c>
      <c r="B675" t="str">
        <f t="shared" si="39"/>
        <v>1</v>
      </c>
      <c r="C675" t="str">
        <f t="shared" si="41"/>
        <v>38</v>
      </c>
      <c r="D675" t="str">
        <f>"10"</f>
        <v>10</v>
      </c>
      <c r="E675" t="str">
        <f>"1-38-10"</f>
        <v>1-38-10</v>
      </c>
      <c r="F675" t="s">
        <v>15</v>
      </c>
      <c r="G675" t="s">
        <v>20</v>
      </c>
      <c r="H675" t="s">
        <v>21</v>
      </c>
      <c r="I675">
        <v>0</v>
      </c>
      <c r="J675">
        <v>0</v>
      </c>
      <c r="K675">
        <v>1</v>
      </c>
    </row>
    <row r="676" spans="1:11" x14ac:dyDescent="0.25">
      <c r="A676" t="str">
        <f>"914"</f>
        <v>914</v>
      </c>
      <c r="B676" t="str">
        <f t="shared" si="39"/>
        <v>1</v>
      </c>
      <c r="C676" t="str">
        <f t="shared" si="41"/>
        <v>38</v>
      </c>
      <c r="D676" t="str">
        <f>"20"</f>
        <v>20</v>
      </c>
      <c r="E676" t="str">
        <f>"1-38-20"</f>
        <v>1-38-20</v>
      </c>
      <c r="F676" t="s">
        <v>15</v>
      </c>
      <c r="G676" t="s">
        <v>20</v>
      </c>
      <c r="H676" t="s">
        <v>21</v>
      </c>
      <c r="I676">
        <v>1</v>
      </c>
      <c r="J676">
        <v>0</v>
      </c>
      <c r="K676">
        <v>0</v>
      </c>
    </row>
    <row r="677" spans="1:11" x14ac:dyDescent="0.25">
      <c r="A677" t="str">
        <f>"915"</f>
        <v>915</v>
      </c>
      <c r="B677" t="str">
        <f t="shared" si="39"/>
        <v>1</v>
      </c>
      <c r="C677" t="str">
        <f t="shared" si="41"/>
        <v>38</v>
      </c>
      <c r="D677" t="str">
        <f>"13"</f>
        <v>13</v>
      </c>
      <c r="E677" t="str">
        <f>"1-38-13"</f>
        <v>1-38-13</v>
      </c>
      <c r="F677" t="s">
        <v>15</v>
      </c>
      <c r="G677" t="s">
        <v>20</v>
      </c>
      <c r="H677" t="s">
        <v>21</v>
      </c>
      <c r="I677">
        <v>0</v>
      </c>
      <c r="J677">
        <v>1</v>
      </c>
      <c r="K677">
        <v>0</v>
      </c>
    </row>
    <row r="678" spans="1:11" x14ac:dyDescent="0.25">
      <c r="A678" t="str">
        <f>"916"</f>
        <v>916</v>
      </c>
      <c r="B678" t="str">
        <f t="shared" si="39"/>
        <v>1</v>
      </c>
      <c r="C678" t="str">
        <f t="shared" si="41"/>
        <v>38</v>
      </c>
      <c r="D678" t="str">
        <f>"21"</f>
        <v>21</v>
      </c>
      <c r="E678" t="str">
        <f>"1-38-21"</f>
        <v>1-38-21</v>
      </c>
      <c r="F678" t="s">
        <v>15</v>
      </c>
      <c r="G678" t="s">
        <v>20</v>
      </c>
      <c r="H678" t="s">
        <v>21</v>
      </c>
      <c r="I678">
        <v>0</v>
      </c>
      <c r="J678">
        <v>0</v>
      </c>
      <c r="K678">
        <v>1</v>
      </c>
    </row>
    <row r="679" spans="1:11" x14ac:dyDescent="0.25">
      <c r="A679" t="str">
        <f>"917"</f>
        <v>917</v>
      </c>
      <c r="B679" t="str">
        <f t="shared" si="39"/>
        <v>1</v>
      </c>
      <c r="C679" t="str">
        <f t="shared" si="41"/>
        <v>38</v>
      </c>
      <c r="D679" t="str">
        <f>"8"</f>
        <v>8</v>
      </c>
      <c r="E679" t="str">
        <f>"1-38-8"</f>
        <v>1-38-8</v>
      </c>
      <c r="F679" t="s">
        <v>15</v>
      </c>
      <c r="G679" t="s">
        <v>20</v>
      </c>
      <c r="H679" t="s">
        <v>21</v>
      </c>
      <c r="I679">
        <v>0</v>
      </c>
      <c r="J679">
        <v>1</v>
      </c>
      <c r="K679">
        <v>0</v>
      </c>
    </row>
    <row r="680" spans="1:11" x14ac:dyDescent="0.25">
      <c r="A680" t="str">
        <f>"918"</f>
        <v>918</v>
      </c>
      <c r="B680" t="str">
        <f t="shared" si="39"/>
        <v>1</v>
      </c>
      <c r="C680" t="str">
        <f t="shared" si="41"/>
        <v>38</v>
      </c>
      <c r="D680" t="str">
        <f>"22"</f>
        <v>22</v>
      </c>
      <c r="E680" t="str">
        <f>"1-38-22"</f>
        <v>1-38-22</v>
      </c>
      <c r="F680" t="s">
        <v>15</v>
      </c>
      <c r="G680" t="s">
        <v>20</v>
      </c>
      <c r="H680" t="s">
        <v>21</v>
      </c>
      <c r="I680">
        <v>0</v>
      </c>
      <c r="J680">
        <v>1</v>
      </c>
      <c r="K680">
        <v>0</v>
      </c>
    </row>
    <row r="681" spans="1:11" x14ac:dyDescent="0.25">
      <c r="A681" t="str">
        <f>"919"</f>
        <v>919</v>
      </c>
      <c r="B681" t="str">
        <f t="shared" si="39"/>
        <v>1</v>
      </c>
      <c r="C681" t="str">
        <f t="shared" si="41"/>
        <v>38</v>
      </c>
      <c r="D681" t="str">
        <f>"1"</f>
        <v>1</v>
      </c>
      <c r="E681" t="str">
        <f>"1-38-1"</f>
        <v>1-38-1</v>
      </c>
      <c r="F681" t="s">
        <v>15</v>
      </c>
      <c r="G681" t="s">
        <v>20</v>
      </c>
      <c r="H681" t="s">
        <v>21</v>
      </c>
      <c r="I681">
        <v>0</v>
      </c>
      <c r="J681">
        <v>1</v>
      </c>
      <c r="K681">
        <v>0</v>
      </c>
    </row>
    <row r="682" spans="1:11" x14ac:dyDescent="0.25">
      <c r="A682" t="str">
        <f>"920"</f>
        <v>920</v>
      </c>
      <c r="B682" t="str">
        <f t="shared" si="39"/>
        <v>1</v>
      </c>
      <c r="C682" t="str">
        <f t="shared" si="41"/>
        <v>38</v>
      </c>
      <c r="D682" t="str">
        <f>"25"</f>
        <v>25</v>
      </c>
      <c r="E682" t="str">
        <f>"1-38-25"</f>
        <v>1-38-25</v>
      </c>
      <c r="F682" t="s">
        <v>15</v>
      </c>
      <c r="G682" t="s">
        <v>20</v>
      </c>
      <c r="H682" t="s">
        <v>21</v>
      </c>
      <c r="I682">
        <v>1</v>
      </c>
      <c r="J682">
        <v>0</v>
      </c>
      <c r="K682">
        <v>0</v>
      </c>
    </row>
    <row r="683" spans="1:11" x14ac:dyDescent="0.25">
      <c r="A683" t="str">
        <f>"921"</f>
        <v>921</v>
      </c>
      <c r="B683" t="str">
        <f t="shared" si="39"/>
        <v>1</v>
      </c>
      <c r="C683" t="str">
        <f t="shared" si="41"/>
        <v>38</v>
      </c>
      <c r="D683" t="str">
        <f>"2"</f>
        <v>2</v>
      </c>
      <c r="E683" t="str">
        <f>"1-38-2"</f>
        <v>1-38-2</v>
      </c>
      <c r="F683" t="s">
        <v>15</v>
      </c>
      <c r="G683" t="s">
        <v>20</v>
      </c>
      <c r="H683" t="s">
        <v>21</v>
      </c>
      <c r="I683">
        <v>0</v>
      </c>
      <c r="J683">
        <v>1</v>
      </c>
      <c r="K683">
        <v>0</v>
      </c>
    </row>
    <row r="684" spans="1:11" x14ac:dyDescent="0.25">
      <c r="A684" t="str">
        <f>"922"</f>
        <v>922</v>
      </c>
      <c r="B684" t="str">
        <f t="shared" ref="B684:B728" si="42">"1"</f>
        <v>1</v>
      </c>
      <c r="C684" t="str">
        <f t="shared" si="41"/>
        <v>38</v>
      </c>
      <c r="D684" t="str">
        <f>"26"</f>
        <v>26</v>
      </c>
      <c r="E684" t="str">
        <f>"1-38-26"</f>
        <v>1-38-26</v>
      </c>
      <c r="F684" t="s">
        <v>15</v>
      </c>
      <c r="G684" t="s">
        <v>20</v>
      </c>
      <c r="H684" t="s">
        <v>21</v>
      </c>
      <c r="I684">
        <v>1</v>
      </c>
      <c r="J684">
        <v>0</v>
      </c>
      <c r="K684">
        <v>0</v>
      </c>
    </row>
    <row r="685" spans="1:11" x14ac:dyDescent="0.25">
      <c r="A685" t="str">
        <f>"923"</f>
        <v>923</v>
      </c>
      <c r="B685" t="str">
        <f t="shared" si="42"/>
        <v>1</v>
      </c>
      <c r="C685" t="str">
        <f t="shared" si="41"/>
        <v>38</v>
      </c>
      <c r="D685" t="str">
        <f>"14"</f>
        <v>14</v>
      </c>
      <c r="E685" t="str">
        <f>"1-38-14"</f>
        <v>1-38-14</v>
      </c>
      <c r="F685" t="s">
        <v>15</v>
      </c>
      <c r="G685" t="s">
        <v>20</v>
      </c>
      <c r="H685" t="s">
        <v>21</v>
      </c>
      <c r="I685">
        <v>0</v>
      </c>
      <c r="J685">
        <v>0</v>
      </c>
      <c r="K685">
        <v>1</v>
      </c>
    </row>
    <row r="686" spans="1:11" x14ac:dyDescent="0.25">
      <c r="A686" t="str">
        <f>"924"</f>
        <v>924</v>
      </c>
      <c r="B686" t="str">
        <f t="shared" si="42"/>
        <v>1</v>
      </c>
      <c r="C686" t="str">
        <f t="shared" si="41"/>
        <v>38</v>
      </c>
      <c r="D686" t="str">
        <f>"27"</f>
        <v>27</v>
      </c>
      <c r="E686" t="str">
        <f>"1-38-27"</f>
        <v>1-38-27</v>
      </c>
      <c r="F686" t="s">
        <v>15</v>
      </c>
      <c r="G686" t="s">
        <v>20</v>
      </c>
      <c r="H686" t="s">
        <v>21</v>
      </c>
      <c r="I686">
        <v>0</v>
      </c>
      <c r="J686">
        <v>0</v>
      </c>
      <c r="K686">
        <v>1</v>
      </c>
    </row>
    <row r="687" spans="1:11" x14ac:dyDescent="0.25">
      <c r="A687" t="str">
        <f>"925"</f>
        <v>925</v>
      </c>
      <c r="B687" t="str">
        <f t="shared" si="42"/>
        <v>1</v>
      </c>
      <c r="C687" t="str">
        <f t="shared" si="41"/>
        <v>38</v>
      </c>
      <c r="D687" t="str">
        <f>"5"</f>
        <v>5</v>
      </c>
      <c r="E687" t="str">
        <f>"1-38-5"</f>
        <v>1-38-5</v>
      </c>
      <c r="F687" t="s">
        <v>15</v>
      </c>
      <c r="G687" t="s">
        <v>20</v>
      </c>
      <c r="H687" t="s">
        <v>21</v>
      </c>
      <c r="I687">
        <v>0</v>
      </c>
      <c r="J687">
        <v>0</v>
      </c>
      <c r="K687">
        <v>1</v>
      </c>
    </row>
    <row r="688" spans="1:11" x14ac:dyDescent="0.25">
      <c r="A688" t="str">
        <f>"926"</f>
        <v>926</v>
      </c>
      <c r="B688" t="str">
        <f t="shared" si="42"/>
        <v>1</v>
      </c>
      <c r="C688" t="str">
        <f t="shared" si="41"/>
        <v>38</v>
      </c>
      <c r="D688" t="str">
        <f>"9"</f>
        <v>9</v>
      </c>
      <c r="E688" t="str">
        <f>"1-38-9"</f>
        <v>1-38-9</v>
      </c>
      <c r="F688" t="s">
        <v>15</v>
      </c>
      <c r="G688" t="s">
        <v>20</v>
      </c>
      <c r="H688" t="s">
        <v>21</v>
      </c>
      <c r="I688">
        <v>0</v>
      </c>
      <c r="J688">
        <v>0</v>
      </c>
      <c r="K688">
        <v>1</v>
      </c>
    </row>
    <row r="689" spans="1:11" x14ac:dyDescent="0.25">
      <c r="A689" t="str">
        <f>"927"</f>
        <v>927</v>
      </c>
      <c r="B689" t="str">
        <f t="shared" si="42"/>
        <v>1</v>
      </c>
      <c r="C689" t="str">
        <f t="shared" si="41"/>
        <v>38</v>
      </c>
      <c r="D689" t="str">
        <f>"6"</f>
        <v>6</v>
      </c>
      <c r="E689" t="str">
        <f>"1-38-6"</f>
        <v>1-38-6</v>
      </c>
      <c r="F689" t="s">
        <v>15</v>
      </c>
      <c r="G689" t="s">
        <v>20</v>
      </c>
      <c r="H689" t="s">
        <v>21</v>
      </c>
      <c r="I689">
        <v>0</v>
      </c>
      <c r="J689">
        <v>0</v>
      </c>
      <c r="K689">
        <v>1</v>
      </c>
    </row>
    <row r="690" spans="1:11" x14ac:dyDescent="0.25">
      <c r="A690" t="str">
        <f>"928"</f>
        <v>928</v>
      </c>
      <c r="B690" t="str">
        <f t="shared" si="42"/>
        <v>1</v>
      </c>
      <c r="C690" t="str">
        <f t="shared" si="41"/>
        <v>38</v>
      </c>
      <c r="D690" t="str">
        <f>"12"</f>
        <v>12</v>
      </c>
      <c r="E690" t="str">
        <f>"1-38-12"</f>
        <v>1-38-12</v>
      </c>
      <c r="F690" t="s">
        <v>15</v>
      </c>
      <c r="G690" t="s">
        <v>20</v>
      </c>
      <c r="H690" t="s">
        <v>21</v>
      </c>
      <c r="I690">
        <v>0</v>
      </c>
      <c r="J690">
        <v>1</v>
      </c>
      <c r="K690">
        <v>0</v>
      </c>
    </row>
    <row r="691" spans="1:11" x14ac:dyDescent="0.25">
      <c r="A691" t="str">
        <f>"929"</f>
        <v>929</v>
      </c>
      <c r="B691" t="str">
        <f t="shared" si="42"/>
        <v>1</v>
      </c>
      <c r="C691" t="str">
        <f t="shared" si="41"/>
        <v>38</v>
      </c>
      <c r="D691" t="str">
        <f>"4"</f>
        <v>4</v>
      </c>
      <c r="E691" t="str">
        <f>"1-38-4"</f>
        <v>1-38-4</v>
      </c>
      <c r="F691" t="s">
        <v>15</v>
      </c>
      <c r="G691" t="s">
        <v>20</v>
      </c>
      <c r="H691" t="s">
        <v>21</v>
      </c>
      <c r="I691">
        <v>0</v>
      </c>
      <c r="J691">
        <v>0</v>
      </c>
      <c r="K691">
        <v>0</v>
      </c>
    </row>
    <row r="692" spans="1:11" x14ac:dyDescent="0.25">
      <c r="A692" t="str">
        <f>"930"</f>
        <v>930</v>
      </c>
      <c r="B692" t="str">
        <f t="shared" si="42"/>
        <v>1</v>
      </c>
      <c r="C692" t="str">
        <f t="shared" si="41"/>
        <v>38</v>
      </c>
      <c r="D692" t="str">
        <f>"24"</f>
        <v>24</v>
      </c>
      <c r="E692" t="str">
        <f>"1-38-24"</f>
        <v>1-38-24</v>
      </c>
      <c r="F692" t="s">
        <v>15</v>
      </c>
      <c r="G692" t="s">
        <v>20</v>
      </c>
      <c r="H692" t="s">
        <v>21</v>
      </c>
      <c r="I692">
        <v>0</v>
      </c>
      <c r="J692">
        <v>0</v>
      </c>
      <c r="K692">
        <v>1</v>
      </c>
    </row>
    <row r="693" spans="1:11" x14ac:dyDescent="0.25">
      <c r="A693" t="str">
        <f>"950"</f>
        <v>950</v>
      </c>
      <c r="B693" t="str">
        <f t="shared" si="42"/>
        <v>1</v>
      </c>
      <c r="C693" t="str">
        <f t="shared" ref="C693:C717" si="43">"40"</f>
        <v>40</v>
      </c>
      <c r="D693" t="str">
        <f>"23"</f>
        <v>23</v>
      </c>
      <c r="E693" t="str">
        <f>"1-40-23"</f>
        <v>1-40-23</v>
      </c>
      <c r="F693" t="s">
        <v>15</v>
      </c>
      <c r="G693" t="s">
        <v>16</v>
      </c>
      <c r="H693" t="s">
        <v>17</v>
      </c>
      <c r="I693">
        <v>0</v>
      </c>
      <c r="J693">
        <v>0</v>
      </c>
      <c r="K693">
        <v>1</v>
      </c>
    </row>
    <row r="694" spans="1:11" x14ac:dyDescent="0.25">
      <c r="A694" t="str">
        <f>"951"</f>
        <v>951</v>
      </c>
      <c r="B694" t="str">
        <f t="shared" si="42"/>
        <v>1</v>
      </c>
      <c r="C694" t="str">
        <f t="shared" si="43"/>
        <v>40</v>
      </c>
      <c r="D694" t="str">
        <f>"15"</f>
        <v>15</v>
      </c>
      <c r="E694" t="str">
        <f>"1-40-15"</f>
        <v>1-40-15</v>
      </c>
      <c r="F694" t="s">
        <v>15</v>
      </c>
      <c r="G694" t="s">
        <v>16</v>
      </c>
      <c r="H694" t="s">
        <v>17</v>
      </c>
      <c r="I694">
        <v>0</v>
      </c>
      <c r="J694">
        <v>0</v>
      </c>
      <c r="K694">
        <v>1</v>
      </c>
    </row>
    <row r="695" spans="1:11" x14ac:dyDescent="0.25">
      <c r="A695" t="str">
        <f>"952"</f>
        <v>952</v>
      </c>
      <c r="B695" t="str">
        <f t="shared" si="42"/>
        <v>1</v>
      </c>
      <c r="C695" t="str">
        <f t="shared" si="43"/>
        <v>40</v>
      </c>
      <c r="D695" t="str">
        <f>"6"</f>
        <v>6</v>
      </c>
      <c r="E695" t="str">
        <f>"1-40-6"</f>
        <v>1-40-6</v>
      </c>
      <c r="F695" t="s">
        <v>15</v>
      </c>
      <c r="G695" t="s">
        <v>16</v>
      </c>
      <c r="H695" t="s">
        <v>17</v>
      </c>
      <c r="I695">
        <v>0</v>
      </c>
      <c r="J695">
        <v>1</v>
      </c>
      <c r="K695">
        <v>0</v>
      </c>
    </row>
    <row r="696" spans="1:11" x14ac:dyDescent="0.25">
      <c r="A696" t="str">
        <f>"953"</f>
        <v>953</v>
      </c>
      <c r="B696" t="str">
        <f t="shared" si="42"/>
        <v>1</v>
      </c>
      <c r="C696" t="str">
        <f t="shared" si="43"/>
        <v>40</v>
      </c>
      <c r="D696" t="str">
        <f>"22"</f>
        <v>22</v>
      </c>
      <c r="E696" t="str">
        <f>"1-40-22"</f>
        <v>1-40-22</v>
      </c>
      <c r="F696" t="s">
        <v>15</v>
      </c>
      <c r="G696" t="s">
        <v>16</v>
      </c>
      <c r="H696" t="s">
        <v>17</v>
      </c>
      <c r="I696">
        <v>1</v>
      </c>
      <c r="J696">
        <v>0</v>
      </c>
      <c r="K696">
        <v>0</v>
      </c>
    </row>
    <row r="697" spans="1:11" x14ac:dyDescent="0.25">
      <c r="A697" t="str">
        <f>"954"</f>
        <v>954</v>
      </c>
      <c r="B697" t="str">
        <f t="shared" si="42"/>
        <v>1</v>
      </c>
      <c r="C697" t="str">
        <f t="shared" si="43"/>
        <v>40</v>
      </c>
      <c r="D697" t="str">
        <f>"16"</f>
        <v>16</v>
      </c>
      <c r="E697" t="str">
        <f>"1-40-16"</f>
        <v>1-40-16</v>
      </c>
      <c r="F697" t="s">
        <v>15</v>
      </c>
      <c r="G697" t="s">
        <v>18</v>
      </c>
      <c r="H697" t="s">
        <v>19</v>
      </c>
      <c r="I697">
        <v>0</v>
      </c>
      <c r="J697">
        <v>0</v>
      </c>
      <c r="K697">
        <v>1</v>
      </c>
    </row>
    <row r="698" spans="1:11" x14ac:dyDescent="0.25">
      <c r="A698" t="str">
        <f>"955"</f>
        <v>955</v>
      </c>
      <c r="B698" t="str">
        <f t="shared" si="42"/>
        <v>1</v>
      </c>
      <c r="C698" t="str">
        <f t="shared" si="43"/>
        <v>40</v>
      </c>
      <c r="D698" t="str">
        <f>"9"</f>
        <v>9</v>
      </c>
      <c r="E698" t="str">
        <f>"1-40-9"</f>
        <v>1-40-9</v>
      </c>
      <c r="F698" t="s">
        <v>15</v>
      </c>
      <c r="G698" t="s">
        <v>18</v>
      </c>
      <c r="H698" t="s">
        <v>19</v>
      </c>
      <c r="I698">
        <v>1</v>
      </c>
      <c r="J698">
        <v>0</v>
      </c>
      <c r="K698">
        <v>0</v>
      </c>
    </row>
    <row r="699" spans="1:11" x14ac:dyDescent="0.25">
      <c r="A699" t="str">
        <f>"956"</f>
        <v>956</v>
      </c>
      <c r="B699" t="str">
        <f t="shared" si="42"/>
        <v>1</v>
      </c>
      <c r="C699" t="str">
        <f t="shared" si="43"/>
        <v>40</v>
      </c>
      <c r="D699" t="str">
        <f>"17"</f>
        <v>17</v>
      </c>
      <c r="E699" t="str">
        <f>"1-40-17"</f>
        <v>1-40-17</v>
      </c>
      <c r="F699" t="s">
        <v>15</v>
      </c>
      <c r="G699" t="s">
        <v>16</v>
      </c>
      <c r="H699" t="s">
        <v>17</v>
      </c>
      <c r="I699">
        <v>0</v>
      </c>
      <c r="J699">
        <v>1</v>
      </c>
      <c r="K699">
        <v>0</v>
      </c>
    </row>
    <row r="700" spans="1:11" x14ac:dyDescent="0.25">
      <c r="A700" t="str">
        <f>"957"</f>
        <v>957</v>
      </c>
      <c r="B700" t="str">
        <f t="shared" si="42"/>
        <v>1</v>
      </c>
      <c r="C700" t="str">
        <f t="shared" si="43"/>
        <v>40</v>
      </c>
      <c r="D700" t="str">
        <f>"2"</f>
        <v>2</v>
      </c>
      <c r="E700" t="str">
        <f>"1-40-2"</f>
        <v>1-40-2</v>
      </c>
      <c r="F700" t="s">
        <v>15</v>
      </c>
      <c r="G700" t="s">
        <v>16</v>
      </c>
      <c r="H700" t="s">
        <v>17</v>
      </c>
      <c r="I700">
        <v>0</v>
      </c>
      <c r="J700">
        <v>1</v>
      </c>
      <c r="K700">
        <v>0</v>
      </c>
    </row>
    <row r="701" spans="1:11" x14ac:dyDescent="0.25">
      <c r="A701" t="str">
        <f>"958"</f>
        <v>958</v>
      </c>
      <c r="B701" t="str">
        <f t="shared" si="42"/>
        <v>1</v>
      </c>
      <c r="C701" t="str">
        <f t="shared" si="43"/>
        <v>40</v>
      </c>
      <c r="D701" t="str">
        <f>"18"</f>
        <v>18</v>
      </c>
      <c r="E701" t="str">
        <f>"1-40-18"</f>
        <v>1-40-18</v>
      </c>
      <c r="F701" t="s">
        <v>15</v>
      </c>
      <c r="G701" t="s">
        <v>16</v>
      </c>
      <c r="H701" t="s">
        <v>17</v>
      </c>
      <c r="I701">
        <v>0</v>
      </c>
      <c r="J701">
        <v>1</v>
      </c>
      <c r="K701">
        <v>0</v>
      </c>
    </row>
    <row r="702" spans="1:11" x14ac:dyDescent="0.25">
      <c r="A702" t="str">
        <f>"959"</f>
        <v>959</v>
      </c>
      <c r="B702" t="str">
        <f t="shared" si="42"/>
        <v>1</v>
      </c>
      <c r="C702" t="str">
        <f t="shared" si="43"/>
        <v>40</v>
      </c>
      <c r="D702" t="str">
        <f>"10"</f>
        <v>10</v>
      </c>
      <c r="E702" t="str">
        <f>"1-40-10"</f>
        <v>1-40-10</v>
      </c>
      <c r="F702" t="s">
        <v>15</v>
      </c>
      <c r="G702" t="s">
        <v>16</v>
      </c>
      <c r="H702" t="s">
        <v>17</v>
      </c>
      <c r="I702">
        <v>0</v>
      </c>
      <c r="J702">
        <v>0</v>
      </c>
      <c r="K702">
        <v>1</v>
      </c>
    </row>
    <row r="703" spans="1:11" x14ac:dyDescent="0.25">
      <c r="A703" t="str">
        <f>"960"</f>
        <v>960</v>
      </c>
      <c r="B703" t="str">
        <f t="shared" si="42"/>
        <v>1</v>
      </c>
      <c r="C703" t="str">
        <f t="shared" si="43"/>
        <v>40</v>
      </c>
      <c r="D703" t="str">
        <f>"19"</f>
        <v>19</v>
      </c>
      <c r="E703" t="str">
        <f>"1-40-19"</f>
        <v>1-40-19</v>
      </c>
      <c r="F703" t="s">
        <v>15</v>
      </c>
      <c r="G703" t="s">
        <v>16</v>
      </c>
      <c r="H703" t="s">
        <v>17</v>
      </c>
      <c r="I703">
        <v>0</v>
      </c>
      <c r="J703">
        <v>0</v>
      </c>
      <c r="K703">
        <v>1</v>
      </c>
    </row>
    <row r="704" spans="1:11" x14ac:dyDescent="0.25">
      <c r="A704" t="str">
        <f>"961"</f>
        <v>961</v>
      </c>
      <c r="B704" t="str">
        <f t="shared" si="42"/>
        <v>1</v>
      </c>
      <c r="C704" t="str">
        <f t="shared" si="43"/>
        <v>40</v>
      </c>
      <c r="D704" t="str">
        <f>"11"</f>
        <v>11</v>
      </c>
      <c r="E704" t="str">
        <f>"1-40-11"</f>
        <v>1-40-11</v>
      </c>
      <c r="F704" t="s">
        <v>15</v>
      </c>
      <c r="G704" t="s">
        <v>16</v>
      </c>
      <c r="H704" t="s">
        <v>17</v>
      </c>
      <c r="I704">
        <v>1</v>
      </c>
      <c r="J704">
        <v>0</v>
      </c>
      <c r="K704">
        <v>0</v>
      </c>
    </row>
    <row r="705" spans="1:11" x14ac:dyDescent="0.25">
      <c r="A705" t="str">
        <f>"962"</f>
        <v>962</v>
      </c>
      <c r="B705" t="str">
        <f t="shared" si="42"/>
        <v>1</v>
      </c>
      <c r="C705" t="str">
        <f t="shared" si="43"/>
        <v>40</v>
      </c>
      <c r="D705" t="str">
        <f>"20"</f>
        <v>20</v>
      </c>
      <c r="E705" t="str">
        <f>"1-40-20"</f>
        <v>1-40-20</v>
      </c>
      <c r="F705" t="s">
        <v>15</v>
      </c>
      <c r="G705" t="s">
        <v>16</v>
      </c>
      <c r="H705" t="s">
        <v>17</v>
      </c>
      <c r="I705">
        <v>0</v>
      </c>
      <c r="J705">
        <v>0</v>
      </c>
      <c r="K705">
        <v>1</v>
      </c>
    </row>
    <row r="706" spans="1:11" x14ac:dyDescent="0.25">
      <c r="A706" t="str">
        <f>"963"</f>
        <v>963</v>
      </c>
      <c r="B706" t="str">
        <f t="shared" si="42"/>
        <v>1</v>
      </c>
      <c r="C706" t="str">
        <f t="shared" si="43"/>
        <v>40</v>
      </c>
      <c r="D706" t="str">
        <f>"13"</f>
        <v>13</v>
      </c>
      <c r="E706" t="str">
        <f>"1-40-13"</f>
        <v>1-40-13</v>
      </c>
      <c r="F706" t="s">
        <v>15</v>
      </c>
      <c r="G706" t="s">
        <v>16</v>
      </c>
      <c r="H706" t="s">
        <v>17</v>
      </c>
      <c r="I706">
        <v>0</v>
      </c>
      <c r="J706">
        <v>1</v>
      </c>
      <c r="K706">
        <v>0</v>
      </c>
    </row>
    <row r="707" spans="1:11" x14ac:dyDescent="0.25">
      <c r="A707" t="str">
        <f>"964"</f>
        <v>964</v>
      </c>
      <c r="B707" t="str">
        <f t="shared" si="42"/>
        <v>1</v>
      </c>
      <c r="C707" t="str">
        <f t="shared" si="43"/>
        <v>40</v>
      </c>
      <c r="D707" t="str">
        <f>"21"</f>
        <v>21</v>
      </c>
      <c r="E707" t="str">
        <f>"1-40-21"</f>
        <v>1-40-21</v>
      </c>
      <c r="F707" t="s">
        <v>15</v>
      </c>
      <c r="G707" t="s">
        <v>16</v>
      </c>
      <c r="H707" t="s">
        <v>17</v>
      </c>
      <c r="I707">
        <v>1</v>
      </c>
      <c r="J707">
        <v>0</v>
      </c>
      <c r="K707">
        <v>0</v>
      </c>
    </row>
    <row r="708" spans="1:11" x14ac:dyDescent="0.25">
      <c r="A708" t="str">
        <f>"965"</f>
        <v>965</v>
      </c>
      <c r="B708" t="str">
        <f t="shared" si="42"/>
        <v>1</v>
      </c>
      <c r="C708" t="str">
        <f t="shared" si="43"/>
        <v>40</v>
      </c>
      <c r="D708" t="str">
        <f>"3"</f>
        <v>3</v>
      </c>
      <c r="E708" t="str">
        <f>"1-40-3"</f>
        <v>1-40-3</v>
      </c>
      <c r="F708" t="s">
        <v>15</v>
      </c>
      <c r="G708" t="s">
        <v>16</v>
      </c>
      <c r="H708" t="s">
        <v>17</v>
      </c>
      <c r="I708">
        <v>0</v>
      </c>
      <c r="J708">
        <v>1</v>
      </c>
      <c r="K708">
        <v>0</v>
      </c>
    </row>
    <row r="709" spans="1:11" x14ac:dyDescent="0.25">
      <c r="A709" t="str">
        <f>"966"</f>
        <v>966</v>
      </c>
      <c r="B709" t="str">
        <f t="shared" si="42"/>
        <v>1</v>
      </c>
      <c r="C709" t="str">
        <f t="shared" si="43"/>
        <v>40</v>
      </c>
      <c r="D709" t="str">
        <f>"24"</f>
        <v>24</v>
      </c>
      <c r="E709" t="str">
        <f>"1-40-24"</f>
        <v>1-40-24</v>
      </c>
      <c r="F709" t="s">
        <v>15</v>
      </c>
      <c r="G709" t="s">
        <v>16</v>
      </c>
      <c r="H709" t="s">
        <v>17</v>
      </c>
      <c r="I709">
        <v>0</v>
      </c>
      <c r="J709">
        <v>0</v>
      </c>
      <c r="K709">
        <v>1</v>
      </c>
    </row>
    <row r="710" spans="1:11" x14ac:dyDescent="0.25">
      <c r="A710" t="str">
        <f>"967"</f>
        <v>967</v>
      </c>
      <c r="B710" t="str">
        <f t="shared" si="42"/>
        <v>1</v>
      </c>
      <c r="C710" t="str">
        <f t="shared" si="43"/>
        <v>40</v>
      </c>
      <c r="D710" t="str">
        <f>"8"</f>
        <v>8</v>
      </c>
      <c r="E710" t="str">
        <f>"1-40-8"</f>
        <v>1-40-8</v>
      </c>
      <c r="F710" t="s">
        <v>15</v>
      </c>
      <c r="G710" t="s">
        <v>18</v>
      </c>
      <c r="H710" t="s">
        <v>19</v>
      </c>
      <c r="I710">
        <v>1</v>
      </c>
      <c r="J710">
        <v>0</v>
      </c>
      <c r="K710">
        <v>0</v>
      </c>
    </row>
    <row r="711" spans="1:11" x14ac:dyDescent="0.25">
      <c r="A711" t="str">
        <f>"968"</f>
        <v>968</v>
      </c>
      <c r="B711" t="str">
        <f t="shared" si="42"/>
        <v>1</v>
      </c>
      <c r="C711" t="str">
        <f t="shared" si="43"/>
        <v>40</v>
      </c>
      <c r="D711" t="str">
        <f>"25"</f>
        <v>25</v>
      </c>
      <c r="E711" t="str">
        <f>"1-40-25"</f>
        <v>1-40-25</v>
      </c>
      <c r="F711" t="s">
        <v>15</v>
      </c>
      <c r="G711" t="s">
        <v>20</v>
      </c>
      <c r="H711" t="s">
        <v>21</v>
      </c>
      <c r="I711">
        <v>0</v>
      </c>
      <c r="J711">
        <v>1</v>
      </c>
      <c r="K711">
        <v>0</v>
      </c>
    </row>
    <row r="712" spans="1:11" x14ac:dyDescent="0.25">
      <c r="A712" t="str">
        <f>"969"</f>
        <v>969</v>
      </c>
      <c r="B712" t="str">
        <f t="shared" si="42"/>
        <v>1</v>
      </c>
      <c r="C712" t="str">
        <f t="shared" si="43"/>
        <v>40</v>
      </c>
      <c r="D712" t="str">
        <f>"1"</f>
        <v>1</v>
      </c>
      <c r="E712" t="str">
        <f>"1-40-1"</f>
        <v>1-40-1</v>
      </c>
      <c r="F712" t="s">
        <v>15</v>
      </c>
      <c r="G712" t="s">
        <v>16</v>
      </c>
      <c r="H712" t="s">
        <v>17</v>
      </c>
      <c r="I712">
        <v>0</v>
      </c>
      <c r="J712">
        <v>1</v>
      </c>
      <c r="K712">
        <v>0</v>
      </c>
    </row>
    <row r="713" spans="1:11" x14ac:dyDescent="0.25">
      <c r="A713" t="str">
        <f>"970"</f>
        <v>970</v>
      </c>
      <c r="B713" t="str">
        <f t="shared" si="42"/>
        <v>1</v>
      </c>
      <c r="C713" t="str">
        <f t="shared" si="43"/>
        <v>40</v>
      </c>
      <c r="D713" t="str">
        <f>"5"</f>
        <v>5</v>
      </c>
      <c r="E713" t="str">
        <f>"1-40-5"</f>
        <v>1-40-5</v>
      </c>
      <c r="F713" t="s">
        <v>15</v>
      </c>
      <c r="G713" t="s">
        <v>16</v>
      </c>
      <c r="H713" t="s">
        <v>17</v>
      </c>
      <c r="I713">
        <v>0</v>
      </c>
      <c r="J713">
        <v>1</v>
      </c>
      <c r="K713">
        <v>0</v>
      </c>
    </row>
    <row r="714" spans="1:11" x14ac:dyDescent="0.25">
      <c r="A714" t="str">
        <f>"971"</f>
        <v>971</v>
      </c>
      <c r="B714" t="str">
        <f t="shared" si="42"/>
        <v>1</v>
      </c>
      <c r="C714" t="str">
        <f t="shared" si="43"/>
        <v>40</v>
      </c>
      <c r="D714" t="str">
        <f>"12"</f>
        <v>12</v>
      </c>
      <c r="E714" t="str">
        <f>"1-40-12"</f>
        <v>1-40-12</v>
      </c>
      <c r="F714" t="s">
        <v>15</v>
      </c>
      <c r="G714" t="s">
        <v>16</v>
      </c>
      <c r="H714" t="s">
        <v>17</v>
      </c>
      <c r="I714">
        <v>0</v>
      </c>
      <c r="J714">
        <v>1</v>
      </c>
      <c r="K714">
        <v>0</v>
      </c>
    </row>
    <row r="715" spans="1:11" x14ac:dyDescent="0.25">
      <c r="A715" t="str">
        <f>"972"</f>
        <v>972</v>
      </c>
      <c r="B715" t="str">
        <f t="shared" si="42"/>
        <v>1</v>
      </c>
      <c r="C715" t="str">
        <f t="shared" si="43"/>
        <v>40</v>
      </c>
      <c r="D715" t="str">
        <f>"14"</f>
        <v>14</v>
      </c>
      <c r="E715" t="str">
        <f>"1-40-14"</f>
        <v>1-40-14</v>
      </c>
      <c r="F715" t="s">
        <v>15</v>
      </c>
      <c r="G715" t="s">
        <v>16</v>
      </c>
      <c r="H715" t="s">
        <v>17</v>
      </c>
      <c r="I715">
        <v>0</v>
      </c>
      <c r="J715">
        <v>1</v>
      </c>
      <c r="K715">
        <v>0</v>
      </c>
    </row>
    <row r="716" spans="1:11" x14ac:dyDescent="0.25">
      <c r="A716" t="str">
        <f>"973"</f>
        <v>973</v>
      </c>
      <c r="B716" t="str">
        <f t="shared" si="42"/>
        <v>1</v>
      </c>
      <c r="C716" t="str">
        <f t="shared" si="43"/>
        <v>40</v>
      </c>
      <c r="D716" t="str">
        <f>"4"</f>
        <v>4</v>
      </c>
      <c r="E716" t="str">
        <f>"1-40-4"</f>
        <v>1-40-4</v>
      </c>
      <c r="F716" t="s">
        <v>15</v>
      </c>
      <c r="G716" t="s">
        <v>18</v>
      </c>
      <c r="H716" t="s">
        <v>19</v>
      </c>
      <c r="I716">
        <v>0</v>
      </c>
      <c r="J716">
        <v>1</v>
      </c>
      <c r="K716">
        <v>0</v>
      </c>
    </row>
    <row r="717" spans="1:11" x14ac:dyDescent="0.25">
      <c r="A717" t="str">
        <f>"974"</f>
        <v>974</v>
      </c>
      <c r="B717" t="str">
        <f t="shared" si="42"/>
        <v>1</v>
      </c>
      <c r="C717" t="str">
        <f t="shared" si="43"/>
        <v>40</v>
      </c>
      <c r="D717" t="str">
        <f>"7"</f>
        <v>7</v>
      </c>
      <c r="E717" t="str">
        <f>"1-40-7"</f>
        <v>1-40-7</v>
      </c>
      <c r="F717" t="s">
        <v>15</v>
      </c>
      <c r="G717" t="s">
        <v>16</v>
      </c>
      <c r="H717" t="s">
        <v>17</v>
      </c>
      <c r="I717">
        <v>0</v>
      </c>
      <c r="J717">
        <v>0</v>
      </c>
      <c r="K717">
        <v>0</v>
      </c>
    </row>
    <row r="718" spans="1:11" x14ac:dyDescent="0.25">
      <c r="A718" t="str">
        <f>"975"</f>
        <v>975</v>
      </c>
      <c r="B718" t="str">
        <f t="shared" si="42"/>
        <v>1</v>
      </c>
      <c r="C718" t="str">
        <f t="shared" ref="C718:C742" si="44">"41"</f>
        <v>41</v>
      </c>
      <c r="D718" t="str">
        <f>"20"</f>
        <v>20</v>
      </c>
      <c r="E718" t="str">
        <f>"1-41-20"</f>
        <v>1-41-20</v>
      </c>
      <c r="F718" t="s">
        <v>15</v>
      </c>
      <c r="G718" t="s">
        <v>18</v>
      </c>
      <c r="H718" t="s">
        <v>19</v>
      </c>
      <c r="I718">
        <v>0</v>
      </c>
      <c r="J718">
        <v>1</v>
      </c>
      <c r="K718">
        <v>0</v>
      </c>
    </row>
    <row r="719" spans="1:11" x14ac:dyDescent="0.25">
      <c r="A719" t="str">
        <f>"976"</f>
        <v>976</v>
      </c>
      <c r="B719" t="str">
        <f t="shared" si="42"/>
        <v>1</v>
      </c>
      <c r="C719" t="str">
        <f t="shared" si="44"/>
        <v>41</v>
      </c>
      <c r="D719" t="str">
        <f>"15"</f>
        <v>15</v>
      </c>
      <c r="E719" t="str">
        <f>"1-41-15"</f>
        <v>1-41-15</v>
      </c>
      <c r="F719" t="s">
        <v>15</v>
      </c>
      <c r="G719" t="s">
        <v>16</v>
      </c>
      <c r="H719" t="s">
        <v>17</v>
      </c>
      <c r="I719">
        <v>1</v>
      </c>
      <c r="J719">
        <v>0</v>
      </c>
      <c r="K719">
        <v>0</v>
      </c>
    </row>
    <row r="720" spans="1:11" x14ac:dyDescent="0.25">
      <c r="A720" t="str">
        <f>"977"</f>
        <v>977</v>
      </c>
      <c r="B720" t="str">
        <f t="shared" si="42"/>
        <v>1</v>
      </c>
      <c r="C720" t="str">
        <f t="shared" si="44"/>
        <v>41</v>
      </c>
      <c r="D720" t="str">
        <f>"2"</f>
        <v>2</v>
      </c>
      <c r="E720" t="str">
        <f>"1-41-2"</f>
        <v>1-41-2</v>
      </c>
      <c r="F720" t="s">
        <v>15</v>
      </c>
      <c r="G720" t="s">
        <v>16</v>
      </c>
      <c r="H720" t="s">
        <v>17</v>
      </c>
      <c r="I720">
        <v>0</v>
      </c>
      <c r="J720">
        <v>0</v>
      </c>
      <c r="K720">
        <v>1</v>
      </c>
    </row>
    <row r="721" spans="1:11" x14ac:dyDescent="0.25">
      <c r="A721" t="str">
        <f>"978"</f>
        <v>978</v>
      </c>
      <c r="B721" t="str">
        <f t="shared" si="42"/>
        <v>1</v>
      </c>
      <c r="C721" t="str">
        <f t="shared" si="44"/>
        <v>41</v>
      </c>
      <c r="D721" t="str">
        <f>"26"</f>
        <v>26</v>
      </c>
      <c r="E721" t="str">
        <f>"1-41-26"</f>
        <v>1-41-26</v>
      </c>
      <c r="F721" t="s">
        <v>15</v>
      </c>
      <c r="G721" t="s">
        <v>18</v>
      </c>
      <c r="H721" t="s">
        <v>19</v>
      </c>
      <c r="I721">
        <v>0</v>
      </c>
      <c r="J721">
        <v>0</v>
      </c>
      <c r="K721">
        <v>1</v>
      </c>
    </row>
    <row r="722" spans="1:11" x14ac:dyDescent="0.25">
      <c r="A722" t="str">
        <f>"979"</f>
        <v>979</v>
      </c>
      <c r="B722" t="str">
        <f t="shared" si="42"/>
        <v>1</v>
      </c>
      <c r="C722" t="str">
        <f t="shared" si="44"/>
        <v>41</v>
      </c>
      <c r="D722" t="str">
        <f>"16"</f>
        <v>16</v>
      </c>
      <c r="E722" t="str">
        <f>"1-41-16"</f>
        <v>1-41-16</v>
      </c>
      <c r="F722" t="s">
        <v>15</v>
      </c>
      <c r="G722" t="s">
        <v>16</v>
      </c>
      <c r="H722" t="s">
        <v>17</v>
      </c>
      <c r="I722">
        <v>1</v>
      </c>
      <c r="J722">
        <v>0</v>
      </c>
      <c r="K722">
        <v>0</v>
      </c>
    </row>
    <row r="723" spans="1:11" x14ac:dyDescent="0.25">
      <c r="A723" t="str">
        <f>"980"</f>
        <v>980</v>
      </c>
      <c r="B723" t="str">
        <f t="shared" si="42"/>
        <v>1</v>
      </c>
      <c r="C723" t="str">
        <f t="shared" si="44"/>
        <v>41</v>
      </c>
      <c r="D723" t="str">
        <f>"3"</f>
        <v>3</v>
      </c>
      <c r="E723" t="str">
        <f>"1-41-3"</f>
        <v>1-41-3</v>
      </c>
      <c r="F723" t="s">
        <v>15</v>
      </c>
      <c r="G723" t="s">
        <v>16</v>
      </c>
      <c r="H723" t="s">
        <v>17</v>
      </c>
      <c r="I723">
        <v>0</v>
      </c>
      <c r="J723">
        <v>1</v>
      </c>
      <c r="K723">
        <v>0</v>
      </c>
    </row>
    <row r="724" spans="1:11" x14ac:dyDescent="0.25">
      <c r="A724" t="str">
        <f>"981"</f>
        <v>981</v>
      </c>
      <c r="B724" t="str">
        <f t="shared" si="42"/>
        <v>1</v>
      </c>
      <c r="C724" t="str">
        <f t="shared" si="44"/>
        <v>41</v>
      </c>
      <c r="D724" t="str">
        <f>"17"</f>
        <v>17</v>
      </c>
      <c r="E724" t="str">
        <f>"1-41-17"</f>
        <v>1-41-17</v>
      </c>
      <c r="F724" t="s">
        <v>15</v>
      </c>
      <c r="G724" t="s">
        <v>16</v>
      </c>
      <c r="H724" t="s">
        <v>17</v>
      </c>
      <c r="I724">
        <v>1</v>
      </c>
      <c r="J724">
        <v>0</v>
      </c>
      <c r="K724">
        <v>0</v>
      </c>
    </row>
    <row r="725" spans="1:11" x14ac:dyDescent="0.25">
      <c r="A725" t="str">
        <f>"982"</f>
        <v>982</v>
      </c>
      <c r="B725" t="str">
        <f t="shared" si="42"/>
        <v>1</v>
      </c>
      <c r="C725" t="str">
        <f t="shared" si="44"/>
        <v>41</v>
      </c>
      <c r="D725" t="str">
        <f>"1"</f>
        <v>1</v>
      </c>
      <c r="E725" t="str">
        <f>"1-41-1"</f>
        <v>1-41-1</v>
      </c>
      <c r="F725" t="s">
        <v>15</v>
      </c>
      <c r="G725" t="s">
        <v>16</v>
      </c>
      <c r="H725" t="s">
        <v>17</v>
      </c>
      <c r="I725">
        <v>0</v>
      </c>
      <c r="J725">
        <v>0</v>
      </c>
      <c r="K725">
        <v>1</v>
      </c>
    </row>
    <row r="726" spans="1:11" x14ac:dyDescent="0.25">
      <c r="A726" t="str">
        <f>"983"</f>
        <v>983</v>
      </c>
      <c r="B726" t="str">
        <f t="shared" si="42"/>
        <v>1</v>
      </c>
      <c r="C726" t="str">
        <f t="shared" si="44"/>
        <v>41</v>
      </c>
      <c r="D726" t="str">
        <f>"18"</f>
        <v>18</v>
      </c>
      <c r="E726" t="str">
        <f>"1-41-18"</f>
        <v>1-41-18</v>
      </c>
      <c r="F726" t="s">
        <v>15</v>
      </c>
      <c r="G726" t="s">
        <v>16</v>
      </c>
      <c r="H726" t="s">
        <v>17</v>
      </c>
      <c r="I726">
        <v>0</v>
      </c>
      <c r="J726">
        <v>1</v>
      </c>
      <c r="K726">
        <v>0</v>
      </c>
    </row>
    <row r="727" spans="1:11" x14ac:dyDescent="0.25">
      <c r="A727" t="str">
        <f>"984"</f>
        <v>984</v>
      </c>
      <c r="B727" t="str">
        <f t="shared" si="42"/>
        <v>1</v>
      </c>
      <c r="C727" t="str">
        <f t="shared" si="44"/>
        <v>41</v>
      </c>
      <c r="D727" t="str">
        <f>"10"</f>
        <v>10</v>
      </c>
      <c r="E727" t="str">
        <f>"1-41-10"</f>
        <v>1-41-10</v>
      </c>
      <c r="F727" t="s">
        <v>15</v>
      </c>
      <c r="G727" t="s">
        <v>16</v>
      </c>
      <c r="H727" t="s">
        <v>17</v>
      </c>
      <c r="I727">
        <v>0</v>
      </c>
      <c r="J727">
        <v>0</v>
      </c>
      <c r="K727">
        <v>1</v>
      </c>
    </row>
    <row r="728" spans="1:11" x14ac:dyDescent="0.25">
      <c r="A728" t="str">
        <f>"985"</f>
        <v>985</v>
      </c>
      <c r="B728" t="str">
        <f t="shared" si="42"/>
        <v>1</v>
      </c>
      <c r="C728" t="str">
        <f t="shared" si="44"/>
        <v>41</v>
      </c>
      <c r="D728" t="str">
        <f>"19"</f>
        <v>19</v>
      </c>
      <c r="E728" t="str">
        <f>"1-41-19"</f>
        <v>1-41-19</v>
      </c>
      <c r="F728" t="s">
        <v>15</v>
      </c>
      <c r="G728" t="s">
        <v>16</v>
      </c>
      <c r="H728" t="s">
        <v>17</v>
      </c>
      <c r="I728">
        <v>0</v>
      </c>
      <c r="J728">
        <v>1</v>
      </c>
      <c r="K728">
        <v>0</v>
      </c>
    </row>
    <row r="729" spans="1:11" x14ac:dyDescent="0.25">
      <c r="A729" t="str">
        <f>"986"</f>
        <v>986</v>
      </c>
      <c r="B729" t="str">
        <f t="shared" ref="B729:B791" si="45">"1"</f>
        <v>1</v>
      </c>
      <c r="C729" t="str">
        <f t="shared" si="44"/>
        <v>41</v>
      </c>
      <c r="D729" t="str">
        <f>"12"</f>
        <v>12</v>
      </c>
      <c r="E729" t="str">
        <f>"1-41-12"</f>
        <v>1-41-12</v>
      </c>
      <c r="F729" t="s">
        <v>15</v>
      </c>
      <c r="G729" t="s">
        <v>18</v>
      </c>
      <c r="H729" t="s">
        <v>19</v>
      </c>
      <c r="I729">
        <v>1</v>
      </c>
      <c r="J729">
        <v>0</v>
      </c>
      <c r="K729">
        <v>0</v>
      </c>
    </row>
    <row r="730" spans="1:11" x14ac:dyDescent="0.25">
      <c r="A730" t="str">
        <f>"987"</f>
        <v>987</v>
      </c>
      <c r="B730" t="str">
        <f t="shared" si="45"/>
        <v>1</v>
      </c>
      <c r="C730" t="str">
        <f t="shared" si="44"/>
        <v>41</v>
      </c>
      <c r="D730" t="str">
        <f>"6"</f>
        <v>6</v>
      </c>
      <c r="E730" t="str">
        <f>"1-41-6"</f>
        <v>1-41-6</v>
      </c>
      <c r="F730" t="s">
        <v>15</v>
      </c>
      <c r="G730" t="s">
        <v>16</v>
      </c>
      <c r="H730" t="s">
        <v>17</v>
      </c>
      <c r="I730">
        <v>0</v>
      </c>
      <c r="J730">
        <v>1</v>
      </c>
      <c r="K730">
        <v>0</v>
      </c>
    </row>
    <row r="731" spans="1:11" x14ac:dyDescent="0.25">
      <c r="A731" t="str">
        <f>"988"</f>
        <v>988</v>
      </c>
      <c r="B731" t="str">
        <f t="shared" si="45"/>
        <v>1</v>
      </c>
      <c r="C731" t="str">
        <f t="shared" si="44"/>
        <v>41</v>
      </c>
      <c r="D731" t="str">
        <f>"22"</f>
        <v>22</v>
      </c>
      <c r="E731" t="str">
        <f>"1-41-22"</f>
        <v>1-41-22</v>
      </c>
      <c r="F731" t="s">
        <v>15</v>
      </c>
      <c r="G731" t="s">
        <v>18</v>
      </c>
      <c r="H731" t="s">
        <v>19</v>
      </c>
      <c r="I731">
        <v>0</v>
      </c>
      <c r="J731">
        <v>1</v>
      </c>
      <c r="K731">
        <v>0</v>
      </c>
    </row>
    <row r="732" spans="1:11" x14ac:dyDescent="0.25">
      <c r="A732" t="str">
        <f>"989"</f>
        <v>989</v>
      </c>
      <c r="B732" t="str">
        <f t="shared" si="45"/>
        <v>1</v>
      </c>
      <c r="C732" t="str">
        <f t="shared" si="44"/>
        <v>41</v>
      </c>
      <c r="D732" t="str">
        <f>"13"</f>
        <v>13</v>
      </c>
      <c r="E732" t="str">
        <f>"1-41-13"</f>
        <v>1-41-13</v>
      </c>
      <c r="F732" t="s">
        <v>15</v>
      </c>
      <c r="G732" t="s">
        <v>18</v>
      </c>
      <c r="H732" t="s">
        <v>19</v>
      </c>
      <c r="I732">
        <v>0</v>
      </c>
      <c r="J732">
        <v>1</v>
      </c>
      <c r="K732">
        <v>0</v>
      </c>
    </row>
    <row r="733" spans="1:11" x14ac:dyDescent="0.25">
      <c r="A733" t="str">
        <f>"990"</f>
        <v>990</v>
      </c>
      <c r="B733" t="str">
        <f t="shared" si="45"/>
        <v>1</v>
      </c>
      <c r="C733" t="str">
        <f t="shared" si="44"/>
        <v>41</v>
      </c>
      <c r="D733" t="str">
        <f>"23"</f>
        <v>23</v>
      </c>
      <c r="E733" t="str">
        <f>"1-41-23"</f>
        <v>1-41-23</v>
      </c>
      <c r="F733" t="s">
        <v>15</v>
      </c>
      <c r="G733" t="s">
        <v>16</v>
      </c>
      <c r="H733" t="s">
        <v>17</v>
      </c>
      <c r="I733">
        <v>0</v>
      </c>
      <c r="J733">
        <v>0</v>
      </c>
      <c r="K733">
        <v>1</v>
      </c>
    </row>
    <row r="734" spans="1:11" x14ac:dyDescent="0.25">
      <c r="A734" t="str">
        <f>"991"</f>
        <v>991</v>
      </c>
      <c r="B734" t="str">
        <f t="shared" si="45"/>
        <v>1</v>
      </c>
      <c r="C734" t="str">
        <f t="shared" si="44"/>
        <v>41</v>
      </c>
      <c r="D734" t="str">
        <f>"9"</f>
        <v>9</v>
      </c>
      <c r="E734" t="str">
        <f>"1-41-9"</f>
        <v>1-41-9</v>
      </c>
      <c r="F734" t="s">
        <v>15</v>
      </c>
      <c r="G734" t="s">
        <v>16</v>
      </c>
      <c r="H734" t="s">
        <v>17</v>
      </c>
      <c r="I734">
        <v>0</v>
      </c>
      <c r="J734">
        <v>0</v>
      </c>
      <c r="K734">
        <v>1</v>
      </c>
    </row>
    <row r="735" spans="1:11" x14ac:dyDescent="0.25">
      <c r="A735" t="str">
        <f>"993"</f>
        <v>993</v>
      </c>
      <c r="B735" t="str">
        <f t="shared" si="45"/>
        <v>1</v>
      </c>
      <c r="C735" t="str">
        <f t="shared" si="44"/>
        <v>41</v>
      </c>
      <c r="D735" t="str">
        <f>"8"</f>
        <v>8</v>
      </c>
      <c r="E735" t="str">
        <f>"1-41-8"</f>
        <v>1-41-8</v>
      </c>
      <c r="F735" t="s">
        <v>15</v>
      </c>
      <c r="G735" t="s">
        <v>16</v>
      </c>
      <c r="H735" t="s">
        <v>17</v>
      </c>
      <c r="I735">
        <v>0</v>
      </c>
      <c r="J735">
        <v>0</v>
      </c>
      <c r="K735">
        <v>1</v>
      </c>
    </row>
    <row r="736" spans="1:11" x14ac:dyDescent="0.25">
      <c r="A736" t="str">
        <f>"994"</f>
        <v>994</v>
      </c>
      <c r="B736" t="str">
        <f t="shared" si="45"/>
        <v>1</v>
      </c>
      <c r="C736" t="str">
        <f t="shared" si="44"/>
        <v>41</v>
      </c>
      <c r="D736" t="str">
        <f>"5"</f>
        <v>5</v>
      </c>
      <c r="E736" t="str">
        <f>"1-41-5"</f>
        <v>1-41-5</v>
      </c>
      <c r="F736" t="s">
        <v>15</v>
      </c>
      <c r="G736" t="s">
        <v>16</v>
      </c>
      <c r="H736" t="s">
        <v>17</v>
      </c>
      <c r="I736">
        <v>0</v>
      </c>
      <c r="J736">
        <v>1</v>
      </c>
      <c r="K736">
        <v>0</v>
      </c>
    </row>
    <row r="737" spans="1:11" x14ac:dyDescent="0.25">
      <c r="A737" t="str">
        <f>"995"</f>
        <v>995</v>
      </c>
      <c r="B737" t="str">
        <f t="shared" si="45"/>
        <v>1</v>
      </c>
      <c r="C737" t="str">
        <f t="shared" si="44"/>
        <v>41</v>
      </c>
      <c r="D737" t="str">
        <f>"7"</f>
        <v>7</v>
      </c>
      <c r="E737" t="str">
        <f>"1-41-7"</f>
        <v>1-41-7</v>
      </c>
      <c r="F737" t="s">
        <v>15</v>
      </c>
      <c r="G737" t="s">
        <v>16</v>
      </c>
      <c r="H737" t="s">
        <v>17</v>
      </c>
      <c r="I737">
        <v>0</v>
      </c>
      <c r="J737">
        <v>0</v>
      </c>
      <c r="K737">
        <v>1</v>
      </c>
    </row>
    <row r="738" spans="1:11" x14ac:dyDescent="0.25">
      <c r="A738" t="str">
        <f>"996"</f>
        <v>996</v>
      </c>
      <c r="B738" t="str">
        <f t="shared" si="45"/>
        <v>1</v>
      </c>
      <c r="C738" t="str">
        <f t="shared" si="44"/>
        <v>41</v>
      </c>
      <c r="D738" t="str">
        <f>"4"</f>
        <v>4</v>
      </c>
      <c r="E738" t="str">
        <f>"1-41-4"</f>
        <v>1-41-4</v>
      </c>
      <c r="F738" t="s">
        <v>15</v>
      </c>
      <c r="G738" t="s">
        <v>16</v>
      </c>
      <c r="H738" t="s">
        <v>17</v>
      </c>
      <c r="I738">
        <v>0</v>
      </c>
      <c r="J738">
        <v>0</v>
      </c>
      <c r="K738">
        <v>1</v>
      </c>
    </row>
    <row r="739" spans="1:11" x14ac:dyDescent="0.25">
      <c r="A739" t="str">
        <f>"997"</f>
        <v>997</v>
      </c>
      <c r="B739" t="str">
        <f t="shared" si="45"/>
        <v>1</v>
      </c>
      <c r="C739" t="str">
        <f t="shared" si="44"/>
        <v>41</v>
      </c>
      <c r="D739" t="str">
        <f>"11"</f>
        <v>11</v>
      </c>
      <c r="E739" t="str">
        <f>"1-41-11"</f>
        <v>1-41-11</v>
      </c>
      <c r="F739" t="s">
        <v>15</v>
      </c>
      <c r="G739" t="s">
        <v>16</v>
      </c>
      <c r="H739" t="s">
        <v>17</v>
      </c>
      <c r="I739">
        <v>0</v>
      </c>
      <c r="J739">
        <v>1</v>
      </c>
      <c r="K739">
        <v>0</v>
      </c>
    </row>
    <row r="740" spans="1:11" x14ac:dyDescent="0.25">
      <c r="A740" t="str">
        <f>"998"</f>
        <v>998</v>
      </c>
      <c r="B740" t="str">
        <f t="shared" si="45"/>
        <v>1</v>
      </c>
      <c r="C740" t="str">
        <f t="shared" si="44"/>
        <v>41</v>
      </c>
      <c r="D740" t="str">
        <f>"14"</f>
        <v>14</v>
      </c>
      <c r="E740" t="str">
        <f>"1-41-14"</f>
        <v>1-41-14</v>
      </c>
      <c r="F740" t="s">
        <v>15</v>
      </c>
      <c r="G740" t="s">
        <v>18</v>
      </c>
      <c r="H740" t="s">
        <v>19</v>
      </c>
      <c r="I740">
        <v>0</v>
      </c>
      <c r="J740">
        <v>1</v>
      </c>
      <c r="K740">
        <v>0</v>
      </c>
    </row>
    <row r="741" spans="1:11" x14ac:dyDescent="0.25">
      <c r="A741" t="str">
        <f>"999"</f>
        <v>999</v>
      </c>
      <c r="B741" t="str">
        <f t="shared" si="45"/>
        <v>1</v>
      </c>
      <c r="C741" t="str">
        <f t="shared" si="44"/>
        <v>41</v>
      </c>
      <c r="D741" t="str">
        <f>"21"</f>
        <v>21</v>
      </c>
      <c r="E741" t="str">
        <f>"1-41-21"</f>
        <v>1-41-21</v>
      </c>
      <c r="F741" t="s">
        <v>15</v>
      </c>
      <c r="G741" t="s">
        <v>16</v>
      </c>
      <c r="H741" t="s">
        <v>17</v>
      </c>
      <c r="I741">
        <v>0</v>
      </c>
      <c r="J741">
        <v>0</v>
      </c>
      <c r="K741">
        <v>0</v>
      </c>
    </row>
    <row r="742" spans="1:11" x14ac:dyDescent="0.25">
      <c r="A742" t="str">
        <f>"1000"</f>
        <v>1000</v>
      </c>
      <c r="B742" t="str">
        <f t="shared" si="45"/>
        <v>1</v>
      </c>
      <c r="C742" t="str">
        <f t="shared" si="44"/>
        <v>41</v>
      </c>
      <c r="D742" t="str">
        <f>"25"</f>
        <v>25</v>
      </c>
      <c r="E742" t="str">
        <f>"1-41-25"</f>
        <v>1-41-25</v>
      </c>
      <c r="F742" t="s">
        <v>15</v>
      </c>
      <c r="G742" t="s">
        <v>16</v>
      </c>
      <c r="H742" t="s">
        <v>17</v>
      </c>
      <c r="I742">
        <v>0</v>
      </c>
      <c r="J742">
        <v>1</v>
      </c>
      <c r="K742">
        <v>0</v>
      </c>
    </row>
    <row r="743" spans="1:11" x14ac:dyDescent="0.25">
      <c r="A743" t="str">
        <f>"1001"</f>
        <v>1001</v>
      </c>
      <c r="B743" t="str">
        <f t="shared" si="45"/>
        <v>1</v>
      </c>
      <c r="C743" t="str">
        <f t="shared" ref="C743:C771" si="46">"42"</f>
        <v>42</v>
      </c>
      <c r="D743" t="str">
        <f>"20"</f>
        <v>20</v>
      </c>
      <c r="E743" t="str">
        <f>"1-42-20"</f>
        <v>1-42-20</v>
      </c>
      <c r="F743" t="s">
        <v>15</v>
      </c>
      <c r="G743" t="s">
        <v>16</v>
      </c>
      <c r="H743" t="s">
        <v>17</v>
      </c>
      <c r="I743">
        <v>0</v>
      </c>
      <c r="J743">
        <v>0</v>
      </c>
      <c r="K743">
        <v>1</v>
      </c>
    </row>
    <row r="744" spans="1:11" x14ac:dyDescent="0.25">
      <c r="A744" t="str">
        <f>"1002"</f>
        <v>1002</v>
      </c>
      <c r="B744" t="str">
        <f t="shared" si="45"/>
        <v>1</v>
      </c>
      <c r="C744" t="str">
        <f t="shared" si="46"/>
        <v>42</v>
      </c>
      <c r="D744" t="str">
        <f>"15"</f>
        <v>15</v>
      </c>
      <c r="E744" t="str">
        <f>"1-42-15"</f>
        <v>1-42-15</v>
      </c>
      <c r="F744" t="s">
        <v>15</v>
      </c>
      <c r="G744" t="s">
        <v>16</v>
      </c>
      <c r="H744" t="s">
        <v>17</v>
      </c>
      <c r="I744">
        <v>1</v>
      </c>
      <c r="J744">
        <v>0</v>
      </c>
      <c r="K744">
        <v>0</v>
      </c>
    </row>
    <row r="745" spans="1:11" x14ac:dyDescent="0.25">
      <c r="A745" t="str">
        <f>"1003"</f>
        <v>1003</v>
      </c>
      <c r="B745" t="str">
        <f t="shared" si="45"/>
        <v>1</v>
      </c>
      <c r="C745" t="str">
        <f t="shared" si="46"/>
        <v>42</v>
      </c>
      <c r="D745" t="str">
        <f>"5"</f>
        <v>5</v>
      </c>
      <c r="E745" t="str">
        <f>"1-42-5"</f>
        <v>1-42-5</v>
      </c>
      <c r="F745" t="s">
        <v>15</v>
      </c>
      <c r="G745" t="s">
        <v>20</v>
      </c>
      <c r="H745" t="s">
        <v>21</v>
      </c>
      <c r="I745">
        <v>0</v>
      </c>
      <c r="J745">
        <v>1</v>
      </c>
      <c r="K745">
        <v>0</v>
      </c>
    </row>
    <row r="746" spans="1:11" x14ac:dyDescent="0.25">
      <c r="A746" t="str">
        <f>"1004"</f>
        <v>1004</v>
      </c>
      <c r="B746" t="str">
        <f t="shared" si="45"/>
        <v>1</v>
      </c>
      <c r="C746" t="str">
        <f t="shared" si="46"/>
        <v>42</v>
      </c>
      <c r="D746" t="str">
        <f>"19"</f>
        <v>19</v>
      </c>
      <c r="E746" t="str">
        <f>"1-42-19"</f>
        <v>1-42-19</v>
      </c>
      <c r="F746" t="s">
        <v>15</v>
      </c>
      <c r="G746" t="s">
        <v>16</v>
      </c>
      <c r="H746" t="s">
        <v>17</v>
      </c>
      <c r="I746">
        <v>0</v>
      </c>
      <c r="J746">
        <v>0</v>
      </c>
      <c r="K746">
        <v>1</v>
      </c>
    </row>
    <row r="747" spans="1:11" x14ac:dyDescent="0.25">
      <c r="A747" t="str">
        <f>"1005"</f>
        <v>1005</v>
      </c>
      <c r="B747" t="str">
        <f t="shared" si="45"/>
        <v>1</v>
      </c>
      <c r="C747" t="str">
        <f t="shared" si="46"/>
        <v>42</v>
      </c>
      <c r="D747" t="str">
        <f>"16"</f>
        <v>16</v>
      </c>
      <c r="E747" t="str">
        <f>"1-42-16"</f>
        <v>1-42-16</v>
      </c>
      <c r="F747" t="s">
        <v>15</v>
      </c>
      <c r="G747" t="s">
        <v>16</v>
      </c>
      <c r="H747" t="s">
        <v>17</v>
      </c>
      <c r="I747">
        <v>0</v>
      </c>
      <c r="J747">
        <v>0</v>
      </c>
      <c r="K747">
        <v>1</v>
      </c>
    </row>
    <row r="748" spans="1:11" x14ac:dyDescent="0.25">
      <c r="A748" t="str">
        <f>"1006"</f>
        <v>1006</v>
      </c>
      <c r="B748" t="str">
        <f t="shared" si="45"/>
        <v>1</v>
      </c>
      <c r="C748" t="str">
        <f t="shared" si="46"/>
        <v>42</v>
      </c>
      <c r="D748" t="str">
        <f>"2"</f>
        <v>2</v>
      </c>
      <c r="E748" t="str">
        <f>"1-42-2"</f>
        <v>1-42-2</v>
      </c>
      <c r="F748" t="s">
        <v>15</v>
      </c>
      <c r="G748" t="s">
        <v>20</v>
      </c>
      <c r="H748" t="s">
        <v>21</v>
      </c>
      <c r="I748">
        <v>1</v>
      </c>
      <c r="J748">
        <v>0</v>
      </c>
      <c r="K748">
        <v>0</v>
      </c>
    </row>
    <row r="749" spans="1:11" x14ac:dyDescent="0.25">
      <c r="A749" t="str">
        <f>"1007"</f>
        <v>1007</v>
      </c>
      <c r="B749" t="str">
        <f t="shared" si="45"/>
        <v>1</v>
      </c>
      <c r="C749" t="str">
        <f t="shared" si="46"/>
        <v>42</v>
      </c>
      <c r="D749" t="str">
        <f>"17"</f>
        <v>17</v>
      </c>
      <c r="E749" t="str">
        <f>"1-42-17"</f>
        <v>1-42-17</v>
      </c>
      <c r="F749" t="s">
        <v>15</v>
      </c>
      <c r="G749" t="s">
        <v>16</v>
      </c>
      <c r="H749" t="s">
        <v>17</v>
      </c>
      <c r="I749">
        <v>1</v>
      </c>
      <c r="J749">
        <v>0</v>
      </c>
      <c r="K749">
        <v>0</v>
      </c>
    </row>
    <row r="750" spans="1:11" x14ac:dyDescent="0.25">
      <c r="A750" t="str">
        <f>"1008"</f>
        <v>1008</v>
      </c>
      <c r="B750" t="str">
        <f t="shared" si="45"/>
        <v>1</v>
      </c>
      <c r="C750" t="str">
        <f t="shared" si="46"/>
        <v>42</v>
      </c>
      <c r="D750" t="str">
        <f>"1"</f>
        <v>1</v>
      </c>
      <c r="E750" t="str">
        <f>"1-42-1"</f>
        <v>1-42-1</v>
      </c>
      <c r="F750" t="s">
        <v>15</v>
      </c>
      <c r="G750" t="s">
        <v>20</v>
      </c>
      <c r="H750" t="s">
        <v>21</v>
      </c>
      <c r="I750">
        <v>0</v>
      </c>
      <c r="J750">
        <v>0</v>
      </c>
      <c r="K750">
        <v>1</v>
      </c>
    </row>
    <row r="751" spans="1:11" x14ac:dyDescent="0.25">
      <c r="A751" t="str">
        <f>"1009"</f>
        <v>1009</v>
      </c>
      <c r="B751" t="str">
        <f t="shared" si="45"/>
        <v>1</v>
      </c>
      <c r="C751" t="str">
        <f t="shared" si="46"/>
        <v>42</v>
      </c>
      <c r="D751" t="str">
        <f>"11"</f>
        <v>11</v>
      </c>
      <c r="E751" t="str">
        <f>"1-42-11"</f>
        <v>1-42-11</v>
      </c>
      <c r="F751" t="s">
        <v>15</v>
      </c>
      <c r="G751" t="s">
        <v>16</v>
      </c>
      <c r="H751" t="s">
        <v>17</v>
      </c>
      <c r="I751">
        <v>0</v>
      </c>
      <c r="J751">
        <v>1</v>
      </c>
      <c r="K751">
        <v>0</v>
      </c>
    </row>
    <row r="752" spans="1:11" x14ac:dyDescent="0.25">
      <c r="A752" t="str">
        <f>"1010"</f>
        <v>1010</v>
      </c>
      <c r="B752" t="str">
        <f t="shared" si="45"/>
        <v>1</v>
      </c>
      <c r="C752" t="str">
        <f t="shared" si="46"/>
        <v>42</v>
      </c>
      <c r="D752" t="str">
        <f>"21"</f>
        <v>21</v>
      </c>
      <c r="E752" t="str">
        <f>"1-42-21"</f>
        <v>1-42-21</v>
      </c>
      <c r="F752" t="s">
        <v>15</v>
      </c>
      <c r="G752" t="s">
        <v>16</v>
      </c>
      <c r="H752" t="s">
        <v>17</v>
      </c>
      <c r="I752">
        <v>1</v>
      </c>
      <c r="J752">
        <v>0</v>
      </c>
      <c r="K752">
        <v>0</v>
      </c>
    </row>
    <row r="753" spans="1:11" x14ac:dyDescent="0.25">
      <c r="A753" t="str">
        <f>"1011"</f>
        <v>1011</v>
      </c>
      <c r="B753" t="str">
        <f t="shared" si="45"/>
        <v>1</v>
      </c>
      <c r="C753" t="str">
        <f t="shared" si="46"/>
        <v>42</v>
      </c>
      <c r="D753" t="str">
        <f>"6"</f>
        <v>6</v>
      </c>
      <c r="E753" t="str">
        <f>"1-42-6"</f>
        <v>1-42-6</v>
      </c>
      <c r="F753" t="s">
        <v>15</v>
      </c>
      <c r="G753" t="s">
        <v>16</v>
      </c>
      <c r="H753" t="s">
        <v>17</v>
      </c>
      <c r="I753">
        <v>0</v>
      </c>
      <c r="J753">
        <v>0</v>
      </c>
      <c r="K753">
        <v>1</v>
      </c>
    </row>
    <row r="754" spans="1:11" x14ac:dyDescent="0.25">
      <c r="A754" t="str">
        <f>"1012"</f>
        <v>1012</v>
      </c>
      <c r="B754" t="str">
        <f t="shared" si="45"/>
        <v>1</v>
      </c>
      <c r="C754" t="str">
        <f t="shared" si="46"/>
        <v>42</v>
      </c>
      <c r="D754" t="str">
        <f>"22"</f>
        <v>22</v>
      </c>
      <c r="E754" t="str">
        <f>"1-42-22"</f>
        <v>1-42-22</v>
      </c>
      <c r="F754" t="s">
        <v>15</v>
      </c>
      <c r="G754" t="s">
        <v>16</v>
      </c>
      <c r="H754" t="s">
        <v>17</v>
      </c>
      <c r="I754">
        <v>1</v>
      </c>
      <c r="J754">
        <v>0</v>
      </c>
      <c r="K754">
        <v>0</v>
      </c>
    </row>
    <row r="755" spans="1:11" x14ac:dyDescent="0.25">
      <c r="A755" t="str">
        <f>"1013"</f>
        <v>1013</v>
      </c>
      <c r="B755" t="str">
        <f t="shared" si="45"/>
        <v>1</v>
      </c>
      <c r="C755" t="str">
        <f t="shared" si="46"/>
        <v>42</v>
      </c>
      <c r="D755" t="str">
        <f>"8"</f>
        <v>8</v>
      </c>
      <c r="E755" t="str">
        <f>"1-42-8"</f>
        <v>1-42-8</v>
      </c>
      <c r="F755" t="s">
        <v>15</v>
      </c>
      <c r="G755" t="s">
        <v>16</v>
      </c>
      <c r="H755" t="s">
        <v>17</v>
      </c>
      <c r="I755">
        <v>0</v>
      </c>
      <c r="J755">
        <v>1</v>
      </c>
      <c r="K755">
        <v>0</v>
      </c>
    </row>
    <row r="756" spans="1:11" x14ac:dyDescent="0.25">
      <c r="A756" t="str">
        <f>"1014"</f>
        <v>1014</v>
      </c>
      <c r="B756" t="str">
        <f t="shared" si="45"/>
        <v>1</v>
      </c>
      <c r="C756" t="str">
        <f t="shared" si="46"/>
        <v>42</v>
      </c>
      <c r="D756" t="str">
        <f>"23"</f>
        <v>23</v>
      </c>
      <c r="E756" t="str">
        <f>"1-42-23"</f>
        <v>1-42-23</v>
      </c>
      <c r="F756" t="s">
        <v>15</v>
      </c>
      <c r="G756" t="s">
        <v>16</v>
      </c>
      <c r="H756" t="s">
        <v>17</v>
      </c>
      <c r="I756">
        <v>0</v>
      </c>
      <c r="J756">
        <v>1</v>
      </c>
      <c r="K756">
        <v>0</v>
      </c>
    </row>
    <row r="757" spans="1:11" x14ac:dyDescent="0.25">
      <c r="A757" t="str">
        <f>"1015"</f>
        <v>1015</v>
      </c>
      <c r="B757" t="str">
        <f t="shared" si="45"/>
        <v>1</v>
      </c>
      <c r="C757" t="str">
        <f t="shared" si="46"/>
        <v>42</v>
      </c>
      <c r="D757" t="str">
        <f>"7"</f>
        <v>7</v>
      </c>
      <c r="E757" t="str">
        <f>"1-42-7"</f>
        <v>1-42-7</v>
      </c>
      <c r="F757" t="s">
        <v>15</v>
      </c>
      <c r="G757" t="s">
        <v>16</v>
      </c>
      <c r="H757" t="s">
        <v>17</v>
      </c>
      <c r="I757">
        <v>1</v>
      </c>
      <c r="J757">
        <v>0</v>
      </c>
      <c r="K757">
        <v>0</v>
      </c>
    </row>
    <row r="758" spans="1:11" x14ac:dyDescent="0.25">
      <c r="A758" t="str">
        <f>"1016"</f>
        <v>1016</v>
      </c>
      <c r="B758" t="str">
        <f t="shared" si="45"/>
        <v>1</v>
      </c>
      <c r="C758" t="str">
        <f t="shared" si="46"/>
        <v>42</v>
      </c>
      <c r="D758" t="str">
        <f>"24"</f>
        <v>24</v>
      </c>
      <c r="E758" t="str">
        <f>"1-42-24"</f>
        <v>1-42-24</v>
      </c>
      <c r="F758" t="s">
        <v>15</v>
      </c>
      <c r="G758" t="s">
        <v>20</v>
      </c>
      <c r="H758" t="s">
        <v>21</v>
      </c>
      <c r="I758">
        <v>1</v>
      </c>
      <c r="J758">
        <v>0</v>
      </c>
      <c r="K758">
        <v>0</v>
      </c>
    </row>
    <row r="759" spans="1:11" x14ac:dyDescent="0.25">
      <c r="A759" t="str">
        <f>"1017"</f>
        <v>1017</v>
      </c>
      <c r="B759" t="str">
        <f t="shared" si="45"/>
        <v>1</v>
      </c>
      <c r="C759" t="str">
        <f t="shared" si="46"/>
        <v>42</v>
      </c>
      <c r="D759" t="str">
        <f>"13"</f>
        <v>13</v>
      </c>
      <c r="E759" t="str">
        <f>"1-42-13"</f>
        <v>1-42-13</v>
      </c>
      <c r="F759" t="s">
        <v>15</v>
      </c>
      <c r="G759" t="s">
        <v>16</v>
      </c>
      <c r="H759" t="s">
        <v>17</v>
      </c>
      <c r="I759">
        <v>1</v>
      </c>
      <c r="J759">
        <v>0</v>
      </c>
      <c r="K759">
        <v>0</v>
      </c>
    </row>
    <row r="760" spans="1:11" x14ac:dyDescent="0.25">
      <c r="A760" t="str">
        <f>"1018"</f>
        <v>1018</v>
      </c>
      <c r="B760" t="str">
        <f t="shared" si="45"/>
        <v>1</v>
      </c>
      <c r="C760" t="str">
        <f t="shared" si="46"/>
        <v>42</v>
      </c>
      <c r="D760" t="str">
        <f>"25"</f>
        <v>25</v>
      </c>
      <c r="E760" t="str">
        <f>"1-42-25"</f>
        <v>1-42-25</v>
      </c>
      <c r="F760" t="s">
        <v>15</v>
      </c>
      <c r="G760" t="s">
        <v>16</v>
      </c>
      <c r="H760" t="s">
        <v>17</v>
      </c>
      <c r="I760">
        <v>1</v>
      </c>
      <c r="J760">
        <v>0</v>
      </c>
      <c r="K760">
        <v>0</v>
      </c>
    </row>
    <row r="761" spans="1:11" x14ac:dyDescent="0.25">
      <c r="A761" t="str">
        <f>"1019"</f>
        <v>1019</v>
      </c>
      <c r="B761" t="str">
        <f t="shared" si="45"/>
        <v>1</v>
      </c>
      <c r="C761" t="str">
        <f t="shared" si="46"/>
        <v>42</v>
      </c>
      <c r="D761" t="str">
        <f>"12"</f>
        <v>12</v>
      </c>
      <c r="E761" t="str">
        <f>"1-42-12"</f>
        <v>1-42-12</v>
      </c>
      <c r="F761" t="s">
        <v>15</v>
      </c>
      <c r="G761" t="s">
        <v>16</v>
      </c>
      <c r="H761" t="s">
        <v>17</v>
      </c>
      <c r="I761">
        <v>1</v>
      </c>
      <c r="J761">
        <v>0</v>
      </c>
      <c r="K761">
        <v>0</v>
      </c>
    </row>
    <row r="762" spans="1:11" x14ac:dyDescent="0.25">
      <c r="A762" t="str">
        <f>"1020"</f>
        <v>1020</v>
      </c>
      <c r="B762" t="str">
        <f t="shared" si="45"/>
        <v>1</v>
      </c>
      <c r="C762" t="str">
        <f t="shared" si="46"/>
        <v>42</v>
      </c>
      <c r="D762" t="str">
        <f>"26"</f>
        <v>26</v>
      </c>
      <c r="E762" t="str">
        <f>"1-42-26"</f>
        <v>1-42-26</v>
      </c>
      <c r="F762" t="s">
        <v>15</v>
      </c>
      <c r="G762" t="s">
        <v>16</v>
      </c>
      <c r="H762" t="s">
        <v>17</v>
      </c>
      <c r="I762">
        <v>0</v>
      </c>
      <c r="J762">
        <v>0</v>
      </c>
      <c r="K762">
        <v>1</v>
      </c>
    </row>
    <row r="763" spans="1:11" x14ac:dyDescent="0.25">
      <c r="A763" t="str">
        <f>"1021"</f>
        <v>1021</v>
      </c>
      <c r="B763" t="str">
        <f t="shared" si="45"/>
        <v>1</v>
      </c>
      <c r="C763" t="str">
        <f t="shared" si="46"/>
        <v>42</v>
      </c>
      <c r="D763" t="str">
        <f>"10"</f>
        <v>10</v>
      </c>
      <c r="E763" t="str">
        <f>"1-42-10"</f>
        <v>1-42-10</v>
      </c>
      <c r="F763" t="s">
        <v>15</v>
      </c>
      <c r="G763" t="s">
        <v>20</v>
      </c>
      <c r="H763" t="s">
        <v>21</v>
      </c>
      <c r="I763">
        <v>1</v>
      </c>
      <c r="J763">
        <v>0</v>
      </c>
      <c r="K763">
        <v>0</v>
      </c>
    </row>
    <row r="764" spans="1:11" x14ac:dyDescent="0.25">
      <c r="A764" t="str">
        <f>"1022"</f>
        <v>1022</v>
      </c>
      <c r="B764" t="str">
        <f t="shared" si="45"/>
        <v>1</v>
      </c>
      <c r="C764" t="str">
        <f t="shared" si="46"/>
        <v>42</v>
      </c>
      <c r="D764" t="str">
        <f>"27"</f>
        <v>27</v>
      </c>
      <c r="E764" t="str">
        <f>"1-42-27"</f>
        <v>1-42-27</v>
      </c>
      <c r="F764" t="s">
        <v>15</v>
      </c>
      <c r="G764" t="s">
        <v>16</v>
      </c>
      <c r="H764" t="s">
        <v>17</v>
      </c>
      <c r="I764">
        <v>0</v>
      </c>
      <c r="J764">
        <v>1</v>
      </c>
      <c r="K764">
        <v>0</v>
      </c>
    </row>
    <row r="765" spans="1:11" x14ac:dyDescent="0.25">
      <c r="A765" t="str">
        <f>"1023"</f>
        <v>1023</v>
      </c>
      <c r="B765" t="str">
        <f t="shared" si="45"/>
        <v>1</v>
      </c>
      <c r="C765" t="str">
        <f t="shared" si="46"/>
        <v>42</v>
      </c>
      <c r="D765" t="str">
        <f>"4"</f>
        <v>4</v>
      </c>
      <c r="E765" t="str">
        <f>"1-42-4"</f>
        <v>1-42-4</v>
      </c>
      <c r="F765" t="s">
        <v>15</v>
      </c>
      <c r="G765" t="s">
        <v>16</v>
      </c>
      <c r="H765" t="s">
        <v>17</v>
      </c>
      <c r="I765">
        <v>0</v>
      </c>
      <c r="J765">
        <v>1</v>
      </c>
      <c r="K765">
        <v>0</v>
      </c>
    </row>
    <row r="766" spans="1:11" x14ac:dyDescent="0.25">
      <c r="A766" t="str">
        <f>"1024"</f>
        <v>1024</v>
      </c>
      <c r="B766" t="str">
        <f t="shared" si="45"/>
        <v>1</v>
      </c>
      <c r="C766" t="str">
        <f t="shared" si="46"/>
        <v>42</v>
      </c>
      <c r="D766" t="str">
        <f>"28"</f>
        <v>28</v>
      </c>
      <c r="E766" t="str">
        <f>"1-42-28"</f>
        <v>1-42-28</v>
      </c>
      <c r="F766" t="s">
        <v>15</v>
      </c>
      <c r="G766" t="s">
        <v>20</v>
      </c>
      <c r="H766" t="s">
        <v>21</v>
      </c>
      <c r="I766">
        <v>0</v>
      </c>
      <c r="J766">
        <v>0</v>
      </c>
      <c r="K766">
        <v>1</v>
      </c>
    </row>
    <row r="767" spans="1:11" x14ac:dyDescent="0.25">
      <c r="A767" t="str">
        <f>"1025"</f>
        <v>1025</v>
      </c>
      <c r="B767" t="str">
        <f t="shared" si="45"/>
        <v>1</v>
      </c>
      <c r="C767" t="str">
        <f t="shared" si="46"/>
        <v>42</v>
      </c>
      <c r="D767" t="str">
        <f>"3"</f>
        <v>3</v>
      </c>
      <c r="E767" t="str">
        <f>"1-42-3"</f>
        <v>1-42-3</v>
      </c>
      <c r="F767" t="s">
        <v>15</v>
      </c>
      <c r="G767" t="s">
        <v>18</v>
      </c>
      <c r="H767" t="s">
        <v>19</v>
      </c>
      <c r="I767">
        <v>0</v>
      </c>
      <c r="J767">
        <v>0</v>
      </c>
      <c r="K767">
        <v>1</v>
      </c>
    </row>
    <row r="768" spans="1:11" x14ac:dyDescent="0.25">
      <c r="A768" t="str">
        <f>"1026"</f>
        <v>1026</v>
      </c>
      <c r="B768" t="str">
        <f t="shared" si="45"/>
        <v>1</v>
      </c>
      <c r="C768" t="str">
        <f t="shared" si="46"/>
        <v>42</v>
      </c>
      <c r="D768" t="str">
        <f>"29"</f>
        <v>29</v>
      </c>
      <c r="E768" t="str">
        <f>"1-42-29"</f>
        <v>1-42-29</v>
      </c>
      <c r="F768" t="s">
        <v>15</v>
      </c>
      <c r="G768" t="s">
        <v>18</v>
      </c>
      <c r="H768" t="s">
        <v>19</v>
      </c>
      <c r="I768">
        <v>1</v>
      </c>
      <c r="J768">
        <v>0</v>
      </c>
      <c r="K768">
        <v>0</v>
      </c>
    </row>
    <row r="769" spans="1:11" x14ac:dyDescent="0.25">
      <c r="A769" t="str">
        <f>"1027"</f>
        <v>1027</v>
      </c>
      <c r="B769" t="str">
        <f t="shared" si="45"/>
        <v>1</v>
      </c>
      <c r="C769" t="str">
        <f t="shared" si="46"/>
        <v>42</v>
      </c>
      <c r="D769" t="str">
        <f>"9"</f>
        <v>9</v>
      </c>
      <c r="E769" t="str">
        <f>"1-42-9"</f>
        <v>1-42-9</v>
      </c>
      <c r="F769" t="s">
        <v>15</v>
      </c>
      <c r="G769" t="s">
        <v>20</v>
      </c>
      <c r="H769" t="s">
        <v>21</v>
      </c>
      <c r="I769">
        <v>1</v>
      </c>
      <c r="J769">
        <v>0</v>
      </c>
      <c r="K769">
        <v>0</v>
      </c>
    </row>
    <row r="770" spans="1:11" x14ac:dyDescent="0.25">
      <c r="A770" t="str">
        <f>"1028"</f>
        <v>1028</v>
      </c>
      <c r="B770" t="str">
        <f t="shared" si="45"/>
        <v>1</v>
      </c>
      <c r="C770" t="str">
        <f t="shared" si="46"/>
        <v>42</v>
      </c>
      <c r="D770" t="str">
        <f>"14"</f>
        <v>14</v>
      </c>
      <c r="E770" t="str">
        <f>"1-42-14"</f>
        <v>1-42-14</v>
      </c>
      <c r="F770" t="s">
        <v>15</v>
      </c>
      <c r="G770" t="s">
        <v>16</v>
      </c>
      <c r="H770" t="s">
        <v>17</v>
      </c>
      <c r="I770">
        <v>1</v>
      </c>
      <c r="J770">
        <v>0</v>
      </c>
      <c r="K770">
        <v>0</v>
      </c>
    </row>
    <row r="771" spans="1:11" x14ac:dyDescent="0.25">
      <c r="A771" t="str">
        <f>"1029"</f>
        <v>1029</v>
      </c>
      <c r="B771" t="str">
        <f t="shared" si="45"/>
        <v>1</v>
      </c>
      <c r="C771" t="str">
        <f t="shared" si="46"/>
        <v>42</v>
      </c>
      <c r="D771" t="str">
        <f>"18"</f>
        <v>18</v>
      </c>
      <c r="E771" t="str">
        <f>"1-42-18"</f>
        <v>1-42-18</v>
      </c>
      <c r="F771" t="s">
        <v>15</v>
      </c>
      <c r="G771" t="s">
        <v>16</v>
      </c>
      <c r="H771" t="s">
        <v>17</v>
      </c>
      <c r="I771">
        <v>0</v>
      </c>
      <c r="J771">
        <v>0</v>
      </c>
      <c r="K771">
        <v>0</v>
      </c>
    </row>
    <row r="772" spans="1:11" x14ac:dyDescent="0.25">
      <c r="A772" t="str">
        <f>"1030"</f>
        <v>1030</v>
      </c>
      <c r="B772" t="str">
        <f t="shared" si="45"/>
        <v>1</v>
      </c>
      <c r="C772" t="str">
        <f t="shared" ref="C772:C796" si="47">"43"</f>
        <v>43</v>
      </c>
      <c r="D772" t="str">
        <f>"24"</f>
        <v>24</v>
      </c>
      <c r="E772" t="str">
        <f>"1-43-24"</f>
        <v>1-43-24</v>
      </c>
      <c r="F772" t="s">
        <v>15</v>
      </c>
      <c r="G772" t="s">
        <v>16</v>
      </c>
      <c r="H772" t="s">
        <v>17</v>
      </c>
      <c r="I772">
        <v>0</v>
      </c>
      <c r="J772">
        <v>0</v>
      </c>
      <c r="K772">
        <v>1</v>
      </c>
    </row>
    <row r="773" spans="1:11" x14ac:dyDescent="0.25">
      <c r="A773" t="str">
        <f>"1031"</f>
        <v>1031</v>
      </c>
      <c r="B773" t="str">
        <f t="shared" si="45"/>
        <v>1</v>
      </c>
      <c r="C773" t="str">
        <f t="shared" si="47"/>
        <v>43</v>
      </c>
      <c r="D773" t="str">
        <f>"15"</f>
        <v>15</v>
      </c>
      <c r="E773" t="str">
        <f>"1-43-15"</f>
        <v>1-43-15</v>
      </c>
      <c r="F773" t="s">
        <v>15</v>
      </c>
      <c r="G773" t="s">
        <v>18</v>
      </c>
      <c r="H773" t="s">
        <v>19</v>
      </c>
      <c r="I773">
        <v>0</v>
      </c>
      <c r="J773">
        <v>1</v>
      </c>
      <c r="K773">
        <v>0</v>
      </c>
    </row>
    <row r="774" spans="1:11" x14ac:dyDescent="0.25">
      <c r="A774" t="str">
        <f>"1032"</f>
        <v>1032</v>
      </c>
      <c r="B774" t="str">
        <f t="shared" si="45"/>
        <v>1</v>
      </c>
      <c r="C774" t="str">
        <f t="shared" si="47"/>
        <v>43</v>
      </c>
      <c r="D774" t="str">
        <f>"2"</f>
        <v>2</v>
      </c>
      <c r="E774" t="str">
        <f>"1-43-2"</f>
        <v>1-43-2</v>
      </c>
      <c r="F774" t="s">
        <v>15</v>
      </c>
      <c r="G774" t="s">
        <v>16</v>
      </c>
      <c r="H774" t="s">
        <v>17</v>
      </c>
      <c r="I774">
        <v>0</v>
      </c>
      <c r="J774">
        <v>0</v>
      </c>
      <c r="K774">
        <v>1</v>
      </c>
    </row>
    <row r="775" spans="1:11" x14ac:dyDescent="0.25">
      <c r="A775" t="str">
        <f>"1033"</f>
        <v>1033</v>
      </c>
      <c r="B775" t="str">
        <f t="shared" si="45"/>
        <v>1</v>
      </c>
      <c r="C775" t="str">
        <f t="shared" si="47"/>
        <v>43</v>
      </c>
      <c r="D775" t="str">
        <f>"23"</f>
        <v>23</v>
      </c>
      <c r="E775" t="str">
        <f>"1-43-23"</f>
        <v>1-43-23</v>
      </c>
      <c r="F775" t="s">
        <v>15</v>
      </c>
      <c r="G775" t="s">
        <v>18</v>
      </c>
      <c r="H775" t="s">
        <v>19</v>
      </c>
      <c r="I775">
        <v>1</v>
      </c>
      <c r="J775">
        <v>0</v>
      </c>
      <c r="K775">
        <v>0</v>
      </c>
    </row>
    <row r="776" spans="1:11" x14ac:dyDescent="0.25">
      <c r="A776" t="str">
        <f>"1034"</f>
        <v>1034</v>
      </c>
      <c r="B776" t="str">
        <f t="shared" si="45"/>
        <v>1</v>
      </c>
      <c r="C776" t="str">
        <f t="shared" si="47"/>
        <v>43</v>
      </c>
      <c r="D776" t="str">
        <f>"16"</f>
        <v>16</v>
      </c>
      <c r="E776" t="str">
        <f>"1-43-16"</f>
        <v>1-43-16</v>
      </c>
      <c r="F776" t="s">
        <v>15</v>
      </c>
      <c r="G776" t="s">
        <v>16</v>
      </c>
      <c r="H776" t="s">
        <v>17</v>
      </c>
      <c r="I776">
        <v>1</v>
      </c>
      <c r="J776">
        <v>0</v>
      </c>
      <c r="K776">
        <v>0</v>
      </c>
    </row>
    <row r="777" spans="1:11" x14ac:dyDescent="0.25">
      <c r="A777" t="str">
        <f>"1035"</f>
        <v>1035</v>
      </c>
      <c r="B777" t="str">
        <f t="shared" si="45"/>
        <v>1</v>
      </c>
      <c r="C777" t="str">
        <f t="shared" si="47"/>
        <v>43</v>
      </c>
      <c r="D777" t="str">
        <f>"3"</f>
        <v>3</v>
      </c>
      <c r="E777" t="str">
        <f>"1-43-3"</f>
        <v>1-43-3</v>
      </c>
      <c r="F777" t="s">
        <v>15</v>
      </c>
      <c r="G777" t="s">
        <v>18</v>
      </c>
      <c r="H777" t="s">
        <v>19</v>
      </c>
      <c r="I777">
        <v>0</v>
      </c>
      <c r="J777">
        <v>0</v>
      </c>
      <c r="K777">
        <v>1</v>
      </c>
    </row>
    <row r="778" spans="1:11" x14ac:dyDescent="0.25">
      <c r="A778" t="str">
        <f>"1036"</f>
        <v>1036</v>
      </c>
      <c r="B778" t="str">
        <f t="shared" si="45"/>
        <v>1</v>
      </c>
      <c r="C778" t="str">
        <f t="shared" si="47"/>
        <v>43</v>
      </c>
      <c r="D778" t="str">
        <f>"17"</f>
        <v>17</v>
      </c>
      <c r="E778" t="str">
        <f>"1-43-17"</f>
        <v>1-43-17</v>
      </c>
      <c r="F778" t="s">
        <v>15</v>
      </c>
      <c r="G778" t="s">
        <v>18</v>
      </c>
      <c r="H778" t="s">
        <v>19</v>
      </c>
      <c r="I778">
        <v>1</v>
      </c>
      <c r="J778">
        <v>0</v>
      </c>
      <c r="K778">
        <v>0</v>
      </c>
    </row>
    <row r="779" spans="1:11" x14ac:dyDescent="0.25">
      <c r="A779" t="str">
        <f>"1037"</f>
        <v>1037</v>
      </c>
      <c r="B779" t="str">
        <f t="shared" si="45"/>
        <v>1</v>
      </c>
      <c r="C779" t="str">
        <f t="shared" si="47"/>
        <v>43</v>
      </c>
      <c r="D779" t="str">
        <f>"7"</f>
        <v>7</v>
      </c>
      <c r="E779" t="str">
        <f>"1-43-7"</f>
        <v>1-43-7</v>
      </c>
      <c r="F779" t="s">
        <v>15</v>
      </c>
      <c r="G779" t="s">
        <v>16</v>
      </c>
      <c r="H779" t="s">
        <v>17</v>
      </c>
      <c r="I779">
        <v>0</v>
      </c>
      <c r="J779">
        <v>1</v>
      </c>
      <c r="K779">
        <v>0</v>
      </c>
    </row>
    <row r="780" spans="1:11" x14ac:dyDescent="0.25">
      <c r="A780" t="str">
        <f>"1038"</f>
        <v>1038</v>
      </c>
      <c r="B780" t="str">
        <f t="shared" si="45"/>
        <v>1</v>
      </c>
      <c r="C780" t="str">
        <f t="shared" si="47"/>
        <v>43</v>
      </c>
      <c r="D780" t="str">
        <f>"18"</f>
        <v>18</v>
      </c>
      <c r="E780" t="str">
        <f>"1-43-18"</f>
        <v>1-43-18</v>
      </c>
      <c r="F780" t="s">
        <v>15</v>
      </c>
      <c r="G780" t="s">
        <v>18</v>
      </c>
      <c r="H780" t="s">
        <v>19</v>
      </c>
      <c r="I780">
        <v>1</v>
      </c>
      <c r="J780">
        <v>0</v>
      </c>
      <c r="K780">
        <v>0</v>
      </c>
    </row>
    <row r="781" spans="1:11" x14ac:dyDescent="0.25">
      <c r="A781" t="str">
        <f>"1039"</f>
        <v>1039</v>
      </c>
      <c r="B781" t="str">
        <f t="shared" si="45"/>
        <v>1</v>
      </c>
      <c r="C781" t="str">
        <f t="shared" si="47"/>
        <v>43</v>
      </c>
      <c r="D781" t="str">
        <f>"19"</f>
        <v>19</v>
      </c>
      <c r="E781" t="str">
        <f>"1-43-19"</f>
        <v>1-43-19</v>
      </c>
      <c r="F781" t="s">
        <v>15</v>
      </c>
      <c r="G781" t="s">
        <v>18</v>
      </c>
      <c r="H781" t="s">
        <v>19</v>
      </c>
      <c r="I781">
        <v>1</v>
      </c>
      <c r="J781">
        <v>0</v>
      </c>
      <c r="K781">
        <v>0</v>
      </c>
    </row>
    <row r="782" spans="1:11" x14ac:dyDescent="0.25">
      <c r="A782" t="str">
        <f>"1040"</f>
        <v>1040</v>
      </c>
      <c r="B782" t="str">
        <f t="shared" si="45"/>
        <v>1</v>
      </c>
      <c r="C782" t="str">
        <f t="shared" si="47"/>
        <v>43</v>
      </c>
      <c r="D782" t="str">
        <f>"6"</f>
        <v>6</v>
      </c>
      <c r="E782" t="str">
        <f>"1-43-6"</f>
        <v>1-43-6</v>
      </c>
      <c r="F782" t="s">
        <v>15</v>
      </c>
      <c r="G782" t="s">
        <v>18</v>
      </c>
      <c r="H782" t="s">
        <v>19</v>
      </c>
      <c r="I782">
        <v>1</v>
      </c>
      <c r="J782">
        <v>0</v>
      </c>
      <c r="K782">
        <v>0</v>
      </c>
    </row>
    <row r="783" spans="1:11" x14ac:dyDescent="0.25">
      <c r="A783" t="str">
        <f>"1041"</f>
        <v>1041</v>
      </c>
      <c r="B783" t="str">
        <f t="shared" si="45"/>
        <v>1</v>
      </c>
      <c r="C783" t="str">
        <f t="shared" si="47"/>
        <v>43</v>
      </c>
      <c r="D783" t="str">
        <f>"9"</f>
        <v>9</v>
      </c>
      <c r="E783" t="str">
        <f>"1-43-9"</f>
        <v>1-43-9</v>
      </c>
      <c r="F783" t="s">
        <v>15</v>
      </c>
      <c r="G783" t="s">
        <v>18</v>
      </c>
      <c r="H783" t="s">
        <v>19</v>
      </c>
      <c r="I783">
        <v>1</v>
      </c>
      <c r="J783">
        <v>0</v>
      </c>
      <c r="K783">
        <v>0</v>
      </c>
    </row>
    <row r="784" spans="1:11" x14ac:dyDescent="0.25">
      <c r="A784" t="str">
        <f>"1042"</f>
        <v>1042</v>
      </c>
      <c r="B784" t="str">
        <f t="shared" si="45"/>
        <v>1</v>
      </c>
      <c r="C784" t="str">
        <f t="shared" si="47"/>
        <v>43</v>
      </c>
      <c r="D784" t="str">
        <f>"21"</f>
        <v>21</v>
      </c>
      <c r="E784" t="str">
        <f>"1-43-21"</f>
        <v>1-43-21</v>
      </c>
      <c r="F784" t="s">
        <v>15</v>
      </c>
      <c r="G784" t="s">
        <v>16</v>
      </c>
      <c r="H784" t="s">
        <v>17</v>
      </c>
      <c r="I784">
        <v>1</v>
      </c>
      <c r="J784">
        <v>0</v>
      </c>
      <c r="K784">
        <v>0</v>
      </c>
    </row>
    <row r="785" spans="1:11" x14ac:dyDescent="0.25">
      <c r="A785" t="str">
        <f>"1043"</f>
        <v>1043</v>
      </c>
      <c r="B785" t="str">
        <f t="shared" si="45"/>
        <v>1</v>
      </c>
      <c r="C785" t="str">
        <f t="shared" si="47"/>
        <v>43</v>
      </c>
      <c r="D785" t="str">
        <f>"13"</f>
        <v>13</v>
      </c>
      <c r="E785" t="str">
        <f>"1-43-13"</f>
        <v>1-43-13</v>
      </c>
      <c r="F785" t="s">
        <v>15</v>
      </c>
      <c r="G785" t="s">
        <v>18</v>
      </c>
      <c r="H785" t="s">
        <v>19</v>
      </c>
      <c r="I785">
        <v>0</v>
      </c>
      <c r="J785">
        <v>1</v>
      </c>
      <c r="K785">
        <v>0</v>
      </c>
    </row>
    <row r="786" spans="1:11" x14ac:dyDescent="0.25">
      <c r="A786" t="str">
        <f>"1044"</f>
        <v>1044</v>
      </c>
      <c r="B786" t="str">
        <f t="shared" si="45"/>
        <v>1</v>
      </c>
      <c r="C786" t="str">
        <f t="shared" si="47"/>
        <v>43</v>
      </c>
      <c r="D786" t="str">
        <f>"22"</f>
        <v>22</v>
      </c>
      <c r="E786" t="str">
        <f>"1-43-22"</f>
        <v>1-43-22</v>
      </c>
      <c r="F786" t="s">
        <v>15</v>
      </c>
      <c r="G786" t="s">
        <v>16</v>
      </c>
      <c r="H786" t="s">
        <v>17</v>
      </c>
      <c r="I786">
        <v>0</v>
      </c>
      <c r="J786">
        <v>0</v>
      </c>
      <c r="K786">
        <v>1</v>
      </c>
    </row>
    <row r="787" spans="1:11" x14ac:dyDescent="0.25">
      <c r="A787" t="str">
        <f>"1045"</f>
        <v>1045</v>
      </c>
      <c r="B787" t="str">
        <f t="shared" si="45"/>
        <v>1</v>
      </c>
      <c r="C787" t="str">
        <f t="shared" si="47"/>
        <v>43</v>
      </c>
      <c r="D787" t="str">
        <f>"11"</f>
        <v>11</v>
      </c>
      <c r="E787" t="str">
        <f>"1-43-11"</f>
        <v>1-43-11</v>
      </c>
      <c r="F787" t="s">
        <v>15</v>
      </c>
      <c r="G787" t="s">
        <v>18</v>
      </c>
      <c r="H787" t="s">
        <v>19</v>
      </c>
      <c r="I787">
        <v>1</v>
      </c>
      <c r="J787">
        <v>0</v>
      </c>
      <c r="K787">
        <v>0</v>
      </c>
    </row>
    <row r="788" spans="1:11" x14ac:dyDescent="0.25">
      <c r="A788" t="str">
        <f>"1046"</f>
        <v>1046</v>
      </c>
      <c r="B788" t="str">
        <f t="shared" si="45"/>
        <v>1</v>
      </c>
      <c r="C788" t="str">
        <f t="shared" si="47"/>
        <v>43</v>
      </c>
      <c r="D788" t="str">
        <f>"25"</f>
        <v>25</v>
      </c>
      <c r="E788" t="str">
        <f>"1-43-25"</f>
        <v>1-43-25</v>
      </c>
      <c r="F788" t="s">
        <v>15</v>
      </c>
      <c r="G788" t="s">
        <v>18</v>
      </c>
      <c r="H788" t="s">
        <v>19</v>
      </c>
      <c r="I788">
        <v>0</v>
      </c>
      <c r="J788">
        <v>1</v>
      </c>
      <c r="K788">
        <v>0</v>
      </c>
    </row>
    <row r="789" spans="1:11" x14ac:dyDescent="0.25">
      <c r="A789" t="str">
        <f>"1047"</f>
        <v>1047</v>
      </c>
      <c r="B789" t="str">
        <f t="shared" si="45"/>
        <v>1</v>
      </c>
      <c r="C789" t="str">
        <f t="shared" si="47"/>
        <v>43</v>
      </c>
      <c r="D789" t="str">
        <f>"5"</f>
        <v>5</v>
      </c>
      <c r="E789" t="str">
        <f>"1-43-5"</f>
        <v>1-43-5</v>
      </c>
      <c r="F789" t="s">
        <v>15</v>
      </c>
      <c r="G789" t="s">
        <v>16</v>
      </c>
      <c r="H789" t="s">
        <v>17</v>
      </c>
      <c r="I789">
        <v>0</v>
      </c>
      <c r="J789">
        <v>1</v>
      </c>
      <c r="K789">
        <v>0</v>
      </c>
    </row>
    <row r="790" spans="1:11" x14ac:dyDescent="0.25">
      <c r="A790" t="str">
        <f>"1048"</f>
        <v>1048</v>
      </c>
      <c r="B790" t="str">
        <f t="shared" si="45"/>
        <v>1</v>
      </c>
      <c r="C790" t="str">
        <f t="shared" si="47"/>
        <v>43</v>
      </c>
      <c r="D790" t="str">
        <f>"1"</f>
        <v>1</v>
      </c>
      <c r="E790" t="str">
        <f>"1-43-1"</f>
        <v>1-43-1</v>
      </c>
      <c r="F790" t="s">
        <v>15</v>
      </c>
      <c r="G790" t="s">
        <v>18</v>
      </c>
      <c r="H790" t="s">
        <v>19</v>
      </c>
      <c r="I790">
        <v>0</v>
      </c>
      <c r="J790">
        <v>1</v>
      </c>
      <c r="K790">
        <v>0</v>
      </c>
    </row>
    <row r="791" spans="1:11" x14ac:dyDescent="0.25">
      <c r="A791" t="str">
        <f>"1049"</f>
        <v>1049</v>
      </c>
      <c r="B791" t="str">
        <f t="shared" si="45"/>
        <v>1</v>
      </c>
      <c r="C791" t="str">
        <f t="shared" si="47"/>
        <v>43</v>
      </c>
      <c r="D791" t="str">
        <f>"10"</f>
        <v>10</v>
      </c>
      <c r="E791" t="str">
        <f>"1-43-10"</f>
        <v>1-43-10</v>
      </c>
      <c r="F791" t="s">
        <v>15</v>
      </c>
      <c r="G791" t="s">
        <v>16</v>
      </c>
      <c r="H791" t="s">
        <v>17</v>
      </c>
      <c r="I791">
        <v>0</v>
      </c>
      <c r="J791">
        <v>0</v>
      </c>
      <c r="K791">
        <v>1</v>
      </c>
    </row>
    <row r="792" spans="1:11" x14ac:dyDescent="0.25">
      <c r="A792" t="str">
        <f>"1050"</f>
        <v>1050</v>
      </c>
      <c r="B792" t="str">
        <f t="shared" ref="B792:B828" si="48">"1"</f>
        <v>1</v>
      </c>
      <c r="C792" t="str">
        <f t="shared" si="47"/>
        <v>43</v>
      </c>
      <c r="D792" t="str">
        <f>"12"</f>
        <v>12</v>
      </c>
      <c r="E792" t="str">
        <f>"1-43-12"</f>
        <v>1-43-12</v>
      </c>
      <c r="F792" t="s">
        <v>15</v>
      </c>
      <c r="G792" t="s">
        <v>16</v>
      </c>
      <c r="H792" t="s">
        <v>17</v>
      </c>
      <c r="I792">
        <v>0</v>
      </c>
      <c r="J792">
        <v>0</v>
      </c>
      <c r="K792">
        <v>1</v>
      </c>
    </row>
    <row r="793" spans="1:11" x14ac:dyDescent="0.25">
      <c r="A793" t="str">
        <f>"1051"</f>
        <v>1051</v>
      </c>
      <c r="B793" t="str">
        <f t="shared" si="48"/>
        <v>1</v>
      </c>
      <c r="C793" t="str">
        <f t="shared" si="47"/>
        <v>43</v>
      </c>
      <c r="D793" t="str">
        <f>"14"</f>
        <v>14</v>
      </c>
      <c r="E793" t="str">
        <f>"1-43-14"</f>
        <v>1-43-14</v>
      </c>
      <c r="F793" t="s">
        <v>15</v>
      </c>
      <c r="G793" t="s">
        <v>18</v>
      </c>
      <c r="H793" t="s">
        <v>19</v>
      </c>
      <c r="I793">
        <v>1</v>
      </c>
      <c r="J793">
        <v>0</v>
      </c>
      <c r="K793">
        <v>0</v>
      </c>
    </row>
    <row r="794" spans="1:11" x14ac:dyDescent="0.25">
      <c r="A794" t="str">
        <f>"1052"</f>
        <v>1052</v>
      </c>
      <c r="B794" t="str">
        <f t="shared" si="48"/>
        <v>1</v>
      </c>
      <c r="C794" t="str">
        <f t="shared" si="47"/>
        <v>43</v>
      </c>
      <c r="D794" t="str">
        <f>"4"</f>
        <v>4</v>
      </c>
      <c r="E794" t="str">
        <f>"1-43-4"</f>
        <v>1-43-4</v>
      </c>
      <c r="F794" t="s">
        <v>15</v>
      </c>
      <c r="G794" t="s">
        <v>16</v>
      </c>
      <c r="H794" t="s">
        <v>17</v>
      </c>
      <c r="I794">
        <v>0</v>
      </c>
      <c r="J794">
        <v>0</v>
      </c>
      <c r="K794">
        <v>1</v>
      </c>
    </row>
    <row r="795" spans="1:11" x14ac:dyDescent="0.25">
      <c r="A795" t="str">
        <f>"1053"</f>
        <v>1053</v>
      </c>
      <c r="B795" t="str">
        <f t="shared" si="48"/>
        <v>1</v>
      </c>
      <c r="C795" t="str">
        <f t="shared" si="47"/>
        <v>43</v>
      </c>
      <c r="D795" t="str">
        <f>"8"</f>
        <v>8</v>
      </c>
      <c r="E795" t="str">
        <f>"1-43-8"</f>
        <v>1-43-8</v>
      </c>
      <c r="F795" t="s">
        <v>15</v>
      </c>
      <c r="G795" t="s">
        <v>16</v>
      </c>
      <c r="H795" t="s">
        <v>17</v>
      </c>
      <c r="I795">
        <v>0</v>
      </c>
      <c r="J795">
        <v>0</v>
      </c>
      <c r="K795">
        <v>0</v>
      </c>
    </row>
    <row r="796" spans="1:11" x14ac:dyDescent="0.25">
      <c r="A796" t="str">
        <f>"1054"</f>
        <v>1054</v>
      </c>
      <c r="B796" t="str">
        <f t="shared" si="48"/>
        <v>1</v>
      </c>
      <c r="C796" t="str">
        <f t="shared" si="47"/>
        <v>43</v>
      </c>
      <c r="D796" t="str">
        <f>"20"</f>
        <v>20</v>
      </c>
      <c r="E796" t="str">
        <f>"1-43-20"</f>
        <v>1-43-20</v>
      </c>
      <c r="F796" t="s">
        <v>15</v>
      </c>
      <c r="G796" t="s">
        <v>18</v>
      </c>
      <c r="H796" t="s">
        <v>19</v>
      </c>
      <c r="I796">
        <v>0</v>
      </c>
      <c r="J796">
        <v>0</v>
      </c>
      <c r="K796">
        <v>0</v>
      </c>
    </row>
    <row r="797" spans="1:11" x14ac:dyDescent="0.25">
      <c r="A797" t="str">
        <f>"1082"</f>
        <v>1082</v>
      </c>
      <c r="B797" t="str">
        <f t="shared" si="48"/>
        <v>1</v>
      </c>
      <c r="C797" t="str">
        <f t="shared" ref="C797:C822" si="49">"45"</f>
        <v>45</v>
      </c>
      <c r="D797" t="str">
        <f>"21"</f>
        <v>21</v>
      </c>
      <c r="E797" t="str">
        <f>"1-45-21"</f>
        <v>1-45-21</v>
      </c>
      <c r="F797" t="s">
        <v>15</v>
      </c>
      <c r="G797" t="s">
        <v>18</v>
      </c>
      <c r="H797" t="s">
        <v>19</v>
      </c>
      <c r="I797">
        <v>0</v>
      </c>
      <c r="J797">
        <v>1</v>
      </c>
      <c r="K797">
        <v>0</v>
      </c>
    </row>
    <row r="798" spans="1:11" x14ac:dyDescent="0.25">
      <c r="A798" t="str">
        <f>"1083"</f>
        <v>1083</v>
      </c>
      <c r="B798" t="str">
        <f t="shared" si="48"/>
        <v>1</v>
      </c>
      <c r="C798" t="str">
        <f t="shared" si="49"/>
        <v>45</v>
      </c>
      <c r="D798" t="str">
        <f>"15"</f>
        <v>15</v>
      </c>
      <c r="E798" t="str">
        <f>"1-45-15"</f>
        <v>1-45-15</v>
      </c>
      <c r="F798" t="s">
        <v>15</v>
      </c>
      <c r="G798" t="s">
        <v>20</v>
      </c>
      <c r="H798" t="s">
        <v>21</v>
      </c>
      <c r="I798">
        <v>1</v>
      </c>
      <c r="J798">
        <v>0</v>
      </c>
      <c r="K798">
        <v>0</v>
      </c>
    </row>
    <row r="799" spans="1:11" x14ac:dyDescent="0.25">
      <c r="A799" t="str">
        <f>"1084"</f>
        <v>1084</v>
      </c>
      <c r="B799" t="str">
        <f t="shared" si="48"/>
        <v>1</v>
      </c>
      <c r="C799" t="str">
        <f t="shared" si="49"/>
        <v>45</v>
      </c>
      <c r="D799" t="str">
        <f>"5"</f>
        <v>5</v>
      </c>
      <c r="E799" t="str">
        <f>"1-45-5"</f>
        <v>1-45-5</v>
      </c>
      <c r="F799" t="s">
        <v>15</v>
      </c>
      <c r="G799" t="s">
        <v>16</v>
      </c>
      <c r="H799" t="s">
        <v>17</v>
      </c>
      <c r="I799">
        <v>0</v>
      </c>
      <c r="J799">
        <v>0</v>
      </c>
      <c r="K799">
        <v>1</v>
      </c>
    </row>
    <row r="800" spans="1:11" x14ac:dyDescent="0.25">
      <c r="A800" t="str">
        <f>"1085"</f>
        <v>1085</v>
      </c>
      <c r="B800" t="str">
        <f t="shared" si="48"/>
        <v>1</v>
      </c>
      <c r="C800" t="str">
        <f t="shared" si="49"/>
        <v>45</v>
      </c>
      <c r="D800" t="str">
        <f>"17"</f>
        <v>17</v>
      </c>
      <c r="E800" t="str">
        <f>"1-45-17"</f>
        <v>1-45-17</v>
      </c>
      <c r="F800" t="s">
        <v>15</v>
      </c>
      <c r="G800" t="s">
        <v>18</v>
      </c>
      <c r="H800" t="s">
        <v>19</v>
      </c>
      <c r="I800">
        <v>0</v>
      </c>
      <c r="J800">
        <v>1</v>
      </c>
      <c r="K800">
        <v>0</v>
      </c>
    </row>
    <row r="801" spans="1:11" x14ac:dyDescent="0.25">
      <c r="A801" t="str">
        <f>"1086"</f>
        <v>1086</v>
      </c>
      <c r="B801" t="str">
        <f t="shared" si="48"/>
        <v>1</v>
      </c>
      <c r="C801" t="str">
        <f t="shared" si="49"/>
        <v>45</v>
      </c>
      <c r="D801" t="str">
        <f>"16"</f>
        <v>16</v>
      </c>
      <c r="E801" t="str">
        <f>"1-45-16"</f>
        <v>1-45-16</v>
      </c>
      <c r="F801" t="s">
        <v>15</v>
      </c>
      <c r="G801" t="s">
        <v>20</v>
      </c>
      <c r="H801" t="s">
        <v>21</v>
      </c>
      <c r="I801">
        <v>1</v>
      </c>
      <c r="J801">
        <v>0</v>
      </c>
      <c r="K801">
        <v>0</v>
      </c>
    </row>
    <row r="802" spans="1:11" x14ac:dyDescent="0.25">
      <c r="A802" t="str">
        <f>"1087"</f>
        <v>1087</v>
      </c>
      <c r="B802" t="str">
        <f t="shared" si="48"/>
        <v>1</v>
      </c>
      <c r="C802" t="str">
        <f t="shared" si="49"/>
        <v>45</v>
      </c>
      <c r="D802" t="str">
        <f>"4"</f>
        <v>4</v>
      </c>
      <c r="E802" t="str">
        <f>"1-45-4"</f>
        <v>1-45-4</v>
      </c>
      <c r="F802" t="s">
        <v>15</v>
      </c>
      <c r="G802" t="s">
        <v>16</v>
      </c>
      <c r="H802" t="s">
        <v>17</v>
      </c>
      <c r="I802">
        <v>0</v>
      </c>
      <c r="J802">
        <v>1</v>
      </c>
      <c r="K802">
        <v>0</v>
      </c>
    </row>
    <row r="803" spans="1:11" x14ac:dyDescent="0.25">
      <c r="A803" t="str">
        <f>"1088"</f>
        <v>1088</v>
      </c>
      <c r="B803" t="str">
        <f t="shared" si="48"/>
        <v>1</v>
      </c>
      <c r="C803" t="str">
        <f t="shared" si="49"/>
        <v>45</v>
      </c>
      <c r="D803" t="str">
        <f>"18"</f>
        <v>18</v>
      </c>
      <c r="E803" t="str">
        <f>"1-45-18"</f>
        <v>1-45-18</v>
      </c>
      <c r="F803" t="s">
        <v>15</v>
      </c>
      <c r="G803" t="s">
        <v>18</v>
      </c>
      <c r="H803" t="s">
        <v>19</v>
      </c>
      <c r="I803">
        <v>1</v>
      </c>
      <c r="J803">
        <v>0</v>
      </c>
      <c r="K803">
        <v>0</v>
      </c>
    </row>
    <row r="804" spans="1:11" x14ac:dyDescent="0.25">
      <c r="A804" t="str">
        <f>"1089"</f>
        <v>1089</v>
      </c>
      <c r="B804" t="str">
        <f t="shared" si="48"/>
        <v>1</v>
      </c>
      <c r="C804" t="str">
        <f t="shared" si="49"/>
        <v>45</v>
      </c>
      <c r="D804" t="str">
        <f>"10"</f>
        <v>10</v>
      </c>
      <c r="E804" t="str">
        <f>"1-45-10"</f>
        <v>1-45-10</v>
      </c>
      <c r="F804" t="s">
        <v>15</v>
      </c>
      <c r="G804" t="s">
        <v>16</v>
      </c>
      <c r="H804" t="s">
        <v>17</v>
      </c>
      <c r="I804">
        <v>0</v>
      </c>
      <c r="J804">
        <v>0</v>
      </c>
      <c r="K804">
        <v>1</v>
      </c>
    </row>
    <row r="805" spans="1:11" x14ac:dyDescent="0.25">
      <c r="A805" t="str">
        <f>"1090"</f>
        <v>1090</v>
      </c>
      <c r="B805" t="str">
        <f t="shared" si="48"/>
        <v>1</v>
      </c>
      <c r="C805" t="str">
        <f t="shared" si="49"/>
        <v>45</v>
      </c>
      <c r="D805" t="str">
        <f>"19"</f>
        <v>19</v>
      </c>
      <c r="E805" t="str">
        <f>"1-45-19"</f>
        <v>1-45-19</v>
      </c>
      <c r="F805" t="s">
        <v>15</v>
      </c>
      <c r="G805" t="s">
        <v>18</v>
      </c>
      <c r="H805" t="s">
        <v>19</v>
      </c>
      <c r="I805">
        <v>0</v>
      </c>
      <c r="J805">
        <v>0</v>
      </c>
      <c r="K805">
        <v>1</v>
      </c>
    </row>
    <row r="806" spans="1:11" x14ac:dyDescent="0.25">
      <c r="A806" t="str">
        <f>"1091"</f>
        <v>1091</v>
      </c>
      <c r="B806" t="str">
        <f t="shared" si="48"/>
        <v>1</v>
      </c>
      <c r="C806" t="str">
        <f t="shared" si="49"/>
        <v>45</v>
      </c>
      <c r="D806" t="str">
        <f>"3"</f>
        <v>3</v>
      </c>
      <c r="E806" t="str">
        <f>"1-45-3"</f>
        <v>1-45-3</v>
      </c>
      <c r="F806" t="s">
        <v>15</v>
      </c>
      <c r="G806" t="s">
        <v>16</v>
      </c>
      <c r="H806" t="s">
        <v>17</v>
      </c>
      <c r="I806">
        <v>0</v>
      </c>
      <c r="J806">
        <v>0</v>
      </c>
      <c r="K806">
        <v>1</v>
      </c>
    </row>
    <row r="807" spans="1:11" x14ac:dyDescent="0.25">
      <c r="A807" t="str">
        <f>"1092"</f>
        <v>1092</v>
      </c>
      <c r="B807" t="str">
        <f t="shared" si="48"/>
        <v>1</v>
      </c>
      <c r="C807" t="str">
        <f t="shared" si="49"/>
        <v>45</v>
      </c>
      <c r="D807" t="str">
        <f>"20"</f>
        <v>20</v>
      </c>
      <c r="E807" t="str">
        <f>"1-45-20"</f>
        <v>1-45-20</v>
      </c>
      <c r="F807" t="s">
        <v>15</v>
      </c>
      <c r="G807" t="s">
        <v>18</v>
      </c>
      <c r="H807" t="s">
        <v>19</v>
      </c>
      <c r="I807">
        <v>0</v>
      </c>
      <c r="J807">
        <v>1</v>
      </c>
      <c r="K807">
        <v>0</v>
      </c>
    </row>
    <row r="808" spans="1:11" x14ac:dyDescent="0.25">
      <c r="A808" t="str">
        <f>"1093"</f>
        <v>1093</v>
      </c>
      <c r="B808" t="str">
        <f t="shared" si="48"/>
        <v>1</v>
      </c>
      <c r="C808" t="str">
        <f t="shared" si="49"/>
        <v>45</v>
      </c>
      <c r="D808" t="str">
        <f>"7"</f>
        <v>7</v>
      </c>
      <c r="E808" t="str">
        <f>"1-45-7"</f>
        <v>1-45-7</v>
      </c>
      <c r="F808" t="s">
        <v>15</v>
      </c>
      <c r="G808" t="s">
        <v>16</v>
      </c>
      <c r="H808" t="s">
        <v>17</v>
      </c>
      <c r="I808">
        <v>0</v>
      </c>
      <c r="J808">
        <v>1</v>
      </c>
      <c r="K808">
        <v>0</v>
      </c>
    </row>
    <row r="809" spans="1:11" x14ac:dyDescent="0.25">
      <c r="A809" t="str">
        <f>"1094"</f>
        <v>1094</v>
      </c>
      <c r="B809" t="str">
        <f t="shared" si="48"/>
        <v>1</v>
      </c>
      <c r="C809" t="str">
        <f t="shared" si="49"/>
        <v>45</v>
      </c>
      <c r="D809" t="str">
        <f>"22"</f>
        <v>22</v>
      </c>
      <c r="E809" t="str">
        <f>"1-45-22"</f>
        <v>1-45-22</v>
      </c>
      <c r="F809" t="s">
        <v>15</v>
      </c>
      <c r="G809" t="s">
        <v>20</v>
      </c>
      <c r="H809" t="s">
        <v>21</v>
      </c>
      <c r="I809">
        <v>1</v>
      </c>
      <c r="J809">
        <v>0</v>
      </c>
      <c r="K809">
        <v>0</v>
      </c>
    </row>
    <row r="810" spans="1:11" x14ac:dyDescent="0.25">
      <c r="A810" t="str">
        <f>"1095"</f>
        <v>1095</v>
      </c>
      <c r="B810" t="str">
        <f t="shared" si="48"/>
        <v>1</v>
      </c>
      <c r="C810" t="str">
        <f t="shared" si="49"/>
        <v>45</v>
      </c>
      <c r="D810" t="str">
        <f>"12"</f>
        <v>12</v>
      </c>
      <c r="E810" t="str">
        <f>"1-45-12"</f>
        <v>1-45-12</v>
      </c>
      <c r="F810" t="s">
        <v>15</v>
      </c>
      <c r="G810" t="s">
        <v>16</v>
      </c>
      <c r="H810" t="s">
        <v>17</v>
      </c>
      <c r="I810">
        <v>0</v>
      </c>
      <c r="J810">
        <v>1</v>
      </c>
      <c r="K810">
        <v>0</v>
      </c>
    </row>
    <row r="811" spans="1:11" x14ac:dyDescent="0.25">
      <c r="A811" t="str">
        <f>"1096"</f>
        <v>1096</v>
      </c>
      <c r="B811" t="str">
        <f t="shared" si="48"/>
        <v>1</v>
      </c>
      <c r="C811" t="str">
        <f t="shared" si="49"/>
        <v>45</v>
      </c>
      <c r="D811" t="str">
        <f>"23"</f>
        <v>23</v>
      </c>
      <c r="E811" t="str">
        <f>"1-45-23"</f>
        <v>1-45-23</v>
      </c>
      <c r="F811" t="s">
        <v>15</v>
      </c>
      <c r="G811" t="s">
        <v>18</v>
      </c>
      <c r="H811" t="s">
        <v>19</v>
      </c>
      <c r="I811">
        <v>0</v>
      </c>
      <c r="J811">
        <v>1</v>
      </c>
      <c r="K811">
        <v>0</v>
      </c>
    </row>
    <row r="812" spans="1:11" x14ac:dyDescent="0.25">
      <c r="A812" t="str">
        <f>"1097"</f>
        <v>1097</v>
      </c>
      <c r="B812" t="str">
        <f t="shared" si="48"/>
        <v>1</v>
      </c>
      <c r="C812" t="str">
        <f t="shared" si="49"/>
        <v>45</v>
      </c>
      <c r="D812" t="str">
        <f>"11"</f>
        <v>11</v>
      </c>
      <c r="E812" t="str">
        <f>"1-45-11"</f>
        <v>1-45-11</v>
      </c>
      <c r="F812" t="s">
        <v>15</v>
      </c>
      <c r="G812" t="s">
        <v>16</v>
      </c>
      <c r="H812" t="s">
        <v>17</v>
      </c>
      <c r="I812">
        <v>1</v>
      </c>
      <c r="J812">
        <v>0</v>
      </c>
      <c r="K812">
        <v>0</v>
      </c>
    </row>
    <row r="813" spans="1:11" x14ac:dyDescent="0.25">
      <c r="A813" t="str">
        <f>"1098"</f>
        <v>1098</v>
      </c>
      <c r="B813" t="str">
        <f t="shared" si="48"/>
        <v>1</v>
      </c>
      <c r="C813" t="str">
        <f t="shared" si="49"/>
        <v>45</v>
      </c>
      <c r="D813" t="str">
        <f>"24"</f>
        <v>24</v>
      </c>
      <c r="E813" t="str">
        <f>"1-45-24"</f>
        <v>1-45-24</v>
      </c>
      <c r="F813" t="s">
        <v>15</v>
      </c>
      <c r="G813" t="s">
        <v>18</v>
      </c>
      <c r="H813" t="s">
        <v>19</v>
      </c>
      <c r="I813">
        <v>0</v>
      </c>
      <c r="J813">
        <v>1</v>
      </c>
      <c r="K813">
        <v>0</v>
      </c>
    </row>
    <row r="814" spans="1:11" x14ac:dyDescent="0.25">
      <c r="A814" t="str">
        <f>"1099"</f>
        <v>1099</v>
      </c>
      <c r="B814" t="str">
        <f t="shared" si="48"/>
        <v>1</v>
      </c>
      <c r="C814" t="str">
        <f t="shared" si="49"/>
        <v>45</v>
      </c>
      <c r="D814" t="str">
        <f>"9"</f>
        <v>9</v>
      </c>
      <c r="E814" t="str">
        <f>"1-45-9"</f>
        <v>1-45-9</v>
      </c>
      <c r="F814" t="s">
        <v>15</v>
      </c>
      <c r="G814" t="s">
        <v>16</v>
      </c>
      <c r="H814" t="s">
        <v>17</v>
      </c>
      <c r="I814">
        <v>1</v>
      </c>
      <c r="J814">
        <v>0</v>
      </c>
      <c r="K814">
        <v>0</v>
      </c>
    </row>
    <row r="815" spans="1:11" x14ac:dyDescent="0.25">
      <c r="A815" t="str">
        <f>"1100"</f>
        <v>1100</v>
      </c>
      <c r="B815" t="str">
        <f t="shared" si="48"/>
        <v>1</v>
      </c>
      <c r="C815" t="str">
        <f t="shared" si="49"/>
        <v>45</v>
      </c>
      <c r="D815" t="str">
        <f>"25"</f>
        <v>25</v>
      </c>
      <c r="E815" t="str">
        <f>"1-45-25"</f>
        <v>1-45-25</v>
      </c>
      <c r="F815" t="s">
        <v>15</v>
      </c>
      <c r="G815" t="s">
        <v>18</v>
      </c>
      <c r="H815" t="s">
        <v>19</v>
      </c>
      <c r="I815">
        <v>0</v>
      </c>
      <c r="J815">
        <v>1</v>
      </c>
      <c r="K815">
        <v>0</v>
      </c>
    </row>
    <row r="816" spans="1:11" x14ac:dyDescent="0.25">
      <c r="A816" t="str">
        <f>"1101"</f>
        <v>1101</v>
      </c>
      <c r="B816" t="str">
        <f t="shared" si="48"/>
        <v>1</v>
      </c>
      <c r="C816" t="str">
        <f t="shared" si="49"/>
        <v>45</v>
      </c>
      <c r="D816" t="str">
        <f>"1"</f>
        <v>1</v>
      </c>
      <c r="E816" t="str">
        <f>"1-45-1"</f>
        <v>1-45-1</v>
      </c>
      <c r="F816" t="s">
        <v>15</v>
      </c>
      <c r="G816" t="s">
        <v>18</v>
      </c>
      <c r="H816" t="s">
        <v>19</v>
      </c>
      <c r="I816">
        <v>0</v>
      </c>
      <c r="J816">
        <v>1</v>
      </c>
      <c r="K816">
        <v>0</v>
      </c>
    </row>
    <row r="817" spans="1:11" x14ac:dyDescent="0.25">
      <c r="A817" t="str">
        <f>"1102"</f>
        <v>1102</v>
      </c>
      <c r="B817" t="str">
        <f t="shared" si="48"/>
        <v>1</v>
      </c>
      <c r="C817" t="str">
        <f t="shared" si="49"/>
        <v>45</v>
      </c>
      <c r="D817" t="str">
        <f>"26"</f>
        <v>26</v>
      </c>
      <c r="E817" t="str">
        <f>"1-45-26"</f>
        <v>1-45-26</v>
      </c>
      <c r="F817" t="s">
        <v>15</v>
      </c>
      <c r="G817" t="s">
        <v>16</v>
      </c>
      <c r="H817" t="s">
        <v>17</v>
      </c>
      <c r="I817">
        <v>0</v>
      </c>
      <c r="J817">
        <v>1</v>
      </c>
      <c r="K817">
        <v>0</v>
      </c>
    </row>
    <row r="818" spans="1:11" x14ac:dyDescent="0.25">
      <c r="A818" t="str">
        <f>"1103"</f>
        <v>1103</v>
      </c>
      <c r="B818" t="str">
        <f t="shared" si="48"/>
        <v>1</v>
      </c>
      <c r="C818" t="str">
        <f t="shared" si="49"/>
        <v>45</v>
      </c>
      <c r="D818" t="str">
        <f>"13"</f>
        <v>13</v>
      </c>
      <c r="E818" t="str">
        <f>"1-45-13"</f>
        <v>1-45-13</v>
      </c>
      <c r="F818" t="s">
        <v>15</v>
      </c>
      <c r="G818" t="s">
        <v>16</v>
      </c>
      <c r="H818" t="s">
        <v>17</v>
      </c>
      <c r="I818">
        <v>1</v>
      </c>
      <c r="J818">
        <v>0</v>
      </c>
      <c r="K818">
        <v>0</v>
      </c>
    </row>
    <row r="819" spans="1:11" x14ac:dyDescent="0.25">
      <c r="A819" t="str">
        <f>"1104"</f>
        <v>1104</v>
      </c>
      <c r="B819" t="str">
        <f t="shared" si="48"/>
        <v>1</v>
      </c>
      <c r="C819" t="str">
        <f t="shared" si="49"/>
        <v>45</v>
      </c>
      <c r="D819" t="str">
        <f>"8"</f>
        <v>8</v>
      </c>
      <c r="E819" t="str">
        <f>"1-45-8"</f>
        <v>1-45-8</v>
      </c>
      <c r="F819" t="s">
        <v>15</v>
      </c>
      <c r="G819" t="s">
        <v>16</v>
      </c>
      <c r="H819" t="s">
        <v>17</v>
      </c>
      <c r="I819">
        <v>0</v>
      </c>
      <c r="J819">
        <v>0</v>
      </c>
      <c r="K819">
        <v>1</v>
      </c>
    </row>
    <row r="820" spans="1:11" x14ac:dyDescent="0.25">
      <c r="A820" t="str">
        <f>"1105"</f>
        <v>1105</v>
      </c>
      <c r="B820" t="str">
        <f t="shared" si="48"/>
        <v>1</v>
      </c>
      <c r="C820" t="str">
        <f t="shared" si="49"/>
        <v>45</v>
      </c>
      <c r="D820" t="str">
        <f>"6"</f>
        <v>6</v>
      </c>
      <c r="E820" t="str">
        <f>"1-45-6"</f>
        <v>1-45-6</v>
      </c>
      <c r="F820" t="s">
        <v>15</v>
      </c>
      <c r="G820" t="s">
        <v>16</v>
      </c>
      <c r="H820" t="s">
        <v>17</v>
      </c>
      <c r="I820">
        <v>0</v>
      </c>
      <c r="J820">
        <v>1</v>
      </c>
      <c r="K820">
        <v>0</v>
      </c>
    </row>
    <row r="821" spans="1:11" x14ac:dyDescent="0.25">
      <c r="A821" t="str">
        <f>"1106"</f>
        <v>1106</v>
      </c>
      <c r="B821" t="str">
        <f t="shared" si="48"/>
        <v>1</v>
      </c>
      <c r="C821" t="str">
        <f t="shared" si="49"/>
        <v>45</v>
      </c>
      <c r="D821" t="str">
        <f>"2"</f>
        <v>2</v>
      </c>
      <c r="E821" t="str">
        <f>"1-45-2"</f>
        <v>1-45-2</v>
      </c>
      <c r="F821" t="s">
        <v>15</v>
      </c>
      <c r="G821" t="s">
        <v>16</v>
      </c>
      <c r="H821" t="s">
        <v>17</v>
      </c>
      <c r="I821">
        <v>1</v>
      </c>
      <c r="J821">
        <v>0</v>
      </c>
      <c r="K821">
        <v>0</v>
      </c>
    </row>
    <row r="822" spans="1:11" x14ac:dyDescent="0.25">
      <c r="A822" t="str">
        <f>"1107"</f>
        <v>1107</v>
      </c>
      <c r="B822" t="str">
        <f t="shared" si="48"/>
        <v>1</v>
      </c>
      <c r="C822" t="str">
        <f t="shared" si="49"/>
        <v>45</v>
      </c>
      <c r="D822" t="str">
        <f>"14"</f>
        <v>14</v>
      </c>
      <c r="E822" t="str">
        <f>"1-45-14"</f>
        <v>1-45-14</v>
      </c>
      <c r="F822" t="s">
        <v>15</v>
      </c>
      <c r="G822" t="s">
        <v>20</v>
      </c>
      <c r="H822" t="s">
        <v>21</v>
      </c>
      <c r="I822">
        <v>0</v>
      </c>
      <c r="J822">
        <v>0</v>
      </c>
      <c r="K822">
        <v>1</v>
      </c>
    </row>
    <row r="823" spans="1:11" x14ac:dyDescent="0.25">
      <c r="A823" t="str">
        <f>"1108"</f>
        <v>1108</v>
      </c>
      <c r="B823" t="str">
        <f t="shared" si="48"/>
        <v>1</v>
      </c>
      <c r="C823" t="str">
        <f t="shared" ref="C823:C847" si="50">"46"</f>
        <v>46</v>
      </c>
      <c r="D823" t="str">
        <f>"21"</f>
        <v>21</v>
      </c>
      <c r="E823" t="str">
        <f>"1-46-21"</f>
        <v>1-46-21</v>
      </c>
      <c r="F823" t="s">
        <v>15</v>
      </c>
      <c r="G823" t="s">
        <v>16</v>
      </c>
      <c r="H823" t="s">
        <v>17</v>
      </c>
      <c r="I823">
        <v>0</v>
      </c>
      <c r="J823">
        <v>1</v>
      </c>
      <c r="K823">
        <v>0</v>
      </c>
    </row>
    <row r="824" spans="1:11" x14ac:dyDescent="0.25">
      <c r="A824" t="str">
        <f>"1109"</f>
        <v>1109</v>
      </c>
      <c r="B824" t="str">
        <f t="shared" si="48"/>
        <v>1</v>
      </c>
      <c r="C824" t="str">
        <f t="shared" si="50"/>
        <v>46</v>
      </c>
      <c r="D824" t="str">
        <f>"15"</f>
        <v>15</v>
      </c>
      <c r="E824" t="str">
        <f>"1-46-15"</f>
        <v>1-46-15</v>
      </c>
      <c r="F824" t="s">
        <v>15</v>
      </c>
      <c r="G824" t="s">
        <v>16</v>
      </c>
      <c r="H824" t="s">
        <v>17</v>
      </c>
      <c r="I824">
        <v>0</v>
      </c>
      <c r="J824">
        <v>0</v>
      </c>
      <c r="K824">
        <v>1</v>
      </c>
    </row>
    <row r="825" spans="1:11" x14ac:dyDescent="0.25">
      <c r="A825" t="str">
        <f>"1110"</f>
        <v>1110</v>
      </c>
      <c r="B825" t="str">
        <f t="shared" si="48"/>
        <v>1</v>
      </c>
      <c r="C825" t="str">
        <f t="shared" si="50"/>
        <v>46</v>
      </c>
      <c r="D825" t="str">
        <f>"3"</f>
        <v>3</v>
      </c>
      <c r="E825" t="str">
        <f>"1-46-3"</f>
        <v>1-46-3</v>
      </c>
      <c r="F825" t="s">
        <v>15</v>
      </c>
      <c r="G825" t="s">
        <v>16</v>
      </c>
      <c r="H825" t="s">
        <v>17</v>
      </c>
      <c r="I825">
        <v>0</v>
      </c>
      <c r="J825">
        <v>1</v>
      </c>
      <c r="K825">
        <v>0</v>
      </c>
    </row>
    <row r="826" spans="1:11" x14ac:dyDescent="0.25">
      <c r="A826" t="str">
        <f>"1111"</f>
        <v>1111</v>
      </c>
      <c r="B826" t="str">
        <f t="shared" si="48"/>
        <v>1</v>
      </c>
      <c r="C826" t="str">
        <f t="shared" si="50"/>
        <v>46</v>
      </c>
      <c r="D826" t="str">
        <f>"19"</f>
        <v>19</v>
      </c>
      <c r="E826" t="str">
        <f>"1-46-19"</f>
        <v>1-46-19</v>
      </c>
      <c r="F826" t="s">
        <v>15</v>
      </c>
      <c r="G826" t="s">
        <v>16</v>
      </c>
      <c r="H826" t="s">
        <v>17</v>
      </c>
      <c r="I826">
        <v>1</v>
      </c>
      <c r="J826">
        <v>0</v>
      </c>
      <c r="K826">
        <v>0</v>
      </c>
    </row>
    <row r="827" spans="1:11" x14ac:dyDescent="0.25">
      <c r="A827" t="str">
        <f>"1112"</f>
        <v>1112</v>
      </c>
      <c r="B827" t="str">
        <f t="shared" si="48"/>
        <v>1</v>
      </c>
      <c r="C827" t="str">
        <f t="shared" si="50"/>
        <v>46</v>
      </c>
      <c r="D827" t="str">
        <f>"16"</f>
        <v>16</v>
      </c>
      <c r="E827" t="str">
        <f>"1-46-16"</f>
        <v>1-46-16</v>
      </c>
      <c r="F827" t="s">
        <v>15</v>
      </c>
      <c r="G827" t="s">
        <v>16</v>
      </c>
      <c r="H827" t="s">
        <v>17</v>
      </c>
      <c r="I827">
        <v>0</v>
      </c>
      <c r="J827">
        <v>0</v>
      </c>
      <c r="K827">
        <v>1</v>
      </c>
    </row>
    <row r="828" spans="1:11" x14ac:dyDescent="0.25">
      <c r="A828" t="str">
        <f>"1113"</f>
        <v>1113</v>
      </c>
      <c r="B828" t="str">
        <f t="shared" si="48"/>
        <v>1</v>
      </c>
      <c r="C828" t="str">
        <f t="shared" si="50"/>
        <v>46</v>
      </c>
      <c r="D828" t="str">
        <f>"7"</f>
        <v>7</v>
      </c>
      <c r="E828" t="str">
        <f>"1-46-7"</f>
        <v>1-46-7</v>
      </c>
      <c r="F828" t="s">
        <v>15</v>
      </c>
      <c r="G828" t="s">
        <v>16</v>
      </c>
      <c r="H828" t="s">
        <v>17</v>
      </c>
      <c r="I828">
        <v>0</v>
      </c>
      <c r="J828">
        <v>1</v>
      </c>
      <c r="K828">
        <v>0</v>
      </c>
    </row>
    <row r="829" spans="1:11" x14ac:dyDescent="0.25">
      <c r="A829" t="str">
        <f>"1114"</f>
        <v>1114</v>
      </c>
      <c r="B829" t="str">
        <f t="shared" ref="B829:B892" si="51">"1"</f>
        <v>1</v>
      </c>
      <c r="C829" t="str">
        <f t="shared" si="50"/>
        <v>46</v>
      </c>
      <c r="D829" t="str">
        <f>"17"</f>
        <v>17</v>
      </c>
      <c r="E829" t="str">
        <f>"1-46-17"</f>
        <v>1-46-17</v>
      </c>
      <c r="F829" t="s">
        <v>15</v>
      </c>
      <c r="G829" t="s">
        <v>18</v>
      </c>
      <c r="H829" t="s">
        <v>19</v>
      </c>
      <c r="I829">
        <v>1</v>
      </c>
      <c r="J829">
        <v>0</v>
      </c>
      <c r="K829">
        <v>0</v>
      </c>
    </row>
    <row r="830" spans="1:11" x14ac:dyDescent="0.25">
      <c r="A830" t="str">
        <f>"1115"</f>
        <v>1115</v>
      </c>
      <c r="B830" t="str">
        <f t="shared" si="51"/>
        <v>1</v>
      </c>
      <c r="C830" t="str">
        <f t="shared" si="50"/>
        <v>46</v>
      </c>
      <c r="D830" t="str">
        <f>"1"</f>
        <v>1</v>
      </c>
      <c r="E830" t="str">
        <f>"1-46-1"</f>
        <v>1-46-1</v>
      </c>
      <c r="F830" t="s">
        <v>15</v>
      </c>
      <c r="G830" t="s">
        <v>18</v>
      </c>
      <c r="H830" t="s">
        <v>19</v>
      </c>
      <c r="I830">
        <v>0</v>
      </c>
      <c r="J830">
        <v>1</v>
      </c>
      <c r="K830">
        <v>0</v>
      </c>
    </row>
    <row r="831" spans="1:11" x14ac:dyDescent="0.25">
      <c r="A831" t="str">
        <f>"1116"</f>
        <v>1116</v>
      </c>
      <c r="B831" t="str">
        <f t="shared" si="51"/>
        <v>1</v>
      </c>
      <c r="C831" t="str">
        <f t="shared" si="50"/>
        <v>46</v>
      </c>
      <c r="D831" t="str">
        <f>"18"</f>
        <v>18</v>
      </c>
      <c r="E831" t="str">
        <f>"1-46-18"</f>
        <v>1-46-18</v>
      </c>
      <c r="F831" t="s">
        <v>15</v>
      </c>
      <c r="G831" t="s">
        <v>18</v>
      </c>
      <c r="H831" t="s">
        <v>19</v>
      </c>
      <c r="I831">
        <v>1</v>
      </c>
      <c r="J831">
        <v>0</v>
      </c>
      <c r="K831">
        <v>0</v>
      </c>
    </row>
    <row r="832" spans="1:11" x14ac:dyDescent="0.25">
      <c r="A832" t="str">
        <f>"1117"</f>
        <v>1117</v>
      </c>
      <c r="B832" t="str">
        <f t="shared" si="51"/>
        <v>1</v>
      </c>
      <c r="C832" t="str">
        <f t="shared" si="50"/>
        <v>46</v>
      </c>
      <c r="D832" t="str">
        <f>"4"</f>
        <v>4</v>
      </c>
      <c r="E832" t="str">
        <f>"1-46-4"</f>
        <v>1-46-4</v>
      </c>
      <c r="F832" t="s">
        <v>15</v>
      </c>
      <c r="G832" t="s">
        <v>16</v>
      </c>
      <c r="H832" t="s">
        <v>17</v>
      </c>
      <c r="I832">
        <v>0</v>
      </c>
      <c r="J832">
        <v>1</v>
      </c>
      <c r="K832">
        <v>0</v>
      </c>
    </row>
    <row r="833" spans="1:11" x14ac:dyDescent="0.25">
      <c r="A833" t="str">
        <f>"1118"</f>
        <v>1118</v>
      </c>
      <c r="B833" t="str">
        <f t="shared" si="51"/>
        <v>1</v>
      </c>
      <c r="C833" t="str">
        <f t="shared" si="50"/>
        <v>46</v>
      </c>
      <c r="D833" t="str">
        <f>"20"</f>
        <v>20</v>
      </c>
      <c r="E833" t="str">
        <f>"1-46-20"</f>
        <v>1-46-20</v>
      </c>
      <c r="F833" t="s">
        <v>15</v>
      </c>
      <c r="G833" t="s">
        <v>16</v>
      </c>
      <c r="H833" t="s">
        <v>17</v>
      </c>
      <c r="I833">
        <v>1</v>
      </c>
      <c r="J833">
        <v>0</v>
      </c>
      <c r="K833">
        <v>0</v>
      </c>
    </row>
    <row r="834" spans="1:11" x14ac:dyDescent="0.25">
      <c r="A834" t="str">
        <f>"1119"</f>
        <v>1119</v>
      </c>
      <c r="B834" t="str">
        <f t="shared" si="51"/>
        <v>1</v>
      </c>
      <c r="C834" t="str">
        <f t="shared" si="50"/>
        <v>46</v>
      </c>
      <c r="D834" t="str">
        <f>"2"</f>
        <v>2</v>
      </c>
      <c r="E834" t="str">
        <f>"1-46-2"</f>
        <v>1-46-2</v>
      </c>
      <c r="F834" t="s">
        <v>15</v>
      </c>
      <c r="G834" t="s">
        <v>16</v>
      </c>
      <c r="H834" t="s">
        <v>17</v>
      </c>
      <c r="I834">
        <v>0</v>
      </c>
      <c r="J834">
        <v>1</v>
      </c>
      <c r="K834">
        <v>0</v>
      </c>
    </row>
    <row r="835" spans="1:11" x14ac:dyDescent="0.25">
      <c r="A835" t="str">
        <f>"1120"</f>
        <v>1120</v>
      </c>
      <c r="B835" t="str">
        <f t="shared" si="51"/>
        <v>1</v>
      </c>
      <c r="C835" t="str">
        <f t="shared" si="50"/>
        <v>46</v>
      </c>
      <c r="D835" t="str">
        <f>"22"</f>
        <v>22</v>
      </c>
      <c r="E835" t="str">
        <f>"1-46-22"</f>
        <v>1-46-22</v>
      </c>
      <c r="F835" t="s">
        <v>15</v>
      </c>
      <c r="G835" t="s">
        <v>18</v>
      </c>
      <c r="H835" t="s">
        <v>19</v>
      </c>
      <c r="I835">
        <v>0</v>
      </c>
      <c r="J835">
        <v>1</v>
      </c>
      <c r="K835">
        <v>0</v>
      </c>
    </row>
    <row r="836" spans="1:11" x14ac:dyDescent="0.25">
      <c r="A836" t="str">
        <f>"1121"</f>
        <v>1121</v>
      </c>
      <c r="B836" t="str">
        <f t="shared" si="51"/>
        <v>1</v>
      </c>
      <c r="C836" t="str">
        <f t="shared" si="50"/>
        <v>46</v>
      </c>
      <c r="D836" t="str">
        <f>"23"</f>
        <v>23</v>
      </c>
      <c r="E836" t="str">
        <f>"1-46-23"</f>
        <v>1-46-23</v>
      </c>
      <c r="F836" t="s">
        <v>15</v>
      </c>
      <c r="G836" t="s">
        <v>20</v>
      </c>
      <c r="H836" t="s">
        <v>21</v>
      </c>
      <c r="I836">
        <v>0</v>
      </c>
      <c r="J836">
        <v>1</v>
      </c>
      <c r="K836">
        <v>0</v>
      </c>
    </row>
    <row r="837" spans="1:11" x14ac:dyDescent="0.25">
      <c r="A837" t="str">
        <f>"1122"</f>
        <v>1122</v>
      </c>
      <c r="B837" t="str">
        <f t="shared" si="51"/>
        <v>1</v>
      </c>
      <c r="C837" t="str">
        <f t="shared" si="50"/>
        <v>46</v>
      </c>
      <c r="D837" t="str">
        <f>"12"</f>
        <v>12</v>
      </c>
      <c r="E837" t="str">
        <f>"1-46-12"</f>
        <v>1-46-12</v>
      </c>
      <c r="F837" t="s">
        <v>15</v>
      </c>
      <c r="G837" t="s">
        <v>16</v>
      </c>
      <c r="H837" t="s">
        <v>17</v>
      </c>
      <c r="I837">
        <v>0</v>
      </c>
      <c r="J837">
        <v>0</v>
      </c>
      <c r="K837">
        <v>1</v>
      </c>
    </row>
    <row r="838" spans="1:11" x14ac:dyDescent="0.25">
      <c r="A838" t="str">
        <f>"1123"</f>
        <v>1123</v>
      </c>
      <c r="B838" t="str">
        <f t="shared" si="51"/>
        <v>1</v>
      </c>
      <c r="C838" t="str">
        <f t="shared" si="50"/>
        <v>46</v>
      </c>
      <c r="D838" t="str">
        <f>"24"</f>
        <v>24</v>
      </c>
      <c r="E838" t="str">
        <f>"1-46-24"</f>
        <v>1-46-24</v>
      </c>
      <c r="F838" t="s">
        <v>15</v>
      </c>
      <c r="G838" t="s">
        <v>16</v>
      </c>
      <c r="H838" t="s">
        <v>17</v>
      </c>
      <c r="I838">
        <v>0</v>
      </c>
      <c r="J838">
        <v>1</v>
      </c>
      <c r="K838">
        <v>0</v>
      </c>
    </row>
    <row r="839" spans="1:11" x14ac:dyDescent="0.25">
      <c r="A839" t="str">
        <f>"1124"</f>
        <v>1124</v>
      </c>
      <c r="B839" t="str">
        <f t="shared" si="51"/>
        <v>1</v>
      </c>
      <c r="C839" t="str">
        <f t="shared" si="50"/>
        <v>46</v>
      </c>
      <c r="D839" t="str">
        <f>"9"</f>
        <v>9</v>
      </c>
      <c r="E839" t="str">
        <f>"1-46-9"</f>
        <v>1-46-9</v>
      </c>
      <c r="F839" t="s">
        <v>15</v>
      </c>
      <c r="G839" t="s">
        <v>16</v>
      </c>
      <c r="H839" t="s">
        <v>17</v>
      </c>
      <c r="I839">
        <v>1</v>
      </c>
      <c r="J839">
        <v>0</v>
      </c>
      <c r="K839">
        <v>0</v>
      </c>
    </row>
    <row r="840" spans="1:11" x14ac:dyDescent="0.25">
      <c r="A840" t="str">
        <f>"1125"</f>
        <v>1125</v>
      </c>
      <c r="B840" t="str">
        <f t="shared" si="51"/>
        <v>1</v>
      </c>
      <c r="C840" t="str">
        <f t="shared" si="50"/>
        <v>46</v>
      </c>
      <c r="D840" t="str">
        <f>"25"</f>
        <v>25</v>
      </c>
      <c r="E840" t="str">
        <f>"1-46-25"</f>
        <v>1-46-25</v>
      </c>
      <c r="F840" t="s">
        <v>15</v>
      </c>
      <c r="G840" t="s">
        <v>16</v>
      </c>
      <c r="H840" t="s">
        <v>17</v>
      </c>
      <c r="I840">
        <v>1</v>
      </c>
      <c r="J840">
        <v>0</v>
      </c>
      <c r="K840">
        <v>0</v>
      </c>
    </row>
    <row r="841" spans="1:11" x14ac:dyDescent="0.25">
      <c r="A841" t="str">
        <f>"1126"</f>
        <v>1126</v>
      </c>
      <c r="B841" t="str">
        <f t="shared" si="51"/>
        <v>1</v>
      </c>
      <c r="C841" t="str">
        <f t="shared" si="50"/>
        <v>46</v>
      </c>
      <c r="D841" t="str">
        <f>"5"</f>
        <v>5</v>
      </c>
      <c r="E841" t="str">
        <f>"1-46-5"</f>
        <v>1-46-5</v>
      </c>
      <c r="F841" t="s">
        <v>15</v>
      </c>
      <c r="G841" t="s">
        <v>18</v>
      </c>
      <c r="H841" t="s">
        <v>19</v>
      </c>
      <c r="I841">
        <v>1</v>
      </c>
      <c r="J841">
        <v>0</v>
      </c>
      <c r="K841">
        <v>0</v>
      </c>
    </row>
    <row r="842" spans="1:11" x14ac:dyDescent="0.25">
      <c r="A842" t="str">
        <f>"1127"</f>
        <v>1127</v>
      </c>
      <c r="B842" t="str">
        <f t="shared" si="51"/>
        <v>1</v>
      </c>
      <c r="C842" t="str">
        <f t="shared" si="50"/>
        <v>46</v>
      </c>
      <c r="D842" t="str">
        <f>"11"</f>
        <v>11</v>
      </c>
      <c r="E842" t="str">
        <f>"1-46-11"</f>
        <v>1-46-11</v>
      </c>
      <c r="F842" t="s">
        <v>15</v>
      </c>
      <c r="G842" t="s">
        <v>16</v>
      </c>
      <c r="H842" t="s">
        <v>17</v>
      </c>
      <c r="I842">
        <v>0</v>
      </c>
      <c r="J842">
        <v>1</v>
      </c>
      <c r="K842">
        <v>0</v>
      </c>
    </row>
    <row r="843" spans="1:11" x14ac:dyDescent="0.25">
      <c r="A843" t="str">
        <f>"1128"</f>
        <v>1128</v>
      </c>
      <c r="B843" t="str">
        <f t="shared" si="51"/>
        <v>1</v>
      </c>
      <c r="C843" t="str">
        <f t="shared" si="50"/>
        <v>46</v>
      </c>
      <c r="D843" t="str">
        <f>"6"</f>
        <v>6</v>
      </c>
      <c r="E843" t="str">
        <f>"1-46-6"</f>
        <v>1-46-6</v>
      </c>
      <c r="F843" t="s">
        <v>15</v>
      </c>
      <c r="G843" t="s">
        <v>18</v>
      </c>
      <c r="H843" t="s">
        <v>19</v>
      </c>
      <c r="I843">
        <v>0</v>
      </c>
      <c r="J843">
        <v>0</v>
      </c>
      <c r="K843">
        <v>1</v>
      </c>
    </row>
    <row r="844" spans="1:11" x14ac:dyDescent="0.25">
      <c r="A844" t="str">
        <f>"1129"</f>
        <v>1129</v>
      </c>
      <c r="B844" t="str">
        <f t="shared" si="51"/>
        <v>1</v>
      </c>
      <c r="C844" t="str">
        <f t="shared" si="50"/>
        <v>46</v>
      </c>
      <c r="D844" t="str">
        <f>"14"</f>
        <v>14</v>
      </c>
      <c r="E844" t="str">
        <f>"1-46-14"</f>
        <v>1-46-14</v>
      </c>
      <c r="F844" t="s">
        <v>15</v>
      </c>
      <c r="G844" t="s">
        <v>16</v>
      </c>
      <c r="H844" t="s">
        <v>17</v>
      </c>
      <c r="I844">
        <v>1</v>
      </c>
      <c r="J844">
        <v>0</v>
      </c>
      <c r="K844">
        <v>0</v>
      </c>
    </row>
    <row r="845" spans="1:11" x14ac:dyDescent="0.25">
      <c r="A845" t="str">
        <f>"1130"</f>
        <v>1130</v>
      </c>
      <c r="B845" t="str">
        <f t="shared" si="51"/>
        <v>1</v>
      </c>
      <c r="C845" t="str">
        <f t="shared" si="50"/>
        <v>46</v>
      </c>
      <c r="D845" t="str">
        <f>"8"</f>
        <v>8</v>
      </c>
      <c r="E845" t="str">
        <f>"1-46-8"</f>
        <v>1-46-8</v>
      </c>
      <c r="F845" t="s">
        <v>15</v>
      </c>
      <c r="G845" t="s">
        <v>18</v>
      </c>
      <c r="H845" t="s">
        <v>19</v>
      </c>
      <c r="I845">
        <v>0</v>
      </c>
      <c r="J845">
        <v>1</v>
      </c>
      <c r="K845">
        <v>0</v>
      </c>
    </row>
    <row r="846" spans="1:11" x14ac:dyDescent="0.25">
      <c r="A846" t="str">
        <f>"1131"</f>
        <v>1131</v>
      </c>
      <c r="B846" t="str">
        <f t="shared" si="51"/>
        <v>1</v>
      </c>
      <c r="C846" t="str">
        <f t="shared" si="50"/>
        <v>46</v>
      </c>
      <c r="D846" t="str">
        <f>"10"</f>
        <v>10</v>
      </c>
      <c r="E846" t="str">
        <f>"1-46-10"</f>
        <v>1-46-10</v>
      </c>
      <c r="F846" t="s">
        <v>15</v>
      </c>
      <c r="G846" t="s">
        <v>16</v>
      </c>
      <c r="H846" t="s">
        <v>17</v>
      </c>
      <c r="I846">
        <v>1</v>
      </c>
      <c r="J846">
        <v>0</v>
      </c>
      <c r="K846">
        <v>0</v>
      </c>
    </row>
    <row r="847" spans="1:11" x14ac:dyDescent="0.25">
      <c r="A847" t="str">
        <f>"1132"</f>
        <v>1132</v>
      </c>
      <c r="B847" t="str">
        <f t="shared" si="51"/>
        <v>1</v>
      </c>
      <c r="C847" t="str">
        <f t="shared" si="50"/>
        <v>46</v>
      </c>
      <c r="D847" t="str">
        <f>"13"</f>
        <v>13</v>
      </c>
      <c r="E847" t="str">
        <f>"1-46-13"</f>
        <v>1-46-13</v>
      </c>
      <c r="F847" t="s">
        <v>15</v>
      </c>
      <c r="G847" t="s">
        <v>16</v>
      </c>
      <c r="H847" t="s">
        <v>17</v>
      </c>
      <c r="I847">
        <v>0</v>
      </c>
      <c r="J847">
        <v>0</v>
      </c>
      <c r="K847">
        <v>0</v>
      </c>
    </row>
    <row r="848" spans="1:11" x14ac:dyDescent="0.25">
      <c r="A848" t="str">
        <f>"1133"</f>
        <v>1133</v>
      </c>
      <c r="B848" t="str">
        <f t="shared" si="51"/>
        <v>1</v>
      </c>
      <c r="C848" t="str">
        <f t="shared" ref="C848:C873" si="52">"47"</f>
        <v>47</v>
      </c>
      <c r="D848" t="str">
        <f>"18"</f>
        <v>18</v>
      </c>
      <c r="E848" t="str">
        <f>"1-47-18"</f>
        <v>1-47-18</v>
      </c>
      <c r="F848" t="s">
        <v>15</v>
      </c>
      <c r="G848" t="s">
        <v>20</v>
      </c>
      <c r="H848" t="s">
        <v>21</v>
      </c>
      <c r="I848">
        <v>1</v>
      </c>
      <c r="J848">
        <v>0</v>
      </c>
      <c r="K848">
        <v>0</v>
      </c>
    </row>
    <row r="849" spans="1:11" x14ac:dyDescent="0.25">
      <c r="A849" t="str">
        <f>"1134"</f>
        <v>1134</v>
      </c>
      <c r="B849" t="str">
        <f t="shared" si="51"/>
        <v>1</v>
      </c>
      <c r="C849" t="str">
        <f t="shared" si="52"/>
        <v>47</v>
      </c>
      <c r="D849" t="str">
        <f>"15"</f>
        <v>15</v>
      </c>
      <c r="E849" t="str">
        <f>"1-47-15"</f>
        <v>1-47-15</v>
      </c>
      <c r="F849" t="s">
        <v>15</v>
      </c>
      <c r="G849" t="s">
        <v>18</v>
      </c>
      <c r="H849" t="s">
        <v>19</v>
      </c>
      <c r="I849">
        <v>0</v>
      </c>
      <c r="J849">
        <v>0</v>
      </c>
      <c r="K849">
        <v>1</v>
      </c>
    </row>
    <row r="850" spans="1:11" x14ac:dyDescent="0.25">
      <c r="A850" t="str">
        <f>"1135"</f>
        <v>1135</v>
      </c>
      <c r="B850" t="str">
        <f t="shared" si="51"/>
        <v>1</v>
      </c>
      <c r="C850" t="str">
        <f t="shared" si="52"/>
        <v>47</v>
      </c>
      <c r="D850" t="str">
        <f>"3"</f>
        <v>3</v>
      </c>
      <c r="E850" t="str">
        <f>"1-47-3"</f>
        <v>1-47-3</v>
      </c>
      <c r="F850" t="s">
        <v>15</v>
      </c>
      <c r="G850" t="s">
        <v>16</v>
      </c>
      <c r="H850" t="s">
        <v>17</v>
      </c>
      <c r="I850">
        <v>0</v>
      </c>
      <c r="J850">
        <v>1</v>
      </c>
      <c r="K850">
        <v>0</v>
      </c>
    </row>
    <row r="851" spans="1:11" x14ac:dyDescent="0.25">
      <c r="A851" t="str">
        <f>"1136"</f>
        <v>1136</v>
      </c>
      <c r="B851" t="str">
        <f t="shared" si="51"/>
        <v>1</v>
      </c>
      <c r="C851" t="str">
        <f t="shared" si="52"/>
        <v>47</v>
      </c>
      <c r="D851" t="str">
        <f>"20"</f>
        <v>20</v>
      </c>
      <c r="E851" t="str">
        <f>"1-47-20"</f>
        <v>1-47-20</v>
      </c>
      <c r="F851" t="s">
        <v>15</v>
      </c>
      <c r="G851" t="s">
        <v>16</v>
      </c>
      <c r="H851" t="s">
        <v>17</v>
      </c>
      <c r="I851">
        <v>1</v>
      </c>
      <c r="J851">
        <v>0</v>
      </c>
      <c r="K851">
        <v>0</v>
      </c>
    </row>
    <row r="852" spans="1:11" x14ac:dyDescent="0.25">
      <c r="A852" t="str">
        <f>"1137"</f>
        <v>1137</v>
      </c>
      <c r="B852" t="str">
        <f t="shared" si="51"/>
        <v>1</v>
      </c>
      <c r="C852" t="str">
        <f t="shared" si="52"/>
        <v>47</v>
      </c>
      <c r="D852" t="str">
        <f>"16"</f>
        <v>16</v>
      </c>
      <c r="E852" t="str">
        <f>"1-47-16"</f>
        <v>1-47-16</v>
      </c>
      <c r="F852" t="s">
        <v>15</v>
      </c>
      <c r="G852" t="s">
        <v>16</v>
      </c>
      <c r="H852" t="s">
        <v>17</v>
      </c>
      <c r="I852">
        <v>0</v>
      </c>
      <c r="J852">
        <v>1</v>
      </c>
      <c r="K852">
        <v>0</v>
      </c>
    </row>
    <row r="853" spans="1:11" x14ac:dyDescent="0.25">
      <c r="A853" t="str">
        <f>"1138"</f>
        <v>1138</v>
      </c>
      <c r="B853" t="str">
        <f t="shared" si="51"/>
        <v>1</v>
      </c>
      <c r="C853" t="str">
        <f t="shared" si="52"/>
        <v>47</v>
      </c>
      <c r="D853" t="str">
        <f>"2"</f>
        <v>2</v>
      </c>
      <c r="E853" t="str">
        <f>"1-47-2"</f>
        <v>1-47-2</v>
      </c>
      <c r="F853" t="s">
        <v>15</v>
      </c>
      <c r="G853" t="s">
        <v>16</v>
      </c>
      <c r="H853" t="s">
        <v>17</v>
      </c>
      <c r="I853">
        <v>0</v>
      </c>
      <c r="J853">
        <v>0</v>
      </c>
      <c r="K853">
        <v>1</v>
      </c>
    </row>
    <row r="854" spans="1:11" x14ac:dyDescent="0.25">
      <c r="A854" t="str">
        <f>"1139"</f>
        <v>1139</v>
      </c>
      <c r="B854" t="str">
        <f t="shared" si="51"/>
        <v>1</v>
      </c>
      <c r="C854" t="str">
        <f t="shared" si="52"/>
        <v>47</v>
      </c>
      <c r="D854" t="str">
        <f>"17"</f>
        <v>17</v>
      </c>
      <c r="E854" t="str">
        <f>"1-47-17"</f>
        <v>1-47-17</v>
      </c>
      <c r="F854" t="s">
        <v>15</v>
      </c>
      <c r="G854" t="s">
        <v>16</v>
      </c>
      <c r="H854" t="s">
        <v>17</v>
      </c>
      <c r="I854">
        <v>1</v>
      </c>
      <c r="J854">
        <v>0</v>
      </c>
      <c r="K854">
        <v>0</v>
      </c>
    </row>
    <row r="855" spans="1:11" x14ac:dyDescent="0.25">
      <c r="A855" t="str">
        <f>"1140"</f>
        <v>1140</v>
      </c>
      <c r="B855" t="str">
        <f t="shared" si="51"/>
        <v>1</v>
      </c>
      <c r="C855" t="str">
        <f t="shared" si="52"/>
        <v>47</v>
      </c>
      <c r="D855" t="str">
        <f>"1"</f>
        <v>1</v>
      </c>
      <c r="E855" t="str">
        <f>"1-47-1"</f>
        <v>1-47-1</v>
      </c>
      <c r="F855" t="s">
        <v>15</v>
      </c>
      <c r="G855" t="s">
        <v>16</v>
      </c>
      <c r="H855" t="s">
        <v>17</v>
      </c>
      <c r="I855">
        <v>0</v>
      </c>
      <c r="J855">
        <v>1</v>
      </c>
      <c r="K855">
        <v>0</v>
      </c>
    </row>
    <row r="856" spans="1:11" x14ac:dyDescent="0.25">
      <c r="A856" t="str">
        <f>"1141"</f>
        <v>1141</v>
      </c>
      <c r="B856" t="str">
        <f t="shared" si="51"/>
        <v>1</v>
      </c>
      <c r="C856" t="str">
        <f t="shared" si="52"/>
        <v>47</v>
      </c>
      <c r="D856" t="str">
        <f>"19"</f>
        <v>19</v>
      </c>
      <c r="E856" t="str">
        <f>"1-47-19"</f>
        <v>1-47-19</v>
      </c>
      <c r="F856" t="s">
        <v>15</v>
      </c>
      <c r="G856" t="s">
        <v>16</v>
      </c>
      <c r="H856" t="s">
        <v>17</v>
      </c>
      <c r="I856">
        <v>1</v>
      </c>
      <c r="J856">
        <v>0</v>
      </c>
      <c r="K856">
        <v>0</v>
      </c>
    </row>
    <row r="857" spans="1:11" x14ac:dyDescent="0.25">
      <c r="A857" t="str">
        <f>"1142"</f>
        <v>1142</v>
      </c>
      <c r="B857" t="str">
        <f t="shared" si="51"/>
        <v>1</v>
      </c>
      <c r="C857" t="str">
        <f t="shared" si="52"/>
        <v>47</v>
      </c>
      <c r="D857" t="str">
        <f>"4"</f>
        <v>4</v>
      </c>
      <c r="E857" t="str">
        <f>"1-47-4"</f>
        <v>1-47-4</v>
      </c>
      <c r="F857" t="s">
        <v>15</v>
      </c>
      <c r="G857" t="s">
        <v>16</v>
      </c>
      <c r="H857" t="s">
        <v>17</v>
      </c>
      <c r="I857">
        <v>1</v>
      </c>
      <c r="J857">
        <v>0</v>
      </c>
      <c r="K857">
        <v>0</v>
      </c>
    </row>
    <row r="858" spans="1:11" x14ac:dyDescent="0.25">
      <c r="A858" t="str">
        <f>"1143"</f>
        <v>1143</v>
      </c>
      <c r="B858" t="str">
        <f t="shared" si="51"/>
        <v>1</v>
      </c>
      <c r="C858" t="str">
        <f t="shared" si="52"/>
        <v>47</v>
      </c>
      <c r="D858" t="str">
        <f>"21"</f>
        <v>21</v>
      </c>
      <c r="E858" t="str">
        <f>"1-47-21"</f>
        <v>1-47-21</v>
      </c>
      <c r="F858" t="s">
        <v>15</v>
      </c>
      <c r="G858" t="s">
        <v>16</v>
      </c>
      <c r="H858" t="s">
        <v>17</v>
      </c>
      <c r="I858">
        <v>0</v>
      </c>
      <c r="J858">
        <v>0</v>
      </c>
      <c r="K858">
        <v>1</v>
      </c>
    </row>
    <row r="859" spans="1:11" x14ac:dyDescent="0.25">
      <c r="A859" t="str">
        <f>"1144"</f>
        <v>1144</v>
      </c>
      <c r="B859" t="str">
        <f t="shared" si="51"/>
        <v>1</v>
      </c>
      <c r="C859" t="str">
        <f t="shared" si="52"/>
        <v>47</v>
      </c>
      <c r="D859" t="str">
        <f>"6"</f>
        <v>6</v>
      </c>
      <c r="E859" t="str">
        <f>"1-47-6"</f>
        <v>1-47-6</v>
      </c>
      <c r="F859" t="s">
        <v>15</v>
      </c>
      <c r="G859" t="s">
        <v>16</v>
      </c>
      <c r="H859" t="s">
        <v>17</v>
      </c>
      <c r="I859">
        <v>0</v>
      </c>
      <c r="J859">
        <v>1</v>
      </c>
      <c r="K859">
        <v>0</v>
      </c>
    </row>
    <row r="860" spans="1:11" x14ac:dyDescent="0.25">
      <c r="A860" t="str">
        <f>"1145"</f>
        <v>1145</v>
      </c>
      <c r="B860" t="str">
        <f t="shared" si="51"/>
        <v>1</v>
      </c>
      <c r="C860" t="str">
        <f t="shared" si="52"/>
        <v>47</v>
      </c>
      <c r="D860" t="str">
        <f>"22"</f>
        <v>22</v>
      </c>
      <c r="E860" t="str">
        <f>"1-47-22"</f>
        <v>1-47-22</v>
      </c>
      <c r="F860" t="s">
        <v>15</v>
      </c>
      <c r="G860" t="s">
        <v>16</v>
      </c>
      <c r="H860" t="s">
        <v>17</v>
      </c>
      <c r="I860">
        <v>0</v>
      </c>
      <c r="J860">
        <v>0</v>
      </c>
      <c r="K860">
        <v>1</v>
      </c>
    </row>
    <row r="861" spans="1:11" x14ac:dyDescent="0.25">
      <c r="A861" t="str">
        <f>"1146"</f>
        <v>1146</v>
      </c>
      <c r="B861" t="str">
        <f t="shared" si="51"/>
        <v>1</v>
      </c>
      <c r="C861" t="str">
        <f t="shared" si="52"/>
        <v>47</v>
      </c>
      <c r="D861" t="str">
        <f>"11"</f>
        <v>11</v>
      </c>
      <c r="E861" t="str">
        <f>"1-47-11"</f>
        <v>1-47-11</v>
      </c>
      <c r="F861" t="s">
        <v>15</v>
      </c>
      <c r="G861" t="s">
        <v>20</v>
      </c>
      <c r="H861" t="s">
        <v>21</v>
      </c>
      <c r="I861">
        <v>0</v>
      </c>
      <c r="J861">
        <v>0</v>
      </c>
      <c r="K861">
        <v>1</v>
      </c>
    </row>
    <row r="862" spans="1:11" x14ac:dyDescent="0.25">
      <c r="A862" t="str">
        <f>"1147"</f>
        <v>1147</v>
      </c>
      <c r="B862" t="str">
        <f t="shared" si="51"/>
        <v>1</v>
      </c>
      <c r="C862" t="str">
        <f t="shared" si="52"/>
        <v>47</v>
      </c>
      <c r="D862" t="str">
        <f>"23"</f>
        <v>23</v>
      </c>
      <c r="E862" t="str">
        <f>"1-47-23"</f>
        <v>1-47-23</v>
      </c>
      <c r="F862" t="s">
        <v>15</v>
      </c>
      <c r="G862" t="s">
        <v>16</v>
      </c>
      <c r="H862" t="s">
        <v>17</v>
      </c>
      <c r="I862">
        <v>1</v>
      </c>
      <c r="J862">
        <v>0</v>
      </c>
      <c r="K862">
        <v>0</v>
      </c>
    </row>
    <row r="863" spans="1:11" x14ac:dyDescent="0.25">
      <c r="A863" t="str">
        <f>"1148"</f>
        <v>1148</v>
      </c>
      <c r="B863" t="str">
        <f t="shared" si="51"/>
        <v>1</v>
      </c>
      <c r="C863" t="str">
        <f t="shared" si="52"/>
        <v>47</v>
      </c>
      <c r="D863" t="str">
        <f>"9"</f>
        <v>9</v>
      </c>
      <c r="E863" t="str">
        <f>"1-47-9"</f>
        <v>1-47-9</v>
      </c>
      <c r="F863" t="s">
        <v>15</v>
      </c>
      <c r="G863" t="s">
        <v>16</v>
      </c>
      <c r="H863" t="s">
        <v>17</v>
      </c>
      <c r="I863">
        <v>1</v>
      </c>
      <c r="J863">
        <v>0</v>
      </c>
      <c r="K863">
        <v>0</v>
      </c>
    </row>
    <row r="864" spans="1:11" x14ac:dyDescent="0.25">
      <c r="A864" t="str">
        <f>"1149"</f>
        <v>1149</v>
      </c>
      <c r="B864" t="str">
        <f t="shared" si="51"/>
        <v>1</v>
      </c>
      <c r="C864" t="str">
        <f t="shared" si="52"/>
        <v>47</v>
      </c>
      <c r="D864" t="str">
        <f>"24"</f>
        <v>24</v>
      </c>
      <c r="E864" t="str">
        <f>"1-47-24"</f>
        <v>1-47-24</v>
      </c>
      <c r="F864" t="s">
        <v>15</v>
      </c>
      <c r="G864" t="s">
        <v>16</v>
      </c>
      <c r="H864" t="s">
        <v>17</v>
      </c>
      <c r="I864">
        <v>1</v>
      </c>
      <c r="J864">
        <v>0</v>
      </c>
      <c r="K864">
        <v>0</v>
      </c>
    </row>
    <row r="865" spans="1:11" x14ac:dyDescent="0.25">
      <c r="A865" t="str">
        <f>"1150"</f>
        <v>1150</v>
      </c>
      <c r="B865" t="str">
        <f t="shared" si="51"/>
        <v>1</v>
      </c>
      <c r="C865" t="str">
        <f t="shared" si="52"/>
        <v>47</v>
      </c>
      <c r="D865" t="str">
        <f>"5"</f>
        <v>5</v>
      </c>
      <c r="E865" t="str">
        <f>"1-47-5"</f>
        <v>1-47-5</v>
      </c>
      <c r="F865" t="s">
        <v>15</v>
      </c>
      <c r="G865" t="s">
        <v>18</v>
      </c>
      <c r="H865" t="s">
        <v>19</v>
      </c>
      <c r="I865">
        <v>0</v>
      </c>
      <c r="J865">
        <v>0</v>
      </c>
      <c r="K865">
        <v>1</v>
      </c>
    </row>
    <row r="866" spans="1:11" x14ac:dyDescent="0.25">
      <c r="A866" t="str">
        <f>"1151"</f>
        <v>1151</v>
      </c>
      <c r="B866" t="str">
        <f t="shared" si="51"/>
        <v>1</v>
      </c>
      <c r="C866" t="str">
        <f t="shared" si="52"/>
        <v>47</v>
      </c>
      <c r="D866" t="str">
        <f>"25"</f>
        <v>25</v>
      </c>
      <c r="E866" t="str">
        <f>"1-47-25"</f>
        <v>1-47-25</v>
      </c>
      <c r="F866" t="s">
        <v>15</v>
      </c>
      <c r="G866" t="s">
        <v>16</v>
      </c>
      <c r="H866" t="s">
        <v>17</v>
      </c>
      <c r="I866">
        <v>1</v>
      </c>
      <c r="J866">
        <v>0</v>
      </c>
      <c r="K866">
        <v>0</v>
      </c>
    </row>
    <row r="867" spans="1:11" x14ac:dyDescent="0.25">
      <c r="A867" t="str">
        <f>"1152"</f>
        <v>1152</v>
      </c>
      <c r="B867" t="str">
        <f t="shared" si="51"/>
        <v>1</v>
      </c>
      <c r="C867" t="str">
        <f t="shared" si="52"/>
        <v>47</v>
      </c>
      <c r="D867" t="str">
        <f>"26"</f>
        <v>26</v>
      </c>
      <c r="E867" t="str">
        <f>"1-47-26"</f>
        <v>1-47-26</v>
      </c>
      <c r="F867" t="s">
        <v>15</v>
      </c>
      <c r="G867" t="s">
        <v>20</v>
      </c>
      <c r="H867" t="s">
        <v>21</v>
      </c>
      <c r="I867">
        <v>0</v>
      </c>
      <c r="J867">
        <v>1</v>
      </c>
      <c r="K867">
        <v>0</v>
      </c>
    </row>
    <row r="868" spans="1:11" x14ac:dyDescent="0.25">
      <c r="A868" t="str">
        <f>"1153"</f>
        <v>1153</v>
      </c>
      <c r="B868" t="str">
        <f t="shared" si="51"/>
        <v>1</v>
      </c>
      <c r="C868" t="str">
        <f t="shared" si="52"/>
        <v>47</v>
      </c>
      <c r="D868" t="str">
        <f>"7"</f>
        <v>7</v>
      </c>
      <c r="E868" t="str">
        <f>"1-47-7"</f>
        <v>1-47-7</v>
      </c>
      <c r="F868" t="s">
        <v>15</v>
      </c>
      <c r="G868" t="s">
        <v>16</v>
      </c>
      <c r="H868" t="s">
        <v>17</v>
      </c>
      <c r="I868">
        <v>0</v>
      </c>
      <c r="J868">
        <v>1</v>
      </c>
      <c r="K868">
        <v>0</v>
      </c>
    </row>
    <row r="869" spans="1:11" x14ac:dyDescent="0.25">
      <c r="A869" t="str">
        <f>"1154"</f>
        <v>1154</v>
      </c>
      <c r="B869" t="str">
        <f t="shared" si="51"/>
        <v>1</v>
      </c>
      <c r="C869" t="str">
        <f t="shared" si="52"/>
        <v>47</v>
      </c>
      <c r="D869" t="str">
        <f>"10"</f>
        <v>10</v>
      </c>
      <c r="E869" t="str">
        <f>"1-47-10"</f>
        <v>1-47-10</v>
      </c>
      <c r="F869" t="s">
        <v>15</v>
      </c>
      <c r="G869" t="s">
        <v>20</v>
      </c>
      <c r="H869" t="s">
        <v>21</v>
      </c>
      <c r="I869">
        <v>0</v>
      </c>
      <c r="J869">
        <v>0</v>
      </c>
      <c r="K869">
        <v>1</v>
      </c>
    </row>
    <row r="870" spans="1:11" x14ac:dyDescent="0.25">
      <c r="A870" t="str">
        <f>"1155"</f>
        <v>1155</v>
      </c>
      <c r="B870" t="str">
        <f t="shared" si="51"/>
        <v>1</v>
      </c>
      <c r="C870" t="str">
        <f t="shared" si="52"/>
        <v>47</v>
      </c>
      <c r="D870" t="str">
        <f>"12"</f>
        <v>12</v>
      </c>
      <c r="E870" t="str">
        <f>"1-47-12"</f>
        <v>1-47-12</v>
      </c>
      <c r="F870" t="s">
        <v>15</v>
      </c>
      <c r="G870" t="s">
        <v>18</v>
      </c>
      <c r="H870" t="s">
        <v>19</v>
      </c>
      <c r="I870">
        <v>0</v>
      </c>
      <c r="J870">
        <v>1</v>
      </c>
      <c r="K870">
        <v>0</v>
      </c>
    </row>
    <row r="871" spans="1:11" x14ac:dyDescent="0.25">
      <c r="A871" t="str">
        <f>"1156"</f>
        <v>1156</v>
      </c>
      <c r="B871" t="str">
        <f t="shared" si="51"/>
        <v>1</v>
      </c>
      <c r="C871" t="str">
        <f t="shared" si="52"/>
        <v>47</v>
      </c>
      <c r="D871" t="str">
        <f>"8"</f>
        <v>8</v>
      </c>
      <c r="E871" t="str">
        <f>"1-47-8"</f>
        <v>1-47-8</v>
      </c>
      <c r="F871" t="s">
        <v>15</v>
      </c>
      <c r="G871" t="s">
        <v>16</v>
      </c>
      <c r="H871" t="s">
        <v>17</v>
      </c>
      <c r="I871">
        <v>0</v>
      </c>
      <c r="J871">
        <v>0</v>
      </c>
      <c r="K871">
        <v>1</v>
      </c>
    </row>
    <row r="872" spans="1:11" x14ac:dyDescent="0.25">
      <c r="A872" t="str">
        <f>"1157"</f>
        <v>1157</v>
      </c>
      <c r="B872" t="str">
        <f t="shared" si="51"/>
        <v>1</v>
      </c>
      <c r="C872" t="str">
        <f t="shared" si="52"/>
        <v>47</v>
      </c>
      <c r="D872" t="str">
        <f>"13"</f>
        <v>13</v>
      </c>
      <c r="E872" t="str">
        <f>"1-47-13"</f>
        <v>1-47-13</v>
      </c>
      <c r="F872" t="s">
        <v>15</v>
      </c>
      <c r="G872" t="s">
        <v>16</v>
      </c>
      <c r="H872" t="s">
        <v>17</v>
      </c>
      <c r="I872">
        <v>0</v>
      </c>
      <c r="J872">
        <v>0</v>
      </c>
      <c r="K872">
        <v>0</v>
      </c>
    </row>
    <row r="873" spans="1:11" x14ac:dyDescent="0.25">
      <c r="A873" t="str">
        <f>"1158"</f>
        <v>1158</v>
      </c>
      <c r="B873" t="str">
        <f t="shared" si="51"/>
        <v>1</v>
      </c>
      <c r="C873" t="str">
        <f t="shared" si="52"/>
        <v>47</v>
      </c>
      <c r="D873" t="str">
        <f>"14"</f>
        <v>14</v>
      </c>
      <c r="E873" t="str">
        <f>"1-47-14"</f>
        <v>1-47-14</v>
      </c>
      <c r="F873" t="s">
        <v>15</v>
      </c>
      <c r="G873" t="s">
        <v>16</v>
      </c>
      <c r="H873" t="s">
        <v>17</v>
      </c>
      <c r="I873">
        <v>0</v>
      </c>
      <c r="J873">
        <v>0</v>
      </c>
      <c r="K873">
        <v>0</v>
      </c>
    </row>
    <row r="874" spans="1:11" x14ac:dyDescent="0.25">
      <c r="A874" t="str">
        <f>"1159"</f>
        <v>1159</v>
      </c>
      <c r="B874" t="str">
        <f t="shared" si="51"/>
        <v>1</v>
      </c>
      <c r="C874" t="str">
        <f t="shared" ref="C874:C902" si="53">"48"</f>
        <v>48</v>
      </c>
      <c r="D874" t="str">
        <f>"24"</f>
        <v>24</v>
      </c>
      <c r="E874" t="str">
        <f>"1-48-24"</f>
        <v>1-48-24</v>
      </c>
      <c r="F874" t="s">
        <v>15</v>
      </c>
      <c r="G874" t="s">
        <v>18</v>
      </c>
      <c r="H874" t="s">
        <v>19</v>
      </c>
      <c r="I874">
        <v>1</v>
      </c>
      <c r="J874">
        <v>0</v>
      </c>
      <c r="K874">
        <v>0</v>
      </c>
    </row>
    <row r="875" spans="1:11" x14ac:dyDescent="0.25">
      <c r="A875" t="str">
        <f>"1160"</f>
        <v>1160</v>
      </c>
      <c r="B875" t="str">
        <f t="shared" si="51"/>
        <v>1</v>
      </c>
      <c r="C875" t="str">
        <f t="shared" si="53"/>
        <v>48</v>
      </c>
      <c r="D875" t="str">
        <f>"15"</f>
        <v>15</v>
      </c>
      <c r="E875" t="str">
        <f>"1-48-15"</f>
        <v>1-48-15</v>
      </c>
      <c r="F875" t="s">
        <v>15</v>
      </c>
      <c r="G875" t="s">
        <v>16</v>
      </c>
      <c r="H875" t="s">
        <v>17</v>
      </c>
      <c r="I875">
        <v>0</v>
      </c>
      <c r="J875">
        <v>1</v>
      </c>
      <c r="K875">
        <v>0</v>
      </c>
    </row>
    <row r="876" spans="1:11" x14ac:dyDescent="0.25">
      <c r="A876" t="str">
        <f>"1161"</f>
        <v>1161</v>
      </c>
      <c r="B876" t="str">
        <f t="shared" si="51"/>
        <v>1</v>
      </c>
      <c r="C876" t="str">
        <f t="shared" si="53"/>
        <v>48</v>
      </c>
      <c r="D876" t="str">
        <f>"1"</f>
        <v>1</v>
      </c>
      <c r="E876" t="str">
        <f>"1-48-1"</f>
        <v>1-48-1</v>
      </c>
      <c r="F876" t="s">
        <v>15</v>
      </c>
      <c r="G876" t="s">
        <v>16</v>
      </c>
      <c r="H876" t="s">
        <v>17</v>
      </c>
      <c r="I876">
        <v>1</v>
      </c>
      <c r="J876">
        <v>0</v>
      </c>
      <c r="K876">
        <v>0</v>
      </c>
    </row>
    <row r="877" spans="1:11" x14ac:dyDescent="0.25">
      <c r="A877" t="str">
        <f>"1162"</f>
        <v>1162</v>
      </c>
      <c r="B877" t="str">
        <f t="shared" si="51"/>
        <v>1</v>
      </c>
      <c r="C877" t="str">
        <f t="shared" si="53"/>
        <v>48</v>
      </c>
      <c r="D877" t="str">
        <f>"21"</f>
        <v>21</v>
      </c>
      <c r="E877" t="str">
        <f>"1-48-21"</f>
        <v>1-48-21</v>
      </c>
      <c r="F877" t="s">
        <v>15</v>
      </c>
      <c r="G877" t="s">
        <v>16</v>
      </c>
      <c r="H877" t="s">
        <v>17</v>
      </c>
      <c r="I877">
        <v>0</v>
      </c>
      <c r="J877">
        <v>0</v>
      </c>
      <c r="K877">
        <v>1</v>
      </c>
    </row>
    <row r="878" spans="1:11" x14ac:dyDescent="0.25">
      <c r="A878" t="str">
        <f>"1163"</f>
        <v>1163</v>
      </c>
      <c r="B878" t="str">
        <f t="shared" si="51"/>
        <v>1</v>
      </c>
      <c r="C878" t="str">
        <f t="shared" si="53"/>
        <v>48</v>
      </c>
      <c r="D878" t="str">
        <f>"16"</f>
        <v>16</v>
      </c>
      <c r="E878" t="str">
        <f>"1-48-16"</f>
        <v>1-48-16</v>
      </c>
      <c r="F878" t="s">
        <v>15</v>
      </c>
      <c r="G878" t="s">
        <v>16</v>
      </c>
      <c r="H878" t="s">
        <v>17</v>
      </c>
      <c r="I878">
        <v>0</v>
      </c>
      <c r="J878">
        <v>0</v>
      </c>
      <c r="K878">
        <v>1</v>
      </c>
    </row>
    <row r="879" spans="1:11" x14ac:dyDescent="0.25">
      <c r="A879" t="str">
        <f>"1164"</f>
        <v>1164</v>
      </c>
      <c r="B879" t="str">
        <f t="shared" si="51"/>
        <v>1</v>
      </c>
      <c r="C879" t="str">
        <f t="shared" si="53"/>
        <v>48</v>
      </c>
      <c r="D879" t="str">
        <f>"6"</f>
        <v>6</v>
      </c>
      <c r="E879" t="str">
        <f>"1-48-6"</f>
        <v>1-48-6</v>
      </c>
      <c r="F879" t="s">
        <v>15</v>
      </c>
      <c r="G879" t="s">
        <v>16</v>
      </c>
      <c r="H879" t="s">
        <v>17</v>
      </c>
      <c r="I879">
        <v>0</v>
      </c>
      <c r="J879">
        <v>1</v>
      </c>
      <c r="K879">
        <v>0</v>
      </c>
    </row>
    <row r="880" spans="1:11" x14ac:dyDescent="0.25">
      <c r="A880" t="str">
        <f>"1165"</f>
        <v>1165</v>
      </c>
      <c r="B880" t="str">
        <f t="shared" si="51"/>
        <v>1</v>
      </c>
      <c r="C880" t="str">
        <f t="shared" si="53"/>
        <v>48</v>
      </c>
      <c r="D880" t="str">
        <f>"17"</f>
        <v>17</v>
      </c>
      <c r="E880" t="str">
        <f>"1-48-17"</f>
        <v>1-48-17</v>
      </c>
      <c r="F880" t="s">
        <v>15</v>
      </c>
      <c r="G880" t="s">
        <v>16</v>
      </c>
      <c r="H880" t="s">
        <v>17</v>
      </c>
      <c r="I880">
        <v>0</v>
      </c>
      <c r="J880">
        <v>0</v>
      </c>
      <c r="K880">
        <v>1</v>
      </c>
    </row>
    <row r="881" spans="1:11" x14ac:dyDescent="0.25">
      <c r="A881" t="str">
        <f>"1166"</f>
        <v>1166</v>
      </c>
      <c r="B881" t="str">
        <f t="shared" si="51"/>
        <v>1</v>
      </c>
      <c r="C881" t="str">
        <f t="shared" si="53"/>
        <v>48</v>
      </c>
      <c r="D881" t="str">
        <f>"5"</f>
        <v>5</v>
      </c>
      <c r="E881" t="str">
        <f>"1-48-5"</f>
        <v>1-48-5</v>
      </c>
      <c r="F881" t="s">
        <v>15</v>
      </c>
      <c r="G881" t="s">
        <v>16</v>
      </c>
      <c r="H881" t="s">
        <v>17</v>
      </c>
      <c r="I881">
        <v>0</v>
      </c>
      <c r="J881">
        <v>1</v>
      </c>
      <c r="K881">
        <v>0</v>
      </c>
    </row>
    <row r="882" spans="1:11" x14ac:dyDescent="0.25">
      <c r="A882" t="str">
        <f>"1167"</f>
        <v>1167</v>
      </c>
      <c r="B882" t="str">
        <f t="shared" si="51"/>
        <v>1</v>
      </c>
      <c r="C882" t="str">
        <f t="shared" si="53"/>
        <v>48</v>
      </c>
      <c r="D882" t="str">
        <f>"18"</f>
        <v>18</v>
      </c>
      <c r="E882" t="str">
        <f>"1-48-18"</f>
        <v>1-48-18</v>
      </c>
      <c r="F882" t="s">
        <v>15</v>
      </c>
      <c r="G882" t="s">
        <v>18</v>
      </c>
      <c r="H882" t="s">
        <v>19</v>
      </c>
      <c r="I882">
        <v>0</v>
      </c>
      <c r="J882">
        <v>1</v>
      </c>
      <c r="K882">
        <v>0</v>
      </c>
    </row>
    <row r="883" spans="1:11" x14ac:dyDescent="0.25">
      <c r="A883" t="str">
        <f>"1168"</f>
        <v>1168</v>
      </c>
      <c r="B883" t="str">
        <f t="shared" si="51"/>
        <v>1</v>
      </c>
      <c r="C883" t="str">
        <f t="shared" si="53"/>
        <v>48</v>
      </c>
      <c r="D883" t="str">
        <f>"3"</f>
        <v>3</v>
      </c>
      <c r="E883" t="str">
        <f>"1-48-3"</f>
        <v>1-48-3</v>
      </c>
      <c r="F883" t="s">
        <v>15</v>
      </c>
      <c r="G883" t="s">
        <v>16</v>
      </c>
      <c r="H883" t="s">
        <v>17</v>
      </c>
      <c r="I883">
        <v>1</v>
      </c>
      <c r="J883">
        <v>0</v>
      </c>
      <c r="K883">
        <v>0</v>
      </c>
    </row>
    <row r="884" spans="1:11" x14ac:dyDescent="0.25">
      <c r="A884" t="str">
        <f>"1169"</f>
        <v>1169</v>
      </c>
      <c r="B884" t="str">
        <f t="shared" si="51"/>
        <v>1</v>
      </c>
      <c r="C884" t="str">
        <f t="shared" si="53"/>
        <v>48</v>
      </c>
      <c r="D884" t="str">
        <f>"19"</f>
        <v>19</v>
      </c>
      <c r="E884" t="str">
        <f>"1-48-19"</f>
        <v>1-48-19</v>
      </c>
      <c r="F884" t="s">
        <v>15</v>
      </c>
      <c r="G884" t="s">
        <v>18</v>
      </c>
      <c r="H884" t="s">
        <v>19</v>
      </c>
      <c r="I884">
        <v>0</v>
      </c>
      <c r="J884">
        <v>1</v>
      </c>
      <c r="K884">
        <v>0</v>
      </c>
    </row>
    <row r="885" spans="1:11" x14ac:dyDescent="0.25">
      <c r="A885" t="str">
        <f>"1170"</f>
        <v>1170</v>
      </c>
      <c r="B885" t="str">
        <f t="shared" si="51"/>
        <v>1</v>
      </c>
      <c r="C885" t="str">
        <f t="shared" si="53"/>
        <v>48</v>
      </c>
      <c r="D885" t="str">
        <f>"14"</f>
        <v>14</v>
      </c>
      <c r="E885" t="str">
        <f>"1-48-14"</f>
        <v>1-48-14</v>
      </c>
      <c r="F885" t="s">
        <v>15</v>
      </c>
      <c r="G885" t="s">
        <v>16</v>
      </c>
      <c r="H885" t="s">
        <v>17</v>
      </c>
      <c r="I885">
        <v>1</v>
      </c>
      <c r="J885">
        <v>0</v>
      </c>
      <c r="K885">
        <v>0</v>
      </c>
    </row>
    <row r="886" spans="1:11" x14ac:dyDescent="0.25">
      <c r="A886" t="str">
        <f>"1171"</f>
        <v>1171</v>
      </c>
      <c r="B886" t="str">
        <f t="shared" si="51"/>
        <v>1</v>
      </c>
      <c r="C886" t="str">
        <f t="shared" si="53"/>
        <v>48</v>
      </c>
      <c r="D886" t="str">
        <f>"20"</f>
        <v>20</v>
      </c>
      <c r="E886" t="str">
        <f>"1-48-20"</f>
        <v>1-48-20</v>
      </c>
      <c r="F886" t="s">
        <v>15</v>
      </c>
      <c r="G886" t="s">
        <v>20</v>
      </c>
      <c r="H886" t="s">
        <v>21</v>
      </c>
      <c r="I886">
        <v>0</v>
      </c>
      <c r="J886">
        <v>0</v>
      </c>
      <c r="K886">
        <v>1</v>
      </c>
    </row>
    <row r="887" spans="1:11" x14ac:dyDescent="0.25">
      <c r="A887" t="str">
        <f>"1172"</f>
        <v>1172</v>
      </c>
      <c r="B887" t="str">
        <f t="shared" si="51"/>
        <v>1</v>
      </c>
      <c r="C887" t="str">
        <f t="shared" si="53"/>
        <v>48</v>
      </c>
      <c r="D887" t="str">
        <f>"2"</f>
        <v>2</v>
      </c>
      <c r="E887" t="str">
        <f>"1-48-2"</f>
        <v>1-48-2</v>
      </c>
      <c r="F887" t="s">
        <v>15</v>
      </c>
      <c r="G887" t="s">
        <v>16</v>
      </c>
      <c r="H887" t="s">
        <v>17</v>
      </c>
      <c r="I887">
        <v>1</v>
      </c>
      <c r="J887">
        <v>0</v>
      </c>
      <c r="K887">
        <v>0</v>
      </c>
    </row>
    <row r="888" spans="1:11" x14ac:dyDescent="0.25">
      <c r="A888" t="str">
        <f>"1173"</f>
        <v>1173</v>
      </c>
      <c r="B888" t="str">
        <f t="shared" si="51"/>
        <v>1</v>
      </c>
      <c r="C888" t="str">
        <f t="shared" si="53"/>
        <v>48</v>
      </c>
      <c r="D888" t="str">
        <f>"22"</f>
        <v>22</v>
      </c>
      <c r="E888" t="str">
        <f>"1-48-22"</f>
        <v>1-48-22</v>
      </c>
      <c r="F888" t="s">
        <v>15</v>
      </c>
      <c r="G888" t="s">
        <v>16</v>
      </c>
      <c r="H888" t="s">
        <v>17</v>
      </c>
      <c r="I888">
        <v>0</v>
      </c>
      <c r="J888">
        <v>0</v>
      </c>
      <c r="K888">
        <v>1</v>
      </c>
    </row>
    <row r="889" spans="1:11" x14ac:dyDescent="0.25">
      <c r="A889" t="str">
        <f>"1174"</f>
        <v>1174</v>
      </c>
      <c r="B889" t="str">
        <f t="shared" si="51"/>
        <v>1</v>
      </c>
      <c r="C889" t="str">
        <f t="shared" si="53"/>
        <v>48</v>
      </c>
      <c r="D889" t="str">
        <f>"10"</f>
        <v>10</v>
      </c>
      <c r="E889" t="str">
        <f>"1-48-10"</f>
        <v>1-48-10</v>
      </c>
      <c r="F889" t="s">
        <v>15</v>
      </c>
      <c r="G889" t="s">
        <v>16</v>
      </c>
      <c r="H889" t="s">
        <v>17</v>
      </c>
      <c r="I889">
        <v>1</v>
      </c>
      <c r="J889">
        <v>0</v>
      </c>
      <c r="K889">
        <v>0</v>
      </c>
    </row>
    <row r="890" spans="1:11" x14ac:dyDescent="0.25">
      <c r="A890" t="str">
        <f>"1175"</f>
        <v>1175</v>
      </c>
      <c r="B890" t="str">
        <f t="shared" si="51"/>
        <v>1</v>
      </c>
      <c r="C890" t="str">
        <f t="shared" si="53"/>
        <v>48</v>
      </c>
      <c r="D890" t="str">
        <f>"23"</f>
        <v>23</v>
      </c>
      <c r="E890" t="str">
        <f>"1-48-23"</f>
        <v>1-48-23</v>
      </c>
      <c r="F890" t="s">
        <v>15</v>
      </c>
      <c r="G890" t="s">
        <v>20</v>
      </c>
      <c r="H890" t="s">
        <v>21</v>
      </c>
      <c r="I890">
        <v>1</v>
      </c>
      <c r="J890">
        <v>0</v>
      </c>
      <c r="K890">
        <v>0</v>
      </c>
    </row>
    <row r="891" spans="1:11" x14ac:dyDescent="0.25">
      <c r="A891" t="str">
        <f>"1176"</f>
        <v>1176</v>
      </c>
      <c r="B891" t="str">
        <f t="shared" si="51"/>
        <v>1</v>
      </c>
      <c r="C891" t="str">
        <f t="shared" si="53"/>
        <v>48</v>
      </c>
      <c r="D891" t="str">
        <f>"9"</f>
        <v>9</v>
      </c>
      <c r="E891" t="str">
        <f>"1-48-9"</f>
        <v>1-48-9</v>
      </c>
      <c r="F891" t="s">
        <v>15</v>
      </c>
      <c r="G891" t="s">
        <v>16</v>
      </c>
      <c r="H891" t="s">
        <v>17</v>
      </c>
      <c r="I891">
        <v>0</v>
      </c>
      <c r="J891">
        <v>1</v>
      </c>
      <c r="K891">
        <v>0</v>
      </c>
    </row>
    <row r="892" spans="1:11" x14ac:dyDescent="0.25">
      <c r="A892" t="str">
        <f>"1177"</f>
        <v>1177</v>
      </c>
      <c r="B892" t="str">
        <f t="shared" si="51"/>
        <v>1</v>
      </c>
      <c r="C892" t="str">
        <f t="shared" si="53"/>
        <v>48</v>
      </c>
      <c r="D892" t="str">
        <f>"25"</f>
        <v>25</v>
      </c>
      <c r="E892" t="str">
        <f>"1-48-25"</f>
        <v>1-48-25</v>
      </c>
      <c r="F892" t="s">
        <v>15</v>
      </c>
      <c r="G892" t="s">
        <v>16</v>
      </c>
      <c r="H892" t="s">
        <v>17</v>
      </c>
      <c r="I892">
        <v>0</v>
      </c>
      <c r="J892">
        <v>1</v>
      </c>
      <c r="K892">
        <v>0</v>
      </c>
    </row>
    <row r="893" spans="1:11" x14ac:dyDescent="0.25">
      <c r="A893" t="str">
        <f>"1178"</f>
        <v>1178</v>
      </c>
      <c r="B893" t="str">
        <f t="shared" ref="B893:B956" si="54">"1"</f>
        <v>1</v>
      </c>
      <c r="C893" t="str">
        <f t="shared" si="53"/>
        <v>48</v>
      </c>
      <c r="D893" t="str">
        <f>"8"</f>
        <v>8</v>
      </c>
      <c r="E893" t="str">
        <f>"1-48-8"</f>
        <v>1-48-8</v>
      </c>
      <c r="F893" t="s">
        <v>15</v>
      </c>
      <c r="G893" t="s">
        <v>18</v>
      </c>
      <c r="H893" t="s">
        <v>19</v>
      </c>
      <c r="I893">
        <v>0</v>
      </c>
      <c r="J893">
        <v>0</v>
      </c>
      <c r="K893">
        <v>1</v>
      </c>
    </row>
    <row r="894" spans="1:11" x14ac:dyDescent="0.25">
      <c r="A894" t="str">
        <f>"1179"</f>
        <v>1179</v>
      </c>
      <c r="B894" t="str">
        <f t="shared" si="54"/>
        <v>1</v>
      </c>
      <c r="C894" t="str">
        <f t="shared" si="53"/>
        <v>48</v>
      </c>
      <c r="D894" t="str">
        <f>"26"</f>
        <v>26</v>
      </c>
      <c r="E894" t="str">
        <f>"1-48-26"</f>
        <v>1-48-26</v>
      </c>
      <c r="F894" t="s">
        <v>15</v>
      </c>
      <c r="G894" t="s">
        <v>16</v>
      </c>
      <c r="H894" t="s">
        <v>17</v>
      </c>
      <c r="I894">
        <v>1</v>
      </c>
      <c r="J894">
        <v>0</v>
      </c>
      <c r="K894">
        <v>0</v>
      </c>
    </row>
    <row r="895" spans="1:11" x14ac:dyDescent="0.25">
      <c r="A895" t="str">
        <f>"1180"</f>
        <v>1180</v>
      </c>
      <c r="B895" t="str">
        <f t="shared" si="54"/>
        <v>1</v>
      </c>
      <c r="C895" t="str">
        <f t="shared" si="53"/>
        <v>48</v>
      </c>
      <c r="D895" t="str">
        <f>"4"</f>
        <v>4</v>
      </c>
      <c r="E895" t="str">
        <f>"1-48-4"</f>
        <v>1-48-4</v>
      </c>
      <c r="F895" t="s">
        <v>15</v>
      </c>
      <c r="G895" t="s">
        <v>16</v>
      </c>
      <c r="H895" t="s">
        <v>17</v>
      </c>
      <c r="I895">
        <v>0</v>
      </c>
      <c r="J895">
        <v>1</v>
      </c>
      <c r="K895">
        <v>0</v>
      </c>
    </row>
    <row r="896" spans="1:11" x14ac:dyDescent="0.25">
      <c r="A896" t="str">
        <f>"1181"</f>
        <v>1181</v>
      </c>
      <c r="B896" t="str">
        <f t="shared" si="54"/>
        <v>1</v>
      </c>
      <c r="C896" t="str">
        <f t="shared" si="53"/>
        <v>48</v>
      </c>
      <c r="D896" t="str">
        <f>"27"</f>
        <v>27</v>
      </c>
      <c r="E896" t="str">
        <f>"1-48-27"</f>
        <v>1-48-27</v>
      </c>
      <c r="F896" t="s">
        <v>15</v>
      </c>
      <c r="G896" t="s">
        <v>16</v>
      </c>
      <c r="H896" t="s">
        <v>17</v>
      </c>
      <c r="I896">
        <v>1</v>
      </c>
      <c r="J896">
        <v>0</v>
      </c>
      <c r="K896">
        <v>0</v>
      </c>
    </row>
    <row r="897" spans="1:11" x14ac:dyDescent="0.25">
      <c r="A897" t="str">
        <f>"1182"</f>
        <v>1182</v>
      </c>
      <c r="B897" t="str">
        <f t="shared" si="54"/>
        <v>1</v>
      </c>
      <c r="C897" t="str">
        <f t="shared" si="53"/>
        <v>48</v>
      </c>
      <c r="D897" t="str">
        <f>"13"</f>
        <v>13</v>
      </c>
      <c r="E897" t="str">
        <f>"1-48-13"</f>
        <v>1-48-13</v>
      </c>
      <c r="F897" t="s">
        <v>15</v>
      </c>
      <c r="G897" t="s">
        <v>16</v>
      </c>
      <c r="H897" t="s">
        <v>17</v>
      </c>
      <c r="I897">
        <v>0</v>
      </c>
      <c r="J897">
        <v>1</v>
      </c>
      <c r="K897">
        <v>0</v>
      </c>
    </row>
    <row r="898" spans="1:11" x14ac:dyDescent="0.25">
      <c r="A898" t="str">
        <f>"1183"</f>
        <v>1183</v>
      </c>
      <c r="B898" t="str">
        <f t="shared" si="54"/>
        <v>1</v>
      </c>
      <c r="C898" t="str">
        <f t="shared" si="53"/>
        <v>48</v>
      </c>
      <c r="D898" t="str">
        <f>"28"</f>
        <v>28</v>
      </c>
      <c r="E898" t="str">
        <f>"1-48-28"</f>
        <v>1-48-28</v>
      </c>
      <c r="F898" t="s">
        <v>15</v>
      </c>
      <c r="G898" t="s">
        <v>16</v>
      </c>
      <c r="H898" t="s">
        <v>17</v>
      </c>
      <c r="I898">
        <v>1</v>
      </c>
      <c r="J898">
        <v>0</v>
      </c>
      <c r="K898">
        <v>0</v>
      </c>
    </row>
    <row r="899" spans="1:11" x14ac:dyDescent="0.25">
      <c r="A899" t="str">
        <f>"1184"</f>
        <v>1184</v>
      </c>
      <c r="B899" t="str">
        <f t="shared" si="54"/>
        <v>1</v>
      </c>
      <c r="C899" t="str">
        <f t="shared" si="53"/>
        <v>48</v>
      </c>
      <c r="D899" t="str">
        <f>"29"</f>
        <v>29</v>
      </c>
      <c r="E899" t="str">
        <f>"1-48-29"</f>
        <v>1-48-29</v>
      </c>
      <c r="F899" t="s">
        <v>15</v>
      </c>
      <c r="G899" t="s">
        <v>16</v>
      </c>
      <c r="H899" t="s">
        <v>17</v>
      </c>
      <c r="I899">
        <v>1</v>
      </c>
      <c r="J899">
        <v>0</v>
      </c>
      <c r="K899">
        <v>0</v>
      </c>
    </row>
    <row r="900" spans="1:11" x14ac:dyDescent="0.25">
      <c r="A900" t="str">
        <f>"1185"</f>
        <v>1185</v>
      </c>
      <c r="B900" t="str">
        <f t="shared" si="54"/>
        <v>1</v>
      </c>
      <c r="C900" t="str">
        <f t="shared" si="53"/>
        <v>48</v>
      </c>
      <c r="D900" t="str">
        <f>"12"</f>
        <v>12</v>
      </c>
      <c r="E900" t="str">
        <f>"1-48-12"</f>
        <v>1-48-12</v>
      </c>
      <c r="F900" t="s">
        <v>15</v>
      </c>
      <c r="G900" t="s">
        <v>16</v>
      </c>
      <c r="H900" t="s">
        <v>17</v>
      </c>
      <c r="I900">
        <v>0</v>
      </c>
      <c r="J900">
        <v>1</v>
      </c>
      <c r="K900">
        <v>0</v>
      </c>
    </row>
    <row r="901" spans="1:11" x14ac:dyDescent="0.25">
      <c r="A901" t="str">
        <f>"1186"</f>
        <v>1186</v>
      </c>
      <c r="B901" t="str">
        <f t="shared" si="54"/>
        <v>1</v>
      </c>
      <c r="C901" t="str">
        <f t="shared" si="53"/>
        <v>48</v>
      </c>
      <c r="D901" t="str">
        <f>"7"</f>
        <v>7</v>
      </c>
      <c r="E901" t="str">
        <f>"1-48-7"</f>
        <v>1-48-7</v>
      </c>
      <c r="F901" t="s">
        <v>15</v>
      </c>
      <c r="G901" t="s">
        <v>18</v>
      </c>
      <c r="H901" t="s">
        <v>19</v>
      </c>
      <c r="I901">
        <v>0</v>
      </c>
      <c r="J901">
        <v>0</v>
      </c>
      <c r="K901">
        <v>1</v>
      </c>
    </row>
    <row r="902" spans="1:11" x14ac:dyDescent="0.25">
      <c r="A902" t="str">
        <f>"1187"</f>
        <v>1187</v>
      </c>
      <c r="B902" t="str">
        <f t="shared" si="54"/>
        <v>1</v>
      </c>
      <c r="C902" t="str">
        <f t="shared" si="53"/>
        <v>48</v>
      </c>
      <c r="D902" t="str">
        <f>"11"</f>
        <v>11</v>
      </c>
      <c r="E902" t="str">
        <f>"1-48-11"</f>
        <v>1-48-11</v>
      </c>
      <c r="F902" t="s">
        <v>15</v>
      </c>
      <c r="G902" t="s">
        <v>16</v>
      </c>
      <c r="H902" t="s">
        <v>17</v>
      </c>
      <c r="I902">
        <v>0</v>
      </c>
      <c r="J902">
        <v>0</v>
      </c>
      <c r="K902">
        <v>0</v>
      </c>
    </row>
    <row r="903" spans="1:11" x14ac:dyDescent="0.25">
      <c r="A903" t="str">
        <f>"1188"</f>
        <v>1188</v>
      </c>
      <c r="B903" t="str">
        <f t="shared" si="54"/>
        <v>1</v>
      </c>
      <c r="C903" t="str">
        <f t="shared" ref="C903:C928" si="55">"49"</f>
        <v>49</v>
      </c>
      <c r="D903" t="str">
        <f>"25"</f>
        <v>25</v>
      </c>
      <c r="E903" t="str">
        <f>"1-49-25"</f>
        <v>1-49-25</v>
      </c>
      <c r="F903" t="s">
        <v>15</v>
      </c>
      <c r="G903" t="s">
        <v>16</v>
      </c>
      <c r="H903" t="s">
        <v>17</v>
      </c>
      <c r="I903">
        <v>0</v>
      </c>
      <c r="J903">
        <v>1</v>
      </c>
      <c r="K903">
        <v>0</v>
      </c>
    </row>
    <row r="904" spans="1:11" x14ac:dyDescent="0.25">
      <c r="A904" t="str">
        <f>"1189"</f>
        <v>1189</v>
      </c>
      <c r="B904" t="str">
        <f t="shared" si="54"/>
        <v>1</v>
      </c>
      <c r="C904" t="str">
        <f t="shared" si="55"/>
        <v>49</v>
      </c>
      <c r="D904" t="str">
        <f>"15"</f>
        <v>15</v>
      </c>
      <c r="E904" t="str">
        <f>"1-49-15"</f>
        <v>1-49-15</v>
      </c>
      <c r="F904" t="s">
        <v>15</v>
      </c>
      <c r="G904" t="s">
        <v>16</v>
      </c>
      <c r="H904" t="s">
        <v>17</v>
      </c>
      <c r="I904">
        <v>0</v>
      </c>
      <c r="J904">
        <v>0</v>
      </c>
      <c r="K904">
        <v>1</v>
      </c>
    </row>
    <row r="905" spans="1:11" x14ac:dyDescent="0.25">
      <c r="A905" t="str">
        <f>"1190"</f>
        <v>1190</v>
      </c>
      <c r="B905" t="str">
        <f t="shared" si="54"/>
        <v>1</v>
      </c>
      <c r="C905" t="str">
        <f t="shared" si="55"/>
        <v>49</v>
      </c>
      <c r="D905" t="str">
        <f>"2"</f>
        <v>2</v>
      </c>
      <c r="E905" t="str">
        <f>"1-49-2"</f>
        <v>1-49-2</v>
      </c>
      <c r="F905" t="s">
        <v>15</v>
      </c>
      <c r="G905" t="s">
        <v>16</v>
      </c>
      <c r="H905" t="s">
        <v>17</v>
      </c>
      <c r="I905">
        <v>1</v>
      </c>
      <c r="J905">
        <v>0</v>
      </c>
      <c r="K905">
        <v>0</v>
      </c>
    </row>
    <row r="906" spans="1:11" x14ac:dyDescent="0.25">
      <c r="A906" t="str">
        <f>"1191"</f>
        <v>1191</v>
      </c>
      <c r="B906" t="str">
        <f t="shared" si="54"/>
        <v>1</v>
      </c>
      <c r="C906" t="str">
        <f t="shared" si="55"/>
        <v>49</v>
      </c>
      <c r="D906" t="str">
        <f>"18"</f>
        <v>18</v>
      </c>
      <c r="E906" t="str">
        <f>"1-49-18"</f>
        <v>1-49-18</v>
      </c>
      <c r="F906" t="s">
        <v>15</v>
      </c>
      <c r="G906" t="s">
        <v>16</v>
      </c>
      <c r="H906" t="s">
        <v>17</v>
      </c>
      <c r="I906">
        <v>0</v>
      </c>
      <c r="J906">
        <v>0</v>
      </c>
      <c r="K906">
        <v>1</v>
      </c>
    </row>
    <row r="907" spans="1:11" x14ac:dyDescent="0.25">
      <c r="A907" t="str">
        <f>"1192"</f>
        <v>1192</v>
      </c>
      <c r="B907" t="str">
        <f t="shared" si="54"/>
        <v>1</v>
      </c>
      <c r="C907" t="str">
        <f t="shared" si="55"/>
        <v>49</v>
      </c>
      <c r="D907" t="str">
        <f>"16"</f>
        <v>16</v>
      </c>
      <c r="E907" t="str">
        <f>"1-49-16"</f>
        <v>1-49-16</v>
      </c>
      <c r="F907" t="s">
        <v>15</v>
      </c>
      <c r="G907" t="s">
        <v>16</v>
      </c>
      <c r="H907" t="s">
        <v>17</v>
      </c>
      <c r="I907">
        <v>0</v>
      </c>
      <c r="J907">
        <v>1</v>
      </c>
      <c r="K907">
        <v>0</v>
      </c>
    </row>
    <row r="908" spans="1:11" x14ac:dyDescent="0.25">
      <c r="A908" t="str">
        <f>"1193"</f>
        <v>1193</v>
      </c>
      <c r="B908" t="str">
        <f t="shared" si="54"/>
        <v>1</v>
      </c>
      <c r="C908" t="str">
        <f t="shared" si="55"/>
        <v>49</v>
      </c>
      <c r="D908" t="str">
        <f>"4"</f>
        <v>4</v>
      </c>
      <c r="E908" t="str">
        <f>"1-49-4"</f>
        <v>1-49-4</v>
      </c>
      <c r="F908" t="s">
        <v>15</v>
      </c>
      <c r="G908" t="s">
        <v>18</v>
      </c>
      <c r="H908" t="s">
        <v>19</v>
      </c>
      <c r="I908">
        <v>1</v>
      </c>
      <c r="J908">
        <v>0</v>
      </c>
      <c r="K908">
        <v>0</v>
      </c>
    </row>
    <row r="909" spans="1:11" x14ac:dyDescent="0.25">
      <c r="A909" t="str">
        <f>"1194"</f>
        <v>1194</v>
      </c>
      <c r="B909" t="str">
        <f t="shared" si="54"/>
        <v>1</v>
      </c>
      <c r="C909" t="str">
        <f t="shared" si="55"/>
        <v>49</v>
      </c>
      <c r="D909" t="str">
        <f>"17"</f>
        <v>17</v>
      </c>
      <c r="E909" t="str">
        <f>"1-49-17"</f>
        <v>1-49-17</v>
      </c>
      <c r="F909" t="s">
        <v>15</v>
      </c>
      <c r="G909" t="s">
        <v>16</v>
      </c>
      <c r="H909" t="s">
        <v>17</v>
      </c>
      <c r="I909">
        <v>1</v>
      </c>
      <c r="J909">
        <v>0</v>
      </c>
      <c r="K909">
        <v>0</v>
      </c>
    </row>
    <row r="910" spans="1:11" x14ac:dyDescent="0.25">
      <c r="A910" t="str">
        <f>"1195"</f>
        <v>1195</v>
      </c>
      <c r="B910" t="str">
        <f t="shared" si="54"/>
        <v>1</v>
      </c>
      <c r="C910" t="str">
        <f t="shared" si="55"/>
        <v>49</v>
      </c>
      <c r="D910" t="str">
        <f>"3"</f>
        <v>3</v>
      </c>
      <c r="E910" t="str">
        <f>"1-49-3"</f>
        <v>1-49-3</v>
      </c>
      <c r="F910" t="s">
        <v>15</v>
      </c>
      <c r="G910" t="s">
        <v>16</v>
      </c>
      <c r="H910" t="s">
        <v>17</v>
      </c>
      <c r="I910">
        <v>1</v>
      </c>
      <c r="J910">
        <v>0</v>
      </c>
      <c r="K910">
        <v>0</v>
      </c>
    </row>
    <row r="911" spans="1:11" x14ac:dyDescent="0.25">
      <c r="A911" t="str">
        <f>"1196"</f>
        <v>1196</v>
      </c>
      <c r="B911" t="str">
        <f t="shared" si="54"/>
        <v>1</v>
      </c>
      <c r="C911" t="str">
        <f t="shared" si="55"/>
        <v>49</v>
      </c>
      <c r="D911" t="str">
        <f>"19"</f>
        <v>19</v>
      </c>
      <c r="E911" t="str">
        <f>"1-49-19"</f>
        <v>1-49-19</v>
      </c>
      <c r="F911" t="s">
        <v>15</v>
      </c>
      <c r="G911" t="s">
        <v>16</v>
      </c>
      <c r="H911" t="s">
        <v>17</v>
      </c>
      <c r="I911">
        <v>0</v>
      </c>
      <c r="J911">
        <v>1</v>
      </c>
      <c r="K911">
        <v>0</v>
      </c>
    </row>
    <row r="912" spans="1:11" x14ac:dyDescent="0.25">
      <c r="A912" t="str">
        <f>"1197"</f>
        <v>1197</v>
      </c>
      <c r="B912" t="str">
        <f t="shared" si="54"/>
        <v>1</v>
      </c>
      <c r="C912" t="str">
        <f t="shared" si="55"/>
        <v>49</v>
      </c>
      <c r="D912" t="str">
        <f>"6"</f>
        <v>6</v>
      </c>
      <c r="E912" t="str">
        <f>"1-49-6"</f>
        <v>1-49-6</v>
      </c>
      <c r="F912" t="s">
        <v>15</v>
      </c>
      <c r="G912" t="s">
        <v>16</v>
      </c>
      <c r="H912" t="s">
        <v>17</v>
      </c>
      <c r="I912">
        <v>1</v>
      </c>
      <c r="J912">
        <v>0</v>
      </c>
      <c r="K912">
        <v>0</v>
      </c>
    </row>
    <row r="913" spans="1:11" x14ac:dyDescent="0.25">
      <c r="A913" t="str">
        <f>"1198"</f>
        <v>1198</v>
      </c>
      <c r="B913" t="str">
        <f t="shared" si="54"/>
        <v>1</v>
      </c>
      <c r="C913" t="str">
        <f t="shared" si="55"/>
        <v>49</v>
      </c>
      <c r="D913" t="str">
        <f>"20"</f>
        <v>20</v>
      </c>
      <c r="E913" t="str">
        <f>"1-49-20"</f>
        <v>1-49-20</v>
      </c>
      <c r="F913" t="s">
        <v>15</v>
      </c>
      <c r="G913" t="s">
        <v>18</v>
      </c>
      <c r="H913" t="s">
        <v>19</v>
      </c>
      <c r="I913">
        <v>1</v>
      </c>
      <c r="J913">
        <v>0</v>
      </c>
      <c r="K913">
        <v>0</v>
      </c>
    </row>
    <row r="914" spans="1:11" x14ac:dyDescent="0.25">
      <c r="A914" t="str">
        <f>"1199"</f>
        <v>1199</v>
      </c>
      <c r="B914" t="str">
        <f t="shared" si="54"/>
        <v>1</v>
      </c>
      <c r="C914" t="str">
        <f t="shared" si="55"/>
        <v>49</v>
      </c>
      <c r="D914" t="str">
        <f>"5"</f>
        <v>5</v>
      </c>
      <c r="E914" t="str">
        <f>"1-49-5"</f>
        <v>1-49-5</v>
      </c>
      <c r="F914" t="s">
        <v>15</v>
      </c>
      <c r="G914" t="s">
        <v>16</v>
      </c>
      <c r="H914" t="s">
        <v>17</v>
      </c>
      <c r="I914">
        <v>0</v>
      </c>
      <c r="J914">
        <v>0</v>
      </c>
      <c r="K914">
        <v>1</v>
      </c>
    </row>
    <row r="915" spans="1:11" x14ac:dyDescent="0.25">
      <c r="A915" t="str">
        <f>"1200"</f>
        <v>1200</v>
      </c>
      <c r="B915" t="str">
        <f t="shared" si="54"/>
        <v>1</v>
      </c>
      <c r="C915" t="str">
        <f t="shared" si="55"/>
        <v>49</v>
      </c>
      <c r="D915" t="str">
        <f>"21"</f>
        <v>21</v>
      </c>
      <c r="E915" t="str">
        <f>"1-49-21"</f>
        <v>1-49-21</v>
      </c>
      <c r="F915" t="s">
        <v>15</v>
      </c>
      <c r="G915" t="s">
        <v>16</v>
      </c>
      <c r="H915" t="s">
        <v>17</v>
      </c>
      <c r="I915">
        <v>1</v>
      </c>
      <c r="J915">
        <v>0</v>
      </c>
      <c r="K915">
        <v>0</v>
      </c>
    </row>
    <row r="916" spans="1:11" x14ac:dyDescent="0.25">
      <c r="A916" t="str">
        <f>"1201"</f>
        <v>1201</v>
      </c>
      <c r="B916" t="str">
        <f t="shared" si="54"/>
        <v>1</v>
      </c>
      <c r="C916" t="str">
        <f t="shared" si="55"/>
        <v>49</v>
      </c>
      <c r="D916" t="str">
        <f>"13"</f>
        <v>13</v>
      </c>
      <c r="E916" t="str">
        <f>"1-49-13"</f>
        <v>1-49-13</v>
      </c>
      <c r="F916" t="s">
        <v>15</v>
      </c>
      <c r="G916" t="s">
        <v>16</v>
      </c>
      <c r="H916" t="s">
        <v>17</v>
      </c>
      <c r="I916">
        <v>0</v>
      </c>
      <c r="J916">
        <v>0</v>
      </c>
      <c r="K916">
        <v>1</v>
      </c>
    </row>
    <row r="917" spans="1:11" x14ac:dyDescent="0.25">
      <c r="A917" t="str">
        <f>"1202"</f>
        <v>1202</v>
      </c>
      <c r="B917" t="str">
        <f t="shared" si="54"/>
        <v>1</v>
      </c>
      <c r="C917" t="str">
        <f t="shared" si="55"/>
        <v>49</v>
      </c>
      <c r="D917" t="str">
        <f>"22"</f>
        <v>22</v>
      </c>
      <c r="E917" t="str">
        <f>"1-49-22"</f>
        <v>1-49-22</v>
      </c>
      <c r="F917" t="s">
        <v>15</v>
      </c>
      <c r="G917" t="s">
        <v>16</v>
      </c>
      <c r="H917" t="s">
        <v>17</v>
      </c>
      <c r="I917">
        <v>0</v>
      </c>
      <c r="J917">
        <v>0</v>
      </c>
      <c r="K917">
        <v>1</v>
      </c>
    </row>
    <row r="918" spans="1:11" x14ac:dyDescent="0.25">
      <c r="A918" t="str">
        <f>"1203"</f>
        <v>1203</v>
      </c>
      <c r="B918" t="str">
        <f t="shared" si="54"/>
        <v>1</v>
      </c>
      <c r="C918" t="str">
        <f t="shared" si="55"/>
        <v>49</v>
      </c>
      <c r="D918" t="str">
        <f>"1"</f>
        <v>1</v>
      </c>
      <c r="E918" t="str">
        <f>"1-49-1"</f>
        <v>1-49-1</v>
      </c>
      <c r="F918" t="s">
        <v>15</v>
      </c>
      <c r="G918" t="s">
        <v>16</v>
      </c>
      <c r="H918" t="s">
        <v>17</v>
      </c>
      <c r="I918">
        <v>0</v>
      </c>
      <c r="J918">
        <v>1</v>
      </c>
      <c r="K918">
        <v>0</v>
      </c>
    </row>
    <row r="919" spans="1:11" x14ac:dyDescent="0.25">
      <c r="A919" t="str">
        <f>"1204"</f>
        <v>1204</v>
      </c>
      <c r="B919" t="str">
        <f t="shared" si="54"/>
        <v>1</v>
      </c>
      <c r="C919" t="str">
        <f t="shared" si="55"/>
        <v>49</v>
      </c>
      <c r="D919" t="str">
        <f>"23"</f>
        <v>23</v>
      </c>
      <c r="E919" t="str">
        <f>"1-49-23"</f>
        <v>1-49-23</v>
      </c>
      <c r="F919" t="s">
        <v>15</v>
      </c>
      <c r="G919" t="s">
        <v>16</v>
      </c>
      <c r="H919" t="s">
        <v>17</v>
      </c>
      <c r="I919">
        <v>0</v>
      </c>
      <c r="J919">
        <v>1</v>
      </c>
      <c r="K919">
        <v>0</v>
      </c>
    </row>
    <row r="920" spans="1:11" x14ac:dyDescent="0.25">
      <c r="A920" t="str">
        <f>"1205"</f>
        <v>1205</v>
      </c>
      <c r="B920" t="str">
        <f t="shared" si="54"/>
        <v>1</v>
      </c>
      <c r="C920" t="str">
        <f t="shared" si="55"/>
        <v>49</v>
      </c>
      <c r="D920" t="str">
        <f>"14"</f>
        <v>14</v>
      </c>
      <c r="E920" t="str">
        <f>"1-49-14"</f>
        <v>1-49-14</v>
      </c>
      <c r="F920" t="s">
        <v>15</v>
      </c>
      <c r="G920" t="s">
        <v>16</v>
      </c>
      <c r="H920" t="s">
        <v>17</v>
      </c>
      <c r="I920">
        <v>0</v>
      </c>
      <c r="J920">
        <v>0</v>
      </c>
      <c r="K920">
        <v>1</v>
      </c>
    </row>
    <row r="921" spans="1:11" x14ac:dyDescent="0.25">
      <c r="A921" t="str">
        <f>"1206"</f>
        <v>1206</v>
      </c>
      <c r="B921" t="str">
        <f t="shared" si="54"/>
        <v>1</v>
      </c>
      <c r="C921" t="str">
        <f t="shared" si="55"/>
        <v>49</v>
      </c>
      <c r="D921" t="str">
        <f>"24"</f>
        <v>24</v>
      </c>
      <c r="E921" t="str">
        <f>"1-49-24"</f>
        <v>1-49-24</v>
      </c>
      <c r="F921" t="s">
        <v>15</v>
      </c>
      <c r="G921" t="s">
        <v>16</v>
      </c>
      <c r="H921" t="s">
        <v>17</v>
      </c>
      <c r="I921">
        <v>1</v>
      </c>
      <c r="J921">
        <v>0</v>
      </c>
      <c r="K921">
        <v>0</v>
      </c>
    </row>
    <row r="922" spans="1:11" x14ac:dyDescent="0.25">
      <c r="A922" t="str">
        <f>"1207"</f>
        <v>1207</v>
      </c>
      <c r="B922" t="str">
        <f t="shared" si="54"/>
        <v>1</v>
      </c>
      <c r="C922" t="str">
        <f t="shared" si="55"/>
        <v>49</v>
      </c>
      <c r="D922" t="str">
        <f>"11"</f>
        <v>11</v>
      </c>
      <c r="E922" t="str">
        <f>"1-49-11"</f>
        <v>1-49-11</v>
      </c>
      <c r="F922" t="s">
        <v>15</v>
      </c>
      <c r="G922" t="s">
        <v>16</v>
      </c>
      <c r="H922" t="s">
        <v>17</v>
      </c>
      <c r="I922">
        <v>1</v>
      </c>
      <c r="J922">
        <v>0</v>
      </c>
      <c r="K922">
        <v>0</v>
      </c>
    </row>
    <row r="923" spans="1:11" x14ac:dyDescent="0.25">
      <c r="A923" t="str">
        <f>"1208"</f>
        <v>1208</v>
      </c>
      <c r="B923" t="str">
        <f t="shared" si="54"/>
        <v>1</v>
      </c>
      <c r="C923" t="str">
        <f t="shared" si="55"/>
        <v>49</v>
      </c>
      <c r="D923" t="str">
        <f>"26"</f>
        <v>26</v>
      </c>
      <c r="E923" t="str">
        <f>"1-49-26"</f>
        <v>1-49-26</v>
      </c>
      <c r="F923" t="s">
        <v>15</v>
      </c>
      <c r="G923" t="s">
        <v>16</v>
      </c>
      <c r="H923" t="s">
        <v>17</v>
      </c>
      <c r="I923">
        <v>0</v>
      </c>
      <c r="J923">
        <v>0</v>
      </c>
      <c r="K923">
        <v>1</v>
      </c>
    </row>
    <row r="924" spans="1:11" x14ac:dyDescent="0.25">
      <c r="A924" t="str">
        <f>"1209"</f>
        <v>1209</v>
      </c>
      <c r="B924" t="str">
        <f t="shared" si="54"/>
        <v>1</v>
      </c>
      <c r="C924" t="str">
        <f t="shared" si="55"/>
        <v>49</v>
      </c>
      <c r="D924" t="str">
        <f>"8"</f>
        <v>8</v>
      </c>
      <c r="E924" t="str">
        <f>"1-49-8"</f>
        <v>1-49-8</v>
      </c>
      <c r="F924" t="s">
        <v>15</v>
      </c>
      <c r="G924" t="s">
        <v>16</v>
      </c>
      <c r="H924" t="s">
        <v>17</v>
      </c>
      <c r="I924">
        <v>0</v>
      </c>
      <c r="J924">
        <v>1</v>
      </c>
      <c r="K924">
        <v>0</v>
      </c>
    </row>
    <row r="925" spans="1:11" x14ac:dyDescent="0.25">
      <c r="A925" t="str">
        <f>"1210"</f>
        <v>1210</v>
      </c>
      <c r="B925" t="str">
        <f t="shared" si="54"/>
        <v>1</v>
      </c>
      <c r="C925" t="str">
        <f t="shared" si="55"/>
        <v>49</v>
      </c>
      <c r="D925" t="str">
        <f>"9"</f>
        <v>9</v>
      </c>
      <c r="E925" t="str">
        <f>"1-49-9"</f>
        <v>1-49-9</v>
      </c>
      <c r="F925" t="s">
        <v>15</v>
      </c>
      <c r="G925" t="s">
        <v>16</v>
      </c>
      <c r="H925" t="s">
        <v>17</v>
      </c>
      <c r="I925">
        <v>0</v>
      </c>
      <c r="J925">
        <v>1</v>
      </c>
      <c r="K925">
        <v>0</v>
      </c>
    </row>
    <row r="926" spans="1:11" x14ac:dyDescent="0.25">
      <c r="A926" t="str">
        <f>"1211"</f>
        <v>1211</v>
      </c>
      <c r="B926" t="str">
        <f t="shared" si="54"/>
        <v>1</v>
      </c>
      <c r="C926" t="str">
        <f t="shared" si="55"/>
        <v>49</v>
      </c>
      <c r="D926" t="str">
        <f>"7"</f>
        <v>7</v>
      </c>
      <c r="E926" t="str">
        <f>"1-49-7"</f>
        <v>1-49-7</v>
      </c>
      <c r="F926" t="s">
        <v>15</v>
      </c>
      <c r="G926" t="s">
        <v>16</v>
      </c>
      <c r="H926" t="s">
        <v>17</v>
      </c>
      <c r="I926">
        <v>1</v>
      </c>
      <c r="J926">
        <v>0</v>
      </c>
      <c r="K926">
        <v>0</v>
      </c>
    </row>
    <row r="927" spans="1:11" x14ac:dyDescent="0.25">
      <c r="A927" t="str">
        <f>"1212"</f>
        <v>1212</v>
      </c>
      <c r="B927" t="str">
        <f t="shared" si="54"/>
        <v>1</v>
      </c>
      <c r="C927" t="str">
        <f t="shared" si="55"/>
        <v>49</v>
      </c>
      <c r="D927" t="str">
        <f>"12"</f>
        <v>12</v>
      </c>
      <c r="E927" t="str">
        <f>"1-49-12"</f>
        <v>1-49-12</v>
      </c>
      <c r="F927" t="s">
        <v>15</v>
      </c>
      <c r="G927" t="s">
        <v>18</v>
      </c>
      <c r="H927" t="s">
        <v>19</v>
      </c>
      <c r="I927">
        <v>1</v>
      </c>
      <c r="J927">
        <v>0</v>
      </c>
      <c r="K927">
        <v>0</v>
      </c>
    </row>
    <row r="928" spans="1:11" x14ac:dyDescent="0.25">
      <c r="A928" t="str">
        <f>"1213"</f>
        <v>1213</v>
      </c>
      <c r="B928" t="str">
        <f t="shared" si="54"/>
        <v>1</v>
      </c>
      <c r="C928" t="str">
        <f t="shared" si="55"/>
        <v>49</v>
      </c>
      <c r="D928" t="str">
        <f>"10"</f>
        <v>10</v>
      </c>
      <c r="E928" t="str">
        <f>"1-49-10"</f>
        <v>1-49-10</v>
      </c>
      <c r="F928" t="s">
        <v>15</v>
      </c>
      <c r="G928" t="s">
        <v>16</v>
      </c>
      <c r="H928" t="s">
        <v>17</v>
      </c>
      <c r="I928">
        <v>1</v>
      </c>
      <c r="J928">
        <v>0</v>
      </c>
      <c r="K928">
        <v>0</v>
      </c>
    </row>
    <row r="929" spans="1:11" x14ac:dyDescent="0.25">
      <c r="A929" t="str">
        <f>"1214"</f>
        <v>1214</v>
      </c>
      <c r="B929" t="str">
        <f t="shared" si="54"/>
        <v>1</v>
      </c>
      <c r="C929" t="str">
        <f t="shared" ref="C929:C953" si="56">"50"</f>
        <v>50</v>
      </c>
      <c r="D929" t="str">
        <f>"15"</f>
        <v>15</v>
      </c>
      <c r="E929" t="str">
        <f>"1-50-15"</f>
        <v>1-50-15</v>
      </c>
      <c r="F929" t="s">
        <v>15</v>
      </c>
      <c r="G929" t="s">
        <v>16</v>
      </c>
      <c r="H929" t="s">
        <v>17</v>
      </c>
      <c r="I929">
        <v>1</v>
      </c>
      <c r="J929">
        <v>0</v>
      </c>
      <c r="K929">
        <v>0</v>
      </c>
    </row>
    <row r="930" spans="1:11" x14ac:dyDescent="0.25">
      <c r="A930" t="str">
        <f>"1215"</f>
        <v>1215</v>
      </c>
      <c r="B930" t="str">
        <f t="shared" si="54"/>
        <v>1</v>
      </c>
      <c r="C930" t="str">
        <f t="shared" si="56"/>
        <v>50</v>
      </c>
      <c r="D930" t="str">
        <f>"6"</f>
        <v>6</v>
      </c>
      <c r="E930" t="str">
        <f>"1-50-6"</f>
        <v>1-50-6</v>
      </c>
      <c r="F930" t="s">
        <v>15</v>
      </c>
      <c r="G930" t="s">
        <v>16</v>
      </c>
      <c r="H930" t="s">
        <v>17</v>
      </c>
      <c r="I930">
        <v>0</v>
      </c>
      <c r="J930">
        <v>0</v>
      </c>
      <c r="K930">
        <v>1</v>
      </c>
    </row>
    <row r="931" spans="1:11" x14ac:dyDescent="0.25">
      <c r="A931" t="str">
        <f>"1216"</f>
        <v>1216</v>
      </c>
      <c r="B931" t="str">
        <f t="shared" si="54"/>
        <v>1</v>
      </c>
      <c r="C931" t="str">
        <f t="shared" si="56"/>
        <v>50</v>
      </c>
      <c r="D931" t="str">
        <f>"5"</f>
        <v>5</v>
      </c>
      <c r="E931" t="str">
        <f>"1-50-5"</f>
        <v>1-50-5</v>
      </c>
      <c r="F931" t="s">
        <v>15</v>
      </c>
      <c r="G931" t="s">
        <v>18</v>
      </c>
      <c r="H931" t="s">
        <v>19</v>
      </c>
      <c r="I931">
        <v>1</v>
      </c>
      <c r="J931">
        <v>0</v>
      </c>
      <c r="K931">
        <v>0</v>
      </c>
    </row>
    <row r="932" spans="1:11" x14ac:dyDescent="0.25">
      <c r="A932" t="str">
        <f>"1217"</f>
        <v>1217</v>
      </c>
      <c r="B932" t="str">
        <f t="shared" si="54"/>
        <v>1</v>
      </c>
      <c r="C932" t="str">
        <f t="shared" si="56"/>
        <v>50</v>
      </c>
      <c r="D932" t="str">
        <f>"17"</f>
        <v>17</v>
      </c>
      <c r="E932" t="str">
        <f>"1-50-17"</f>
        <v>1-50-17</v>
      </c>
      <c r="F932" t="s">
        <v>15</v>
      </c>
      <c r="G932" t="s">
        <v>20</v>
      </c>
      <c r="H932" t="s">
        <v>21</v>
      </c>
      <c r="I932">
        <v>0</v>
      </c>
      <c r="J932">
        <v>0</v>
      </c>
      <c r="K932">
        <v>1</v>
      </c>
    </row>
    <row r="933" spans="1:11" x14ac:dyDescent="0.25">
      <c r="A933" t="str">
        <f>"1218"</f>
        <v>1218</v>
      </c>
      <c r="B933" t="str">
        <f t="shared" si="54"/>
        <v>1</v>
      </c>
      <c r="C933" t="str">
        <f t="shared" si="56"/>
        <v>50</v>
      </c>
      <c r="D933" t="str">
        <f>"18"</f>
        <v>18</v>
      </c>
      <c r="E933" t="str">
        <f>"1-50-18"</f>
        <v>1-50-18</v>
      </c>
      <c r="F933" t="s">
        <v>15</v>
      </c>
      <c r="G933" t="s">
        <v>16</v>
      </c>
      <c r="H933" t="s">
        <v>17</v>
      </c>
      <c r="I933">
        <v>0</v>
      </c>
      <c r="J933">
        <v>1</v>
      </c>
      <c r="K933">
        <v>0</v>
      </c>
    </row>
    <row r="934" spans="1:11" x14ac:dyDescent="0.25">
      <c r="A934" t="str">
        <f>"1219"</f>
        <v>1219</v>
      </c>
      <c r="B934" t="str">
        <f t="shared" si="54"/>
        <v>1</v>
      </c>
      <c r="C934" t="str">
        <f t="shared" si="56"/>
        <v>50</v>
      </c>
      <c r="D934" t="str">
        <f>"13"</f>
        <v>13</v>
      </c>
      <c r="E934" t="str">
        <f>"1-50-13"</f>
        <v>1-50-13</v>
      </c>
      <c r="F934" t="s">
        <v>15</v>
      </c>
      <c r="G934" t="s">
        <v>16</v>
      </c>
      <c r="H934" t="s">
        <v>17</v>
      </c>
      <c r="I934">
        <v>0</v>
      </c>
      <c r="J934">
        <v>0</v>
      </c>
      <c r="K934">
        <v>1</v>
      </c>
    </row>
    <row r="935" spans="1:11" x14ac:dyDescent="0.25">
      <c r="A935" t="str">
        <f>"1220"</f>
        <v>1220</v>
      </c>
      <c r="B935" t="str">
        <f t="shared" si="54"/>
        <v>1</v>
      </c>
      <c r="C935" t="str">
        <f t="shared" si="56"/>
        <v>50</v>
      </c>
      <c r="D935" t="str">
        <f>"4"</f>
        <v>4</v>
      </c>
      <c r="E935" t="str">
        <f>"1-50-4"</f>
        <v>1-50-4</v>
      </c>
      <c r="F935" t="s">
        <v>15</v>
      </c>
      <c r="G935" t="s">
        <v>18</v>
      </c>
      <c r="H935" t="s">
        <v>19</v>
      </c>
      <c r="I935">
        <v>1</v>
      </c>
      <c r="J935">
        <v>0</v>
      </c>
      <c r="K935">
        <v>0</v>
      </c>
    </row>
    <row r="936" spans="1:11" x14ac:dyDescent="0.25">
      <c r="A936" t="str">
        <f>"1221"</f>
        <v>1221</v>
      </c>
      <c r="B936" t="str">
        <f t="shared" si="54"/>
        <v>1</v>
      </c>
      <c r="C936" t="str">
        <f t="shared" si="56"/>
        <v>50</v>
      </c>
      <c r="D936" t="str">
        <f>"21"</f>
        <v>21</v>
      </c>
      <c r="E936" t="str">
        <f>"1-50-21"</f>
        <v>1-50-21</v>
      </c>
      <c r="F936" t="s">
        <v>15</v>
      </c>
      <c r="G936" t="s">
        <v>20</v>
      </c>
      <c r="H936" t="s">
        <v>21</v>
      </c>
      <c r="I936">
        <v>1</v>
      </c>
      <c r="J936">
        <v>0</v>
      </c>
      <c r="K936">
        <v>0</v>
      </c>
    </row>
    <row r="937" spans="1:11" x14ac:dyDescent="0.25">
      <c r="A937" t="str">
        <f>"1222"</f>
        <v>1222</v>
      </c>
      <c r="B937" t="str">
        <f t="shared" si="54"/>
        <v>1</v>
      </c>
      <c r="C937" t="str">
        <f t="shared" si="56"/>
        <v>50</v>
      </c>
      <c r="D937" t="str">
        <f>"14"</f>
        <v>14</v>
      </c>
      <c r="E937" t="str">
        <f>"1-50-14"</f>
        <v>1-50-14</v>
      </c>
      <c r="F937" t="s">
        <v>15</v>
      </c>
      <c r="G937" t="s">
        <v>16</v>
      </c>
      <c r="H937" t="s">
        <v>17</v>
      </c>
      <c r="I937">
        <v>0</v>
      </c>
      <c r="J937">
        <v>0</v>
      </c>
      <c r="K937">
        <v>1</v>
      </c>
    </row>
    <row r="938" spans="1:11" x14ac:dyDescent="0.25">
      <c r="A938" t="str">
        <f>"1223"</f>
        <v>1223</v>
      </c>
      <c r="B938" t="str">
        <f t="shared" si="54"/>
        <v>1</v>
      </c>
      <c r="C938" t="str">
        <f t="shared" si="56"/>
        <v>50</v>
      </c>
      <c r="D938" t="str">
        <f>"22"</f>
        <v>22</v>
      </c>
      <c r="E938" t="str">
        <f>"1-50-22"</f>
        <v>1-50-22</v>
      </c>
      <c r="F938" t="s">
        <v>15</v>
      </c>
      <c r="G938" t="s">
        <v>16</v>
      </c>
      <c r="H938" t="s">
        <v>17</v>
      </c>
      <c r="I938">
        <v>0</v>
      </c>
      <c r="J938">
        <v>0</v>
      </c>
      <c r="K938">
        <v>1</v>
      </c>
    </row>
    <row r="939" spans="1:11" x14ac:dyDescent="0.25">
      <c r="A939" t="str">
        <f>"1224"</f>
        <v>1224</v>
      </c>
      <c r="B939" t="str">
        <f t="shared" si="54"/>
        <v>1</v>
      </c>
      <c r="C939" t="str">
        <f t="shared" si="56"/>
        <v>50</v>
      </c>
      <c r="D939" t="str">
        <f>"1"</f>
        <v>1</v>
      </c>
      <c r="E939" t="str">
        <f>"1-50-1"</f>
        <v>1-50-1</v>
      </c>
      <c r="F939" t="s">
        <v>15</v>
      </c>
      <c r="G939" t="s">
        <v>18</v>
      </c>
      <c r="H939" t="s">
        <v>19</v>
      </c>
      <c r="I939">
        <v>0</v>
      </c>
      <c r="J939">
        <v>0</v>
      </c>
      <c r="K939">
        <v>1</v>
      </c>
    </row>
    <row r="940" spans="1:11" x14ac:dyDescent="0.25">
      <c r="A940" t="str">
        <f>"1225"</f>
        <v>1225</v>
      </c>
      <c r="B940" t="str">
        <f t="shared" si="54"/>
        <v>1</v>
      </c>
      <c r="C940" t="str">
        <f t="shared" si="56"/>
        <v>50</v>
      </c>
      <c r="D940" t="str">
        <f>"23"</f>
        <v>23</v>
      </c>
      <c r="E940" t="str">
        <f>"1-50-23"</f>
        <v>1-50-23</v>
      </c>
      <c r="F940" t="s">
        <v>15</v>
      </c>
      <c r="G940" t="s">
        <v>18</v>
      </c>
      <c r="H940" t="s">
        <v>19</v>
      </c>
      <c r="I940">
        <v>1</v>
      </c>
      <c r="J940">
        <v>0</v>
      </c>
      <c r="K940">
        <v>0</v>
      </c>
    </row>
    <row r="941" spans="1:11" x14ac:dyDescent="0.25">
      <c r="A941" t="str">
        <f>"1226"</f>
        <v>1226</v>
      </c>
      <c r="B941" t="str">
        <f t="shared" si="54"/>
        <v>1</v>
      </c>
      <c r="C941" t="str">
        <f t="shared" si="56"/>
        <v>50</v>
      </c>
      <c r="D941" t="str">
        <f>"3"</f>
        <v>3</v>
      </c>
      <c r="E941" t="str">
        <f>"1-50-3"</f>
        <v>1-50-3</v>
      </c>
      <c r="F941" t="s">
        <v>15</v>
      </c>
      <c r="G941" t="s">
        <v>16</v>
      </c>
      <c r="H941" t="s">
        <v>17</v>
      </c>
      <c r="I941">
        <v>1</v>
      </c>
      <c r="J941">
        <v>0</v>
      </c>
      <c r="K941">
        <v>0</v>
      </c>
    </row>
    <row r="942" spans="1:11" x14ac:dyDescent="0.25">
      <c r="A942" t="str">
        <f>"1227"</f>
        <v>1227</v>
      </c>
      <c r="B942" t="str">
        <f t="shared" si="54"/>
        <v>1</v>
      </c>
      <c r="C942" t="str">
        <f t="shared" si="56"/>
        <v>50</v>
      </c>
      <c r="D942" t="str">
        <f>"24"</f>
        <v>24</v>
      </c>
      <c r="E942" t="str">
        <f>"1-50-24"</f>
        <v>1-50-24</v>
      </c>
      <c r="F942" t="s">
        <v>15</v>
      </c>
      <c r="G942" t="s">
        <v>16</v>
      </c>
      <c r="H942" t="s">
        <v>17</v>
      </c>
      <c r="I942">
        <v>0</v>
      </c>
      <c r="J942">
        <v>1</v>
      </c>
      <c r="K942">
        <v>0</v>
      </c>
    </row>
    <row r="943" spans="1:11" x14ac:dyDescent="0.25">
      <c r="A943" t="str">
        <f>"1228"</f>
        <v>1228</v>
      </c>
      <c r="B943" t="str">
        <f t="shared" si="54"/>
        <v>1</v>
      </c>
      <c r="C943" t="str">
        <f t="shared" si="56"/>
        <v>50</v>
      </c>
      <c r="D943" t="str">
        <f>"11"</f>
        <v>11</v>
      </c>
      <c r="E943" t="str">
        <f>"1-50-11"</f>
        <v>1-50-11</v>
      </c>
      <c r="F943" t="s">
        <v>15</v>
      </c>
      <c r="G943" t="s">
        <v>16</v>
      </c>
      <c r="H943" t="s">
        <v>17</v>
      </c>
      <c r="I943">
        <v>0</v>
      </c>
      <c r="J943">
        <v>1</v>
      </c>
      <c r="K943">
        <v>0</v>
      </c>
    </row>
    <row r="944" spans="1:11" x14ac:dyDescent="0.25">
      <c r="A944" t="str">
        <f>"1229"</f>
        <v>1229</v>
      </c>
      <c r="B944" t="str">
        <f t="shared" si="54"/>
        <v>1</v>
      </c>
      <c r="C944" t="str">
        <f t="shared" si="56"/>
        <v>50</v>
      </c>
      <c r="D944" t="str">
        <f>"25"</f>
        <v>25</v>
      </c>
      <c r="E944" t="str">
        <f>"1-50-25"</f>
        <v>1-50-25</v>
      </c>
      <c r="F944" t="s">
        <v>15</v>
      </c>
      <c r="G944" t="s">
        <v>18</v>
      </c>
      <c r="H944" t="s">
        <v>19</v>
      </c>
      <c r="I944">
        <v>1</v>
      </c>
      <c r="J944">
        <v>0</v>
      </c>
      <c r="K944">
        <v>0</v>
      </c>
    </row>
    <row r="945" spans="1:11" x14ac:dyDescent="0.25">
      <c r="A945" t="str">
        <f>"1230"</f>
        <v>1230</v>
      </c>
      <c r="B945" t="str">
        <f t="shared" si="54"/>
        <v>1</v>
      </c>
      <c r="C945" t="str">
        <f t="shared" si="56"/>
        <v>50</v>
      </c>
      <c r="D945" t="str">
        <f>"7"</f>
        <v>7</v>
      </c>
      <c r="E945" t="str">
        <f>"1-50-7"</f>
        <v>1-50-7</v>
      </c>
      <c r="F945" t="s">
        <v>15</v>
      </c>
      <c r="G945" t="s">
        <v>16</v>
      </c>
      <c r="H945" t="s">
        <v>17</v>
      </c>
      <c r="I945">
        <v>0</v>
      </c>
      <c r="J945">
        <v>1</v>
      </c>
      <c r="K945">
        <v>0</v>
      </c>
    </row>
    <row r="946" spans="1:11" x14ac:dyDescent="0.25">
      <c r="A946" t="str">
        <f>"1231"</f>
        <v>1231</v>
      </c>
      <c r="B946" t="str">
        <f t="shared" si="54"/>
        <v>1</v>
      </c>
      <c r="C946" t="str">
        <f t="shared" si="56"/>
        <v>50</v>
      </c>
      <c r="D946" t="str">
        <f>"8"</f>
        <v>8</v>
      </c>
      <c r="E946" t="str">
        <f>"1-50-8"</f>
        <v>1-50-8</v>
      </c>
      <c r="F946" t="s">
        <v>15</v>
      </c>
      <c r="G946" t="s">
        <v>20</v>
      </c>
      <c r="H946" t="s">
        <v>21</v>
      </c>
      <c r="I946">
        <v>0</v>
      </c>
      <c r="J946">
        <v>0</v>
      </c>
      <c r="K946">
        <v>1</v>
      </c>
    </row>
    <row r="947" spans="1:11" x14ac:dyDescent="0.25">
      <c r="A947" t="str">
        <f>"1232"</f>
        <v>1232</v>
      </c>
      <c r="B947" t="str">
        <f t="shared" si="54"/>
        <v>1</v>
      </c>
      <c r="C947" t="str">
        <f t="shared" si="56"/>
        <v>50</v>
      </c>
      <c r="D947" t="str">
        <f>"9"</f>
        <v>9</v>
      </c>
      <c r="E947" t="str">
        <f>"1-50-9"</f>
        <v>1-50-9</v>
      </c>
      <c r="F947" t="s">
        <v>15</v>
      </c>
      <c r="G947" t="s">
        <v>20</v>
      </c>
      <c r="H947" t="s">
        <v>21</v>
      </c>
      <c r="I947">
        <v>0</v>
      </c>
      <c r="J947">
        <v>0</v>
      </c>
      <c r="K947">
        <v>1</v>
      </c>
    </row>
    <row r="948" spans="1:11" x14ac:dyDescent="0.25">
      <c r="A948" t="str">
        <f>"1233"</f>
        <v>1233</v>
      </c>
      <c r="B948" t="str">
        <f t="shared" si="54"/>
        <v>1</v>
      </c>
      <c r="C948" t="str">
        <f t="shared" si="56"/>
        <v>50</v>
      </c>
      <c r="D948" t="str">
        <f>"10"</f>
        <v>10</v>
      </c>
      <c r="E948" t="str">
        <f>"1-50-10"</f>
        <v>1-50-10</v>
      </c>
      <c r="F948" t="s">
        <v>15</v>
      </c>
      <c r="G948" t="s">
        <v>16</v>
      </c>
      <c r="H948" t="s">
        <v>17</v>
      </c>
      <c r="I948">
        <v>1</v>
      </c>
      <c r="J948">
        <v>0</v>
      </c>
      <c r="K948">
        <v>0</v>
      </c>
    </row>
    <row r="949" spans="1:11" x14ac:dyDescent="0.25">
      <c r="A949" t="str">
        <f>"1234"</f>
        <v>1234</v>
      </c>
      <c r="B949" t="str">
        <f t="shared" si="54"/>
        <v>1</v>
      </c>
      <c r="C949" t="str">
        <f t="shared" si="56"/>
        <v>50</v>
      </c>
      <c r="D949" t="str">
        <f>"12"</f>
        <v>12</v>
      </c>
      <c r="E949" t="str">
        <f>"1-50-12"</f>
        <v>1-50-12</v>
      </c>
      <c r="F949" t="s">
        <v>15</v>
      </c>
      <c r="G949" t="s">
        <v>16</v>
      </c>
      <c r="H949" t="s">
        <v>17</v>
      </c>
      <c r="I949">
        <v>1</v>
      </c>
      <c r="J949">
        <v>0</v>
      </c>
      <c r="K949">
        <v>0</v>
      </c>
    </row>
    <row r="950" spans="1:11" x14ac:dyDescent="0.25">
      <c r="A950" t="str">
        <f>"1235"</f>
        <v>1235</v>
      </c>
      <c r="B950" t="str">
        <f t="shared" si="54"/>
        <v>1</v>
      </c>
      <c r="C950" t="str">
        <f t="shared" si="56"/>
        <v>50</v>
      </c>
      <c r="D950" t="str">
        <f>"16"</f>
        <v>16</v>
      </c>
      <c r="E950" t="str">
        <f>"1-50-16"</f>
        <v>1-50-16</v>
      </c>
      <c r="F950" t="s">
        <v>15</v>
      </c>
      <c r="G950" t="s">
        <v>16</v>
      </c>
      <c r="H950" t="s">
        <v>17</v>
      </c>
      <c r="I950">
        <v>0</v>
      </c>
      <c r="J950">
        <v>0</v>
      </c>
      <c r="K950">
        <v>0</v>
      </c>
    </row>
    <row r="951" spans="1:11" x14ac:dyDescent="0.25">
      <c r="A951" t="str">
        <f>"1236"</f>
        <v>1236</v>
      </c>
      <c r="B951" t="str">
        <f t="shared" si="54"/>
        <v>1</v>
      </c>
      <c r="C951" t="str">
        <f t="shared" si="56"/>
        <v>50</v>
      </c>
      <c r="D951" t="str">
        <f>"20"</f>
        <v>20</v>
      </c>
      <c r="E951" t="str">
        <f>"1-50-20"</f>
        <v>1-50-20</v>
      </c>
      <c r="F951" t="s">
        <v>15</v>
      </c>
      <c r="G951" t="s">
        <v>16</v>
      </c>
      <c r="H951" t="s">
        <v>17</v>
      </c>
      <c r="I951">
        <v>0</v>
      </c>
      <c r="J951">
        <v>0</v>
      </c>
      <c r="K951">
        <v>0</v>
      </c>
    </row>
    <row r="952" spans="1:11" x14ac:dyDescent="0.25">
      <c r="A952" t="str">
        <f>"1237"</f>
        <v>1237</v>
      </c>
      <c r="B952" t="str">
        <f t="shared" si="54"/>
        <v>1</v>
      </c>
      <c r="C952" t="str">
        <f t="shared" si="56"/>
        <v>50</v>
      </c>
      <c r="D952" t="str">
        <f>"19"</f>
        <v>19</v>
      </c>
      <c r="E952" t="str">
        <f>"1-50-19"</f>
        <v>1-50-19</v>
      </c>
      <c r="F952" t="s">
        <v>15</v>
      </c>
      <c r="G952" t="s">
        <v>18</v>
      </c>
      <c r="H952" t="s">
        <v>19</v>
      </c>
      <c r="I952">
        <v>0</v>
      </c>
      <c r="J952">
        <v>0</v>
      </c>
      <c r="K952">
        <v>0</v>
      </c>
    </row>
    <row r="953" spans="1:11" x14ac:dyDescent="0.25">
      <c r="A953" t="str">
        <f>"1238"</f>
        <v>1238</v>
      </c>
      <c r="B953" t="str">
        <f t="shared" si="54"/>
        <v>1</v>
      </c>
      <c r="C953" t="str">
        <f t="shared" si="56"/>
        <v>50</v>
      </c>
      <c r="D953" t="str">
        <f>"2"</f>
        <v>2</v>
      </c>
      <c r="E953" t="str">
        <f>"1-50-2"</f>
        <v>1-50-2</v>
      </c>
      <c r="F953" t="s">
        <v>15</v>
      </c>
      <c r="G953" t="s">
        <v>16</v>
      </c>
      <c r="H953" t="s">
        <v>17</v>
      </c>
      <c r="I953">
        <v>0</v>
      </c>
      <c r="J953">
        <v>0</v>
      </c>
      <c r="K953">
        <v>0</v>
      </c>
    </row>
    <row r="954" spans="1:11" x14ac:dyDescent="0.25">
      <c r="A954" t="str">
        <f>"1239"</f>
        <v>1239</v>
      </c>
      <c r="B954" t="str">
        <f t="shared" si="54"/>
        <v>1</v>
      </c>
      <c r="C954" t="str">
        <f t="shared" ref="C954:C980" si="57">"51"</f>
        <v>51</v>
      </c>
      <c r="D954" t="str">
        <f>"15"</f>
        <v>15</v>
      </c>
      <c r="E954" t="str">
        <f>"1-51-15"</f>
        <v>1-51-15</v>
      </c>
      <c r="F954" t="s">
        <v>15</v>
      </c>
      <c r="G954" t="s">
        <v>16</v>
      </c>
      <c r="H954" t="s">
        <v>17</v>
      </c>
      <c r="I954">
        <v>0</v>
      </c>
      <c r="J954">
        <v>1</v>
      </c>
      <c r="K954">
        <v>0</v>
      </c>
    </row>
    <row r="955" spans="1:11" x14ac:dyDescent="0.25">
      <c r="A955" t="str">
        <f>"1240"</f>
        <v>1240</v>
      </c>
      <c r="B955" t="str">
        <f t="shared" si="54"/>
        <v>1</v>
      </c>
      <c r="C955" t="str">
        <f t="shared" si="57"/>
        <v>51</v>
      </c>
      <c r="D955" t="str">
        <f>"2"</f>
        <v>2</v>
      </c>
      <c r="E955" t="str">
        <f>"1-51-2"</f>
        <v>1-51-2</v>
      </c>
      <c r="F955" t="s">
        <v>15</v>
      </c>
      <c r="G955" t="s">
        <v>16</v>
      </c>
      <c r="H955" t="s">
        <v>17</v>
      </c>
      <c r="I955">
        <v>0</v>
      </c>
      <c r="J955">
        <v>1</v>
      </c>
      <c r="K955">
        <v>0</v>
      </c>
    </row>
    <row r="956" spans="1:11" x14ac:dyDescent="0.25">
      <c r="A956" t="str">
        <f>"1241"</f>
        <v>1241</v>
      </c>
      <c r="B956" t="str">
        <f t="shared" si="54"/>
        <v>1</v>
      </c>
      <c r="C956" t="str">
        <f t="shared" si="57"/>
        <v>51</v>
      </c>
      <c r="D956" t="str">
        <f>"16"</f>
        <v>16</v>
      </c>
      <c r="E956" t="str">
        <f>"1-51-16"</f>
        <v>1-51-16</v>
      </c>
      <c r="F956" t="s">
        <v>15</v>
      </c>
      <c r="G956" t="s">
        <v>18</v>
      </c>
      <c r="H956" t="s">
        <v>19</v>
      </c>
      <c r="I956">
        <v>0</v>
      </c>
      <c r="J956">
        <v>1</v>
      </c>
      <c r="K956">
        <v>0</v>
      </c>
    </row>
    <row r="957" spans="1:11" x14ac:dyDescent="0.25">
      <c r="A957" t="str">
        <f>"1242"</f>
        <v>1242</v>
      </c>
      <c r="B957" t="str">
        <f t="shared" ref="B957:B1019" si="58">"1"</f>
        <v>1</v>
      </c>
      <c r="C957" t="str">
        <f t="shared" si="57"/>
        <v>51</v>
      </c>
      <c r="D957" t="str">
        <f>"1"</f>
        <v>1</v>
      </c>
      <c r="E957" t="str">
        <f>"1-51-1"</f>
        <v>1-51-1</v>
      </c>
      <c r="F957" t="s">
        <v>15</v>
      </c>
      <c r="G957" t="s">
        <v>16</v>
      </c>
      <c r="H957" t="s">
        <v>17</v>
      </c>
      <c r="I957">
        <v>1</v>
      </c>
      <c r="J957">
        <v>0</v>
      </c>
      <c r="K957">
        <v>0</v>
      </c>
    </row>
    <row r="958" spans="1:11" x14ac:dyDescent="0.25">
      <c r="A958" t="str">
        <f>"1243"</f>
        <v>1243</v>
      </c>
      <c r="B958" t="str">
        <f t="shared" si="58"/>
        <v>1</v>
      </c>
      <c r="C958" t="str">
        <f t="shared" si="57"/>
        <v>51</v>
      </c>
      <c r="D958" t="str">
        <f>"17"</f>
        <v>17</v>
      </c>
      <c r="E958" t="str">
        <f>"1-51-17"</f>
        <v>1-51-17</v>
      </c>
      <c r="F958" t="s">
        <v>15</v>
      </c>
      <c r="G958" t="s">
        <v>16</v>
      </c>
      <c r="H958" t="s">
        <v>17</v>
      </c>
      <c r="I958">
        <v>0</v>
      </c>
      <c r="J958">
        <v>1</v>
      </c>
      <c r="K958">
        <v>0</v>
      </c>
    </row>
    <row r="959" spans="1:11" x14ac:dyDescent="0.25">
      <c r="A959" t="str">
        <f>"1244"</f>
        <v>1244</v>
      </c>
      <c r="B959" t="str">
        <f t="shared" si="58"/>
        <v>1</v>
      </c>
      <c r="C959" t="str">
        <f t="shared" si="57"/>
        <v>51</v>
      </c>
      <c r="D959" t="str">
        <f>"5"</f>
        <v>5</v>
      </c>
      <c r="E959" t="str">
        <f>"1-51-5"</f>
        <v>1-51-5</v>
      </c>
      <c r="F959" t="s">
        <v>15</v>
      </c>
      <c r="G959" t="s">
        <v>16</v>
      </c>
      <c r="H959" t="s">
        <v>17</v>
      </c>
      <c r="I959">
        <v>0</v>
      </c>
      <c r="J959">
        <v>1</v>
      </c>
      <c r="K959">
        <v>0</v>
      </c>
    </row>
    <row r="960" spans="1:11" x14ac:dyDescent="0.25">
      <c r="A960" t="str">
        <f>"1245"</f>
        <v>1245</v>
      </c>
      <c r="B960" t="str">
        <f t="shared" si="58"/>
        <v>1</v>
      </c>
      <c r="C960" t="str">
        <f t="shared" si="57"/>
        <v>51</v>
      </c>
      <c r="D960" t="str">
        <f>"4"</f>
        <v>4</v>
      </c>
      <c r="E960" t="str">
        <f>"1-51-4"</f>
        <v>1-51-4</v>
      </c>
      <c r="F960" t="s">
        <v>15</v>
      </c>
      <c r="G960" t="s">
        <v>18</v>
      </c>
      <c r="H960" t="s">
        <v>19</v>
      </c>
      <c r="I960">
        <v>0</v>
      </c>
      <c r="J960">
        <v>1</v>
      </c>
      <c r="K960">
        <v>0</v>
      </c>
    </row>
    <row r="961" spans="1:11" x14ac:dyDescent="0.25">
      <c r="A961" t="str">
        <f>"1246"</f>
        <v>1246</v>
      </c>
      <c r="B961" t="str">
        <f t="shared" si="58"/>
        <v>1</v>
      </c>
      <c r="C961" t="str">
        <f t="shared" si="57"/>
        <v>51</v>
      </c>
      <c r="D961" t="str">
        <f>"20"</f>
        <v>20</v>
      </c>
      <c r="E961" t="str">
        <f>"1-51-20"</f>
        <v>1-51-20</v>
      </c>
      <c r="F961" t="s">
        <v>15</v>
      </c>
      <c r="G961" t="s">
        <v>16</v>
      </c>
      <c r="H961" t="s">
        <v>17</v>
      </c>
      <c r="I961">
        <v>0</v>
      </c>
      <c r="J961">
        <v>0</v>
      </c>
      <c r="K961">
        <v>1</v>
      </c>
    </row>
    <row r="962" spans="1:11" x14ac:dyDescent="0.25">
      <c r="A962" t="str">
        <f>"1247"</f>
        <v>1247</v>
      </c>
      <c r="B962" t="str">
        <f t="shared" si="58"/>
        <v>1</v>
      </c>
      <c r="C962" t="str">
        <f t="shared" si="57"/>
        <v>51</v>
      </c>
      <c r="D962" t="str">
        <f>"7"</f>
        <v>7</v>
      </c>
      <c r="E962" t="str">
        <f>"1-51-7"</f>
        <v>1-51-7</v>
      </c>
      <c r="F962" t="s">
        <v>15</v>
      </c>
      <c r="G962" t="s">
        <v>18</v>
      </c>
      <c r="H962" t="s">
        <v>19</v>
      </c>
      <c r="I962">
        <v>0</v>
      </c>
      <c r="J962">
        <v>1</v>
      </c>
      <c r="K962">
        <v>0</v>
      </c>
    </row>
    <row r="963" spans="1:11" x14ac:dyDescent="0.25">
      <c r="A963" t="str">
        <f>"1248"</f>
        <v>1248</v>
      </c>
      <c r="B963" t="str">
        <f t="shared" si="58"/>
        <v>1</v>
      </c>
      <c r="C963" t="str">
        <f t="shared" si="57"/>
        <v>51</v>
      </c>
      <c r="D963" t="str">
        <f>"21"</f>
        <v>21</v>
      </c>
      <c r="E963" t="str">
        <f>"1-51-21"</f>
        <v>1-51-21</v>
      </c>
      <c r="F963" t="s">
        <v>15</v>
      </c>
      <c r="G963" t="s">
        <v>16</v>
      </c>
      <c r="H963" t="s">
        <v>17</v>
      </c>
      <c r="I963">
        <v>0</v>
      </c>
      <c r="J963">
        <v>0</v>
      </c>
      <c r="K963">
        <v>1</v>
      </c>
    </row>
    <row r="964" spans="1:11" x14ac:dyDescent="0.25">
      <c r="A964" t="str">
        <f>"1249"</f>
        <v>1249</v>
      </c>
      <c r="B964" t="str">
        <f t="shared" si="58"/>
        <v>1</v>
      </c>
      <c r="C964" t="str">
        <f t="shared" si="57"/>
        <v>51</v>
      </c>
      <c r="D964" t="str">
        <f>"14"</f>
        <v>14</v>
      </c>
      <c r="E964" t="str">
        <f>"1-51-14"</f>
        <v>1-51-14</v>
      </c>
      <c r="F964" t="s">
        <v>15</v>
      </c>
      <c r="G964" t="s">
        <v>16</v>
      </c>
      <c r="H964" t="s">
        <v>17</v>
      </c>
      <c r="I964">
        <v>0</v>
      </c>
      <c r="J964">
        <v>1</v>
      </c>
      <c r="K964">
        <v>0</v>
      </c>
    </row>
    <row r="965" spans="1:11" x14ac:dyDescent="0.25">
      <c r="A965" t="str">
        <f>"1250"</f>
        <v>1250</v>
      </c>
      <c r="B965" t="str">
        <f t="shared" si="58"/>
        <v>1</v>
      </c>
      <c r="C965" t="str">
        <f t="shared" si="57"/>
        <v>51</v>
      </c>
      <c r="D965" t="str">
        <f>"22"</f>
        <v>22</v>
      </c>
      <c r="E965" t="str">
        <f>"1-51-22"</f>
        <v>1-51-22</v>
      </c>
      <c r="F965" t="s">
        <v>15</v>
      </c>
      <c r="G965" t="s">
        <v>16</v>
      </c>
      <c r="H965" t="s">
        <v>17</v>
      </c>
      <c r="I965">
        <v>0</v>
      </c>
      <c r="J965">
        <v>1</v>
      </c>
      <c r="K965">
        <v>0</v>
      </c>
    </row>
    <row r="966" spans="1:11" x14ac:dyDescent="0.25">
      <c r="A966" t="str">
        <f>"1251"</f>
        <v>1251</v>
      </c>
      <c r="B966" t="str">
        <f t="shared" si="58"/>
        <v>1</v>
      </c>
      <c r="C966" t="str">
        <f t="shared" si="57"/>
        <v>51</v>
      </c>
      <c r="D966" t="str">
        <f>"6"</f>
        <v>6</v>
      </c>
      <c r="E966" t="str">
        <f>"1-51-6"</f>
        <v>1-51-6</v>
      </c>
      <c r="F966" t="s">
        <v>15</v>
      </c>
      <c r="G966" t="s">
        <v>18</v>
      </c>
      <c r="H966" t="s">
        <v>19</v>
      </c>
      <c r="I966">
        <v>0</v>
      </c>
      <c r="J966">
        <v>1</v>
      </c>
      <c r="K966">
        <v>0</v>
      </c>
    </row>
    <row r="967" spans="1:11" x14ac:dyDescent="0.25">
      <c r="A967" t="str">
        <f>"1252"</f>
        <v>1252</v>
      </c>
      <c r="B967" t="str">
        <f t="shared" si="58"/>
        <v>1</v>
      </c>
      <c r="C967" t="str">
        <f t="shared" si="57"/>
        <v>51</v>
      </c>
      <c r="D967" t="str">
        <f>"23"</f>
        <v>23</v>
      </c>
      <c r="E967" t="str">
        <f>"1-51-23"</f>
        <v>1-51-23</v>
      </c>
      <c r="F967" t="s">
        <v>15</v>
      </c>
      <c r="G967" t="s">
        <v>16</v>
      </c>
      <c r="H967" t="s">
        <v>17</v>
      </c>
      <c r="I967">
        <v>1</v>
      </c>
      <c r="J967">
        <v>0</v>
      </c>
      <c r="K967">
        <v>0</v>
      </c>
    </row>
    <row r="968" spans="1:11" x14ac:dyDescent="0.25">
      <c r="A968" t="str">
        <f>"1253"</f>
        <v>1253</v>
      </c>
      <c r="B968" t="str">
        <f t="shared" si="58"/>
        <v>1</v>
      </c>
      <c r="C968" t="str">
        <f t="shared" si="57"/>
        <v>51</v>
      </c>
      <c r="D968" t="str">
        <f>"11"</f>
        <v>11</v>
      </c>
      <c r="E968" t="str">
        <f>"1-51-11"</f>
        <v>1-51-11</v>
      </c>
      <c r="F968" t="s">
        <v>15</v>
      </c>
      <c r="G968" t="s">
        <v>16</v>
      </c>
      <c r="H968" t="s">
        <v>17</v>
      </c>
      <c r="I968">
        <v>0</v>
      </c>
      <c r="J968">
        <v>0</v>
      </c>
      <c r="K968">
        <v>1</v>
      </c>
    </row>
    <row r="969" spans="1:11" x14ac:dyDescent="0.25">
      <c r="A969" t="str">
        <f>"1254"</f>
        <v>1254</v>
      </c>
      <c r="B969" t="str">
        <f t="shared" si="58"/>
        <v>1</v>
      </c>
      <c r="C969" t="str">
        <f t="shared" si="57"/>
        <v>51</v>
      </c>
      <c r="D969" t="str">
        <f>"24"</f>
        <v>24</v>
      </c>
      <c r="E969" t="str">
        <f>"1-51-24"</f>
        <v>1-51-24</v>
      </c>
      <c r="F969" t="s">
        <v>15</v>
      </c>
      <c r="G969" t="s">
        <v>16</v>
      </c>
      <c r="H969" t="s">
        <v>17</v>
      </c>
      <c r="I969">
        <v>0</v>
      </c>
      <c r="J969">
        <v>0</v>
      </c>
      <c r="K969">
        <v>1</v>
      </c>
    </row>
    <row r="970" spans="1:11" x14ac:dyDescent="0.25">
      <c r="A970" t="str">
        <f>"1255"</f>
        <v>1255</v>
      </c>
      <c r="B970" t="str">
        <f t="shared" si="58"/>
        <v>1</v>
      </c>
      <c r="C970" t="str">
        <f t="shared" si="57"/>
        <v>51</v>
      </c>
      <c r="D970" t="str">
        <f>"10"</f>
        <v>10</v>
      </c>
      <c r="E970" t="str">
        <f>"1-51-10"</f>
        <v>1-51-10</v>
      </c>
      <c r="F970" t="s">
        <v>15</v>
      </c>
      <c r="G970" t="s">
        <v>16</v>
      </c>
      <c r="H970" t="s">
        <v>17</v>
      </c>
      <c r="I970">
        <v>1</v>
      </c>
      <c r="J970">
        <v>0</v>
      </c>
      <c r="K970">
        <v>0</v>
      </c>
    </row>
    <row r="971" spans="1:11" x14ac:dyDescent="0.25">
      <c r="A971" t="str">
        <f>"1256"</f>
        <v>1256</v>
      </c>
      <c r="B971" t="str">
        <f t="shared" si="58"/>
        <v>1</v>
      </c>
      <c r="C971" t="str">
        <f t="shared" si="57"/>
        <v>51</v>
      </c>
      <c r="D971" t="str">
        <f>"25"</f>
        <v>25</v>
      </c>
      <c r="E971" t="str">
        <f>"1-51-25"</f>
        <v>1-51-25</v>
      </c>
      <c r="F971" t="s">
        <v>15</v>
      </c>
      <c r="G971" t="s">
        <v>16</v>
      </c>
      <c r="H971" t="s">
        <v>17</v>
      </c>
      <c r="I971">
        <v>0</v>
      </c>
      <c r="J971">
        <v>0</v>
      </c>
      <c r="K971">
        <v>1</v>
      </c>
    </row>
    <row r="972" spans="1:11" x14ac:dyDescent="0.25">
      <c r="A972" t="str">
        <f>"1257"</f>
        <v>1257</v>
      </c>
      <c r="B972" t="str">
        <f t="shared" si="58"/>
        <v>1</v>
      </c>
      <c r="C972" t="str">
        <f t="shared" si="57"/>
        <v>51</v>
      </c>
      <c r="D972" t="str">
        <f>"8"</f>
        <v>8</v>
      </c>
      <c r="E972" t="str">
        <f>"1-51-8"</f>
        <v>1-51-8</v>
      </c>
      <c r="F972" t="s">
        <v>15</v>
      </c>
      <c r="G972" t="s">
        <v>16</v>
      </c>
      <c r="H972" t="s">
        <v>17</v>
      </c>
      <c r="I972">
        <v>0</v>
      </c>
      <c r="J972">
        <v>0</v>
      </c>
      <c r="K972">
        <v>1</v>
      </c>
    </row>
    <row r="973" spans="1:11" x14ac:dyDescent="0.25">
      <c r="A973" t="str">
        <f>"1258"</f>
        <v>1258</v>
      </c>
      <c r="B973" t="str">
        <f t="shared" si="58"/>
        <v>1</v>
      </c>
      <c r="C973" t="str">
        <f t="shared" si="57"/>
        <v>51</v>
      </c>
      <c r="D973" t="str">
        <f>"26"</f>
        <v>26</v>
      </c>
      <c r="E973" t="str">
        <f>"1-51-26"</f>
        <v>1-51-26</v>
      </c>
      <c r="F973" t="s">
        <v>15</v>
      </c>
      <c r="G973" t="s">
        <v>16</v>
      </c>
      <c r="H973" t="s">
        <v>17</v>
      </c>
      <c r="I973">
        <v>0</v>
      </c>
      <c r="J973">
        <v>0</v>
      </c>
      <c r="K973">
        <v>1</v>
      </c>
    </row>
    <row r="974" spans="1:11" x14ac:dyDescent="0.25">
      <c r="A974" t="str">
        <f>"1259"</f>
        <v>1259</v>
      </c>
      <c r="B974" t="str">
        <f t="shared" si="58"/>
        <v>1</v>
      </c>
      <c r="C974" t="str">
        <f t="shared" si="57"/>
        <v>51</v>
      </c>
      <c r="D974" t="str">
        <f>"9"</f>
        <v>9</v>
      </c>
      <c r="E974" t="str">
        <f>"1-51-9"</f>
        <v>1-51-9</v>
      </c>
      <c r="F974" t="s">
        <v>15</v>
      </c>
      <c r="G974" t="s">
        <v>16</v>
      </c>
      <c r="H974" t="s">
        <v>17</v>
      </c>
      <c r="I974">
        <v>1</v>
      </c>
      <c r="J974">
        <v>0</v>
      </c>
      <c r="K974">
        <v>0</v>
      </c>
    </row>
    <row r="975" spans="1:11" x14ac:dyDescent="0.25">
      <c r="A975" t="str">
        <f>"1260"</f>
        <v>1260</v>
      </c>
      <c r="B975" t="str">
        <f t="shared" si="58"/>
        <v>1</v>
      </c>
      <c r="C975" t="str">
        <f t="shared" si="57"/>
        <v>51</v>
      </c>
      <c r="D975" t="str">
        <f>"27"</f>
        <v>27</v>
      </c>
      <c r="E975" t="str">
        <f>"1-51-27"</f>
        <v>1-51-27</v>
      </c>
      <c r="F975" t="s">
        <v>15</v>
      </c>
      <c r="G975" t="s">
        <v>16</v>
      </c>
      <c r="H975" t="s">
        <v>17</v>
      </c>
      <c r="I975">
        <v>0</v>
      </c>
      <c r="J975">
        <v>1</v>
      </c>
      <c r="K975">
        <v>0</v>
      </c>
    </row>
    <row r="976" spans="1:11" x14ac:dyDescent="0.25">
      <c r="A976" t="str">
        <f>"1261"</f>
        <v>1261</v>
      </c>
      <c r="B976" t="str">
        <f t="shared" si="58"/>
        <v>1</v>
      </c>
      <c r="C976" t="str">
        <f t="shared" si="57"/>
        <v>51</v>
      </c>
      <c r="D976" t="str">
        <f>"13"</f>
        <v>13</v>
      </c>
      <c r="E976" t="str">
        <f>"1-51-13"</f>
        <v>1-51-13</v>
      </c>
      <c r="F976" t="s">
        <v>15</v>
      </c>
      <c r="G976" t="s">
        <v>16</v>
      </c>
      <c r="H976" t="s">
        <v>17</v>
      </c>
      <c r="I976">
        <v>0</v>
      </c>
      <c r="J976">
        <v>0</v>
      </c>
      <c r="K976">
        <v>1</v>
      </c>
    </row>
    <row r="977" spans="1:11" x14ac:dyDescent="0.25">
      <c r="A977" t="str">
        <f>"1262"</f>
        <v>1262</v>
      </c>
      <c r="B977" t="str">
        <f t="shared" si="58"/>
        <v>1</v>
      </c>
      <c r="C977" t="str">
        <f t="shared" si="57"/>
        <v>51</v>
      </c>
      <c r="D977" t="str">
        <f>"3"</f>
        <v>3</v>
      </c>
      <c r="E977" t="str">
        <f>"1-51-3"</f>
        <v>1-51-3</v>
      </c>
      <c r="F977" t="s">
        <v>15</v>
      </c>
      <c r="G977" t="s">
        <v>16</v>
      </c>
      <c r="H977" t="s">
        <v>17</v>
      </c>
      <c r="I977">
        <v>0</v>
      </c>
      <c r="J977">
        <v>1</v>
      </c>
      <c r="K977">
        <v>0</v>
      </c>
    </row>
    <row r="978" spans="1:11" x14ac:dyDescent="0.25">
      <c r="A978" t="str">
        <f>"1263"</f>
        <v>1263</v>
      </c>
      <c r="B978" t="str">
        <f t="shared" si="58"/>
        <v>1</v>
      </c>
      <c r="C978" t="str">
        <f t="shared" si="57"/>
        <v>51</v>
      </c>
      <c r="D978" t="str">
        <f>"12"</f>
        <v>12</v>
      </c>
      <c r="E978" t="str">
        <f>"1-51-12"</f>
        <v>1-51-12</v>
      </c>
      <c r="F978" t="s">
        <v>15</v>
      </c>
      <c r="G978" t="s">
        <v>16</v>
      </c>
      <c r="H978" t="s">
        <v>17</v>
      </c>
      <c r="I978">
        <v>0</v>
      </c>
      <c r="J978">
        <v>0</v>
      </c>
      <c r="K978">
        <v>1</v>
      </c>
    </row>
    <row r="979" spans="1:11" x14ac:dyDescent="0.25">
      <c r="A979" t="str">
        <f>"1264"</f>
        <v>1264</v>
      </c>
      <c r="B979" t="str">
        <f t="shared" si="58"/>
        <v>1</v>
      </c>
      <c r="C979" t="str">
        <f t="shared" si="57"/>
        <v>51</v>
      </c>
      <c r="D979" t="str">
        <f>"19"</f>
        <v>19</v>
      </c>
      <c r="E979" t="str">
        <f>"1-51-19"</f>
        <v>1-51-19</v>
      </c>
      <c r="F979" t="s">
        <v>15</v>
      </c>
      <c r="G979" t="s">
        <v>16</v>
      </c>
      <c r="H979" t="s">
        <v>17</v>
      </c>
      <c r="I979">
        <v>0</v>
      </c>
      <c r="J979">
        <v>0</v>
      </c>
      <c r="K979">
        <v>0</v>
      </c>
    </row>
    <row r="980" spans="1:11" x14ac:dyDescent="0.25">
      <c r="A980" t="str">
        <f>"1265"</f>
        <v>1265</v>
      </c>
      <c r="B980" t="str">
        <f t="shared" si="58"/>
        <v>1</v>
      </c>
      <c r="C980" t="str">
        <f t="shared" si="57"/>
        <v>51</v>
      </c>
      <c r="D980" t="str">
        <f>"18"</f>
        <v>18</v>
      </c>
      <c r="E980" t="str">
        <f>"1-51-18"</f>
        <v>1-51-18</v>
      </c>
      <c r="F980" t="s">
        <v>15</v>
      </c>
      <c r="G980" t="s">
        <v>16</v>
      </c>
      <c r="H980" t="s">
        <v>17</v>
      </c>
      <c r="I980">
        <v>0</v>
      </c>
      <c r="J980">
        <v>0</v>
      </c>
      <c r="K980">
        <v>0</v>
      </c>
    </row>
    <row r="981" spans="1:11" x14ac:dyDescent="0.25">
      <c r="A981" t="str">
        <f>"1266"</f>
        <v>1266</v>
      </c>
      <c r="B981" t="str">
        <f t="shared" si="58"/>
        <v>1</v>
      </c>
      <c r="C981" t="str">
        <f t="shared" ref="C981:C1008" si="59">"52"</f>
        <v>52</v>
      </c>
      <c r="D981" t="str">
        <f>"15"</f>
        <v>15</v>
      </c>
      <c r="E981" t="str">
        <f>"1-52-15"</f>
        <v>1-52-15</v>
      </c>
      <c r="F981" t="s">
        <v>15</v>
      </c>
      <c r="G981" t="s">
        <v>18</v>
      </c>
      <c r="H981" t="s">
        <v>19</v>
      </c>
      <c r="I981">
        <v>0</v>
      </c>
      <c r="J981">
        <v>0</v>
      </c>
      <c r="K981">
        <v>1</v>
      </c>
    </row>
    <row r="982" spans="1:11" x14ac:dyDescent="0.25">
      <c r="A982" t="str">
        <f>"1267"</f>
        <v>1267</v>
      </c>
      <c r="B982" t="str">
        <f t="shared" si="58"/>
        <v>1</v>
      </c>
      <c r="C982" t="str">
        <f t="shared" si="59"/>
        <v>52</v>
      </c>
      <c r="D982" t="str">
        <f>"6"</f>
        <v>6</v>
      </c>
      <c r="E982" t="str">
        <f>"1-52-6"</f>
        <v>1-52-6</v>
      </c>
      <c r="F982" t="s">
        <v>15</v>
      </c>
      <c r="G982" t="s">
        <v>20</v>
      </c>
      <c r="H982" t="s">
        <v>21</v>
      </c>
      <c r="I982">
        <v>0</v>
      </c>
      <c r="J982">
        <v>1</v>
      </c>
      <c r="K982">
        <v>0</v>
      </c>
    </row>
    <row r="983" spans="1:11" x14ac:dyDescent="0.25">
      <c r="A983" t="str">
        <f>"1268"</f>
        <v>1268</v>
      </c>
      <c r="B983" t="str">
        <f t="shared" si="58"/>
        <v>1</v>
      </c>
      <c r="C983" t="str">
        <f t="shared" si="59"/>
        <v>52</v>
      </c>
      <c r="D983" t="str">
        <f>"24"</f>
        <v>24</v>
      </c>
      <c r="E983" t="str">
        <f>"1-52-24"</f>
        <v>1-52-24</v>
      </c>
      <c r="F983" t="s">
        <v>15</v>
      </c>
      <c r="G983" t="s">
        <v>16</v>
      </c>
      <c r="H983" t="s">
        <v>17</v>
      </c>
      <c r="I983">
        <v>0</v>
      </c>
      <c r="J983">
        <v>1</v>
      </c>
      <c r="K983">
        <v>0</v>
      </c>
    </row>
    <row r="984" spans="1:11" x14ac:dyDescent="0.25">
      <c r="A984" t="str">
        <f>"1269"</f>
        <v>1269</v>
      </c>
      <c r="B984" t="str">
        <f t="shared" si="58"/>
        <v>1</v>
      </c>
      <c r="C984" t="str">
        <f t="shared" si="59"/>
        <v>52</v>
      </c>
      <c r="D984" t="str">
        <f>"16"</f>
        <v>16</v>
      </c>
      <c r="E984" t="str">
        <f>"1-52-16"</f>
        <v>1-52-16</v>
      </c>
      <c r="F984" t="s">
        <v>15</v>
      </c>
      <c r="G984" t="s">
        <v>20</v>
      </c>
      <c r="H984" t="s">
        <v>21</v>
      </c>
      <c r="I984">
        <v>0</v>
      </c>
      <c r="J984">
        <v>0</v>
      </c>
      <c r="K984">
        <v>1</v>
      </c>
    </row>
    <row r="985" spans="1:11" x14ac:dyDescent="0.25">
      <c r="A985" t="str">
        <f>"1270"</f>
        <v>1270</v>
      </c>
      <c r="B985" t="str">
        <f t="shared" si="58"/>
        <v>1</v>
      </c>
      <c r="C985" t="str">
        <f t="shared" si="59"/>
        <v>52</v>
      </c>
      <c r="D985" t="str">
        <f>"2"</f>
        <v>2</v>
      </c>
      <c r="E985" t="str">
        <f>"1-52-2"</f>
        <v>1-52-2</v>
      </c>
      <c r="F985" t="s">
        <v>15</v>
      </c>
      <c r="G985" t="s">
        <v>20</v>
      </c>
      <c r="H985" t="s">
        <v>21</v>
      </c>
      <c r="I985">
        <v>0</v>
      </c>
      <c r="J985">
        <v>1</v>
      </c>
      <c r="K985">
        <v>0</v>
      </c>
    </row>
    <row r="986" spans="1:11" x14ac:dyDescent="0.25">
      <c r="A986" t="str">
        <f>"1271"</f>
        <v>1271</v>
      </c>
      <c r="B986" t="str">
        <f t="shared" si="58"/>
        <v>1</v>
      </c>
      <c r="C986" t="str">
        <f t="shared" si="59"/>
        <v>52</v>
      </c>
      <c r="D986" t="str">
        <f>"17"</f>
        <v>17</v>
      </c>
      <c r="E986" t="str">
        <f>"1-52-17"</f>
        <v>1-52-17</v>
      </c>
      <c r="F986" t="s">
        <v>15</v>
      </c>
      <c r="G986" t="s">
        <v>16</v>
      </c>
      <c r="H986" t="s">
        <v>17</v>
      </c>
      <c r="I986">
        <v>0</v>
      </c>
      <c r="J986">
        <v>0</v>
      </c>
      <c r="K986">
        <v>1</v>
      </c>
    </row>
    <row r="987" spans="1:11" x14ac:dyDescent="0.25">
      <c r="A987" t="str">
        <f>"1272"</f>
        <v>1272</v>
      </c>
      <c r="B987" t="str">
        <f t="shared" si="58"/>
        <v>1</v>
      </c>
      <c r="C987" t="str">
        <f t="shared" si="59"/>
        <v>52</v>
      </c>
      <c r="D987" t="str">
        <f>"9"</f>
        <v>9</v>
      </c>
      <c r="E987" t="str">
        <f>"1-52-9"</f>
        <v>1-52-9</v>
      </c>
      <c r="F987" t="s">
        <v>15</v>
      </c>
      <c r="G987" t="s">
        <v>16</v>
      </c>
      <c r="H987" t="s">
        <v>17</v>
      </c>
      <c r="I987">
        <v>0</v>
      </c>
      <c r="J987">
        <v>1</v>
      </c>
      <c r="K987">
        <v>0</v>
      </c>
    </row>
    <row r="988" spans="1:11" x14ac:dyDescent="0.25">
      <c r="A988" t="str">
        <f>"1273"</f>
        <v>1273</v>
      </c>
      <c r="B988" t="str">
        <f t="shared" si="58"/>
        <v>1</v>
      </c>
      <c r="C988" t="str">
        <f t="shared" si="59"/>
        <v>52</v>
      </c>
      <c r="D988" t="str">
        <f>"14"</f>
        <v>14</v>
      </c>
      <c r="E988" t="str">
        <f>"1-52-14"</f>
        <v>1-52-14</v>
      </c>
      <c r="F988" t="s">
        <v>15</v>
      </c>
      <c r="G988" t="s">
        <v>16</v>
      </c>
      <c r="H988" t="s">
        <v>17</v>
      </c>
      <c r="I988">
        <v>0</v>
      </c>
      <c r="J988">
        <v>1</v>
      </c>
      <c r="K988">
        <v>0</v>
      </c>
    </row>
    <row r="989" spans="1:11" x14ac:dyDescent="0.25">
      <c r="A989" t="str">
        <f>"1274"</f>
        <v>1274</v>
      </c>
      <c r="B989" t="str">
        <f t="shared" si="58"/>
        <v>1</v>
      </c>
      <c r="C989" t="str">
        <f t="shared" si="59"/>
        <v>52</v>
      </c>
      <c r="D989" t="str">
        <f>"19"</f>
        <v>19</v>
      </c>
      <c r="E989" t="str">
        <f>"1-52-19"</f>
        <v>1-52-19</v>
      </c>
      <c r="F989" t="s">
        <v>15</v>
      </c>
      <c r="G989" t="s">
        <v>20</v>
      </c>
      <c r="H989" t="s">
        <v>21</v>
      </c>
      <c r="I989">
        <v>0</v>
      </c>
      <c r="J989">
        <v>1</v>
      </c>
      <c r="K989">
        <v>0</v>
      </c>
    </row>
    <row r="990" spans="1:11" x14ac:dyDescent="0.25">
      <c r="A990" t="str">
        <f>"1275"</f>
        <v>1275</v>
      </c>
      <c r="B990" t="str">
        <f t="shared" si="58"/>
        <v>1</v>
      </c>
      <c r="C990" t="str">
        <f t="shared" si="59"/>
        <v>52</v>
      </c>
      <c r="D990" t="str">
        <f>"20"</f>
        <v>20</v>
      </c>
      <c r="E990" t="str">
        <f>"1-52-20"</f>
        <v>1-52-20</v>
      </c>
      <c r="F990" t="s">
        <v>15</v>
      </c>
      <c r="G990" t="s">
        <v>20</v>
      </c>
      <c r="H990" t="s">
        <v>21</v>
      </c>
      <c r="I990">
        <v>1</v>
      </c>
      <c r="J990">
        <v>0</v>
      </c>
      <c r="K990">
        <v>0</v>
      </c>
    </row>
    <row r="991" spans="1:11" x14ac:dyDescent="0.25">
      <c r="A991" t="str">
        <f>"1276"</f>
        <v>1276</v>
      </c>
      <c r="B991" t="str">
        <f t="shared" si="58"/>
        <v>1</v>
      </c>
      <c r="C991" t="str">
        <f t="shared" si="59"/>
        <v>52</v>
      </c>
      <c r="D991" t="str">
        <f>"5"</f>
        <v>5</v>
      </c>
      <c r="E991" t="str">
        <f>"1-52-5"</f>
        <v>1-52-5</v>
      </c>
      <c r="F991" t="s">
        <v>15</v>
      </c>
      <c r="G991" t="s">
        <v>20</v>
      </c>
      <c r="H991" t="s">
        <v>21</v>
      </c>
      <c r="I991">
        <v>1</v>
      </c>
      <c r="J991">
        <v>0</v>
      </c>
      <c r="K991">
        <v>0</v>
      </c>
    </row>
    <row r="992" spans="1:11" x14ac:dyDescent="0.25">
      <c r="A992" t="str">
        <f>"1277"</f>
        <v>1277</v>
      </c>
      <c r="B992" t="str">
        <f t="shared" si="58"/>
        <v>1</v>
      </c>
      <c r="C992" t="str">
        <f t="shared" si="59"/>
        <v>52</v>
      </c>
      <c r="D992" t="str">
        <f>"21"</f>
        <v>21</v>
      </c>
      <c r="E992" t="str">
        <f>"1-52-21"</f>
        <v>1-52-21</v>
      </c>
      <c r="F992" t="s">
        <v>15</v>
      </c>
      <c r="G992" t="s">
        <v>20</v>
      </c>
      <c r="H992" t="s">
        <v>21</v>
      </c>
      <c r="I992">
        <v>0</v>
      </c>
      <c r="J992">
        <v>0</v>
      </c>
      <c r="K992">
        <v>1</v>
      </c>
    </row>
    <row r="993" spans="1:11" x14ac:dyDescent="0.25">
      <c r="A993" t="str">
        <f>"1278"</f>
        <v>1278</v>
      </c>
      <c r="B993" t="str">
        <f t="shared" si="58"/>
        <v>1</v>
      </c>
      <c r="C993" t="str">
        <f t="shared" si="59"/>
        <v>52</v>
      </c>
      <c r="D993" t="str">
        <f>"12"</f>
        <v>12</v>
      </c>
      <c r="E993" t="str">
        <f>"1-52-12"</f>
        <v>1-52-12</v>
      </c>
      <c r="F993" t="s">
        <v>15</v>
      </c>
      <c r="G993" t="s">
        <v>16</v>
      </c>
      <c r="H993" t="s">
        <v>17</v>
      </c>
      <c r="I993">
        <v>0</v>
      </c>
      <c r="J993">
        <v>0</v>
      </c>
      <c r="K993">
        <v>1</v>
      </c>
    </row>
    <row r="994" spans="1:11" x14ac:dyDescent="0.25">
      <c r="A994" t="str">
        <f>"1279"</f>
        <v>1279</v>
      </c>
      <c r="B994" t="str">
        <f t="shared" si="58"/>
        <v>1</v>
      </c>
      <c r="C994" t="str">
        <f t="shared" si="59"/>
        <v>52</v>
      </c>
      <c r="D994" t="str">
        <f>"22"</f>
        <v>22</v>
      </c>
      <c r="E994" t="str">
        <f>"1-52-22"</f>
        <v>1-52-22</v>
      </c>
      <c r="F994" t="s">
        <v>15</v>
      </c>
      <c r="G994" t="s">
        <v>20</v>
      </c>
      <c r="H994" t="s">
        <v>21</v>
      </c>
      <c r="I994">
        <v>1</v>
      </c>
      <c r="J994">
        <v>0</v>
      </c>
      <c r="K994">
        <v>0</v>
      </c>
    </row>
    <row r="995" spans="1:11" x14ac:dyDescent="0.25">
      <c r="A995" t="str">
        <f>"1280"</f>
        <v>1280</v>
      </c>
      <c r="B995" t="str">
        <f t="shared" si="58"/>
        <v>1</v>
      </c>
      <c r="C995" t="str">
        <f t="shared" si="59"/>
        <v>52</v>
      </c>
      <c r="D995" t="str">
        <f>"3"</f>
        <v>3</v>
      </c>
      <c r="E995" t="str">
        <f>"1-52-3"</f>
        <v>1-52-3</v>
      </c>
      <c r="F995" t="s">
        <v>15</v>
      </c>
      <c r="G995" t="s">
        <v>18</v>
      </c>
      <c r="H995" t="s">
        <v>19</v>
      </c>
      <c r="I995">
        <v>1</v>
      </c>
      <c r="J995">
        <v>0</v>
      </c>
      <c r="K995">
        <v>0</v>
      </c>
    </row>
    <row r="996" spans="1:11" x14ac:dyDescent="0.25">
      <c r="A996" t="str">
        <f>"1281"</f>
        <v>1281</v>
      </c>
      <c r="B996" t="str">
        <f t="shared" si="58"/>
        <v>1</v>
      </c>
      <c r="C996" t="str">
        <f t="shared" si="59"/>
        <v>52</v>
      </c>
      <c r="D996" t="str">
        <f>"23"</f>
        <v>23</v>
      </c>
      <c r="E996" t="str">
        <f>"1-52-23"</f>
        <v>1-52-23</v>
      </c>
      <c r="F996" t="s">
        <v>15</v>
      </c>
      <c r="G996" t="s">
        <v>20</v>
      </c>
      <c r="H996" t="s">
        <v>21</v>
      </c>
      <c r="I996">
        <v>1</v>
      </c>
      <c r="J996">
        <v>0</v>
      </c>
      <c r="K996">
        <v>0</v>
      </c>
    </row>
    <row r="997" spans="1:11" x14ac:dyDescent="0.25">
      <c r="A997" t="str">
        <f>"1282"</f>
        <v>1282</v>
      </c>
      <c r="B997" t="str">
        <f t="shared" si="58"/>
        <v>1</v>
      </c>
      <c r="C997" t="str">
        <f t="shared" si="59"/>
        <v>52</v>
      </c>
      <c r="D997" t="str">
        <f>"11"</f>
        <v>11</v>
      </c>
      <c r="E997" t="str">
        <f>"1-52-11"</f>
        <v>1-52-11</v>
      </c>
      <c r="F997" t="s">
        <v>15</v>
      </c>
      <c r="G997" t="s">
        <v>16</v>
      </c>
      <c r="H997" t="s">
        <v>17</v>
      </c>
      <c r="I997">
        <v>0</v>
      </c>
      <c r="J997">
        <v>0</v>
      </c>
      <c r="K997">
        <v>1</v>
      </c>
    </row>
    <row r="998" spans="1:11" x14ac:dyDescent="0.25">
      <c r="A998" t="str">
        <f>"1283"</f>
        <v>1283</v>
      </c>
      <c r="B998" t="str">
        <f t="shared" si="58"/>
        <v>1</v>
      </c>
      <c r="C998" t="str">
        <f t="shared" si="59"/>
        <v>52</v>
      </c>
      <c r="D998" t="str">
        <f>"25"</f>
        <v>25</v>
      </c>
      <c r="E998" t="str">
        <f>"1-52-25"</f>
        <v>1-52-25</v>
      </c>
      <c r="F998" t="s">
        <v>15</v>
      </c>
      <c r="G998" t="s">
        <v>20</v>
      </c>
      <c r="H998" t="s">
        <v>21</v>
      </c>
      <c r="I998">
        <v>0</v>
      </c>
      <c r="J998">
        <v>1</v>
      </c>
      <c r="K998">
        <v>0</v>
      </c>
    </row>
    <row r="999" spans="1:11" x14ac:dyDescent="0.25">
      <c r="A999" t="str">
        <f>"1284"</f>
        <v>1284</v>
      </c>
      <c r="B999" t="str">
        <f t="shared" si="58"/>
        <v>1</v>
      </c>
      <c r="C999" t="str">
        <f t="shared" si="59"/>
        <v>52</v>
      </c>
      <c r="D999" t="str">
        <f>"26"</f>
        <v>26</v>
      </c>
      <c r="E999" t="str">
        <f>"1-52-26"</f>
        <v>1-52-26</v>
      </c>
      <c r="F999" t="s">
        <v>15</v>
      </c>
      <c r="G999" t="s">
        <v>20</v>
      </c>
      <c r="H999" t="s">
        <v>21</v>
      </c>
      <c r="I999">
        <v>0</v>
      </c>
      <c r="J999">
        <v>0</v>
      </c>
      <c r="K999">
        <v>1</v>
      </c>
    </row>
    <row r="1000" spans="1:11" x14ac:dyDescent="0.25">
      <c r="A1000" t="str">
        <f>"1285"</f>
        <v>1285</v>
      </c>
      <c r="B1000" t="str">
        <f t="shared" si="58"/>
        <v>1</v>
      </c>
      <c r="C1000" t="str">
        <f t="shared" si="59"/>
        <v>52</v>
      </c>
      <c r="D1000" t="str">
        <f>"4"</f>
        <v>4</v>
      </c>
      <c r="E1000" t="str">
        <f>"1-52-4"</f>
        <v>1-52-4</v>
      </c>
      <c r="F1000" t="s">
        <v>15</v>
      </c>
      <c r="G1000" t="s">
        <v>16</v>
      </c>
      <c r="H1000" t="s">
        <v>17</v>
      </c>
      <c r="I1000">
        <v>1</v>
      </c>
      <c r="J1000">
        <v>0</v>
      </c>
      <c r="K1000">
        <v>0</v>
      </c>
    </row>
    <row r="1001" spans="1:11" x14ac:dyDescent="0.25">
      <c r="A1001" t="str">
        <f>"1286"</f>
        <v>1286</v>
      </c>
      <c r="B1001" t="str">
        <f t="shared" si="58"/>
        <v>1</v>
      </c>
      <c r="C1001" t="str">
        <f t="shared" si="59"/>
        <v>52</v>
      </c>
      <c r="D1001" t="str">
        <f>"27"</f>
        <v>27</v>
      </c>
      <c r="E1001" t="str">
        <f>"1-52-27"</f>
        <v>1-52-27</v>
      </c>
      <c r="F1001" t="s">
        <v>15</v>
      </c>
      <c r="G1001" t="s">
        <v>20</v>
      </c>
      <c r="H1001" t="s">
        <v>21</v>
      </c>
      <c r="I1001">
        <v>0</v>
      </c>
      <c r="J1001">
        <v>0</v>
      </c>
      <c r="K1001">
        <v>1</v>
      </c>
    </row>
    <row r="1002" spans="1:11" x14ac:dyDescent="0.25">
      <c r="A1002" t="str">
        <f>"1287"</f>
        <v>1287</v>
      </c>
      <c r="B1002" t="str">
        <f t="shared" si="58"/>
        <v>1</v>
      </c>
      <c r="C1002" t="str">
        <f t="shared" si="59"/>
        <v>52</v>
      </c>
      <c r="D1002" t="str">
        <f>"13"</f>
        <v>13</v>
      </c>
      <c r="E1002" t="str">
        <f>"1-52-13"</f>
        <v>1-52-13</v>
      </c>
      <c r="F1002" t="s">
        <v>15</v>
      </c>
      <c r="G1002" t="s">
        <v>20</v>
      </c>
      <c r="H1002" t="s">
        <v>21</v>
      </c>
      <c r="I1002">
        <v>1</v>
      </c>
      <c r="J1002">
        <v>0</v>
      </c>
      <c r="K1002">
        <v>0</v>
      </c>
    </row>
    <row r="1003" spans="1:11" x14ac:dyDescent="0.25">
      <c r="A1003" t="str">
        <f>"1288"</f>
        <v>1288</v>
      </c>
      <c r="B1003" t="str">
        <f t="shared" si="58"/>
        <v>1</v>
      </c>
      <c r="C1003" t="str">
        <f t="shared" si="59"/>
        <v>52</v>
      </c>
      <c r="D1003" t="str">
        <f>"7"</f>
        <v>7</v>
      </c>
      <c r="E1003" t="str">
        <f>"1-52-7"</f>
        <v>1-52-7</v>
      </c>
      <c r="F1003" t="s">
        <v>15</v>
      </c>
      <c r="G1003" t="s">
        <v>16</v>
      </c>
      <c r="H1003" t="s">
        <v>17</v>
      </c>
      <c r="I1003">
        <v>1</v>
      </c>
      <c r="J1003">
        <v>0</v>
      </c>
      <c r="K1003">
        <v>0</v>
      </c>
    </row>
    <row r="1004" spans="1:11" x14ac:dyDescent="0.25">
      <c r="A1004" t="str">
        <f>"1289"</f>
        <v>1289</v>
      </c>
      <c r="B1004" t="str">
        <f t="shared" si="58"/>
        <v>1</v>
      </c>
      <c r="C1004" t="str">
        <f t="shared" si="59"/>
        <v>52</v>
      </c>
      <c r="D1004" t="str">
        <f>"8"</f>
        <v>8</v>
      </c>
      <c r="E1004" t="str">
        <f>"1-52-8"</f>
        <v>1-52-8</v>
      </c>
      <c r="F1004" t="s">
        <v>15</v>
      </c>
      <c r="G1004" t="s">
        <v>20</v>
      </c>
      <c r="H1004" t="s">
        <v>21</v>
      </c>
      <c r="I1004">
        <v>1</v>
      </c>
      <c r="J1004">
        <v>0</v>
      </c>
      <c r="K1004">
        <v>0</v>
      </c>
    </row>
    <row r="1005" spans="1:11" x14ac:dyDescent="0.25">
      <c r="A1005" t="str">
        <f>"1290"</f>
        <v>1290</v>
      </c>
      <c r="B1005" t="str">
        <f t="shared" si="58"/>
        <v>1</v>
      </c>
      <c r="C1005" t="str">
        <f t="shared" si="59"/>
        <v>52</v>
      </c>
      <c r="D1005" t="str">
        <f>"18"</f>
        <v>18</v>
      </c>
      <c r="E1005" t="str">
        <f>"1-52-18"</f>
        <v>1-52-18</v>
      </c>
      <c r="F1005" t="s">
        <v>15</v>
      </c>
      <c r="G1005" t="s">
        <v>16</v>
      </c>
      <c r="H1005" t="s">
        <v>17</v>
      </c>
      <c r="I1005">
        <v>0</v>
      </c>
      <c r="J1005">
        <v>0</v>
      </c>
      <c r="K1005">
        <v>0</v>
      </c>
    </row>
    <row r="1006" spans="1:11" x14ac:dyDescent="0.25">
      <c r="A1006" t="str">
        <f>"1291"</f>
        <v>1291</v>
      </c>
      <c r="B1006" t="str">
        <f t="shared" si="58"/>
        <v>1</v>
      </c>
      <c r="C1006" t="str">
        <f t="shared" si="59"/>
        <v>52</v>
      </c>
      <c r="D1006" t="str">
        <f>"10"</f>
        <v>10</v>
      </c>
      <c r="E1006" t="str">
        <f>"1-52-10"</f>
        <v>1-52-10</v>
      </c>
      <c r="F1006" t="s">
        <v>15</v>
      </c>
      <c r="G1006" t="s">
        <v>20</v>
      </c>
      <c r="H1006" t="s">
        <v>21</v>
      </c>
      <c r="I1006">
        <v>0</v>
      </c>
      <c r="J1006">
        <v>0</v>
      </c>
      <c r="K1006">
        <v>0</v>
      </c>
    </row>
    <row r="1007" spans="1:11" x14ac:dyDescent="0.25">
      <c r="A1007" t="str">
        <f>"1292"</f>
        <v>1292</v>
      </c>
      <c r="B1007" t="str">
        <f t="shared" si="58"/>
        <v>1</v>
      </c>
      <c r="C1007" t="str">
        <f t="shared" si="59"/>
        <v>52</v>
      </c>
      <c r="D1007" t="str">
        <f>"1"</f>
        <v>1</v>
      </c>
      <c r="E1007" t="str">
        <f>"1-52-1"</f>
        <v>1-52-1</v>
      </c>
      <c r="F1007" t="s">
        <v>15</v>
      </c>
      <c r="G1007" t="s">
        <v>18</v>
      </c>
      <c r="H1007" t="s">
        <v>19</v>
      </c>
      <c r="I1007">
        <v>0</v>
      </c>
      <c r="J1007">
        <v>0</v>
      </c>
      <c r="K1007">
        <v>0</v>
      </c>
    </row>
    <row r="1008" spans="1:11" x14ac:dyDescent="0.25">
      <c r="A1008" t="str">
        <f>"1293"</f>
        <v>1293</v>
      </c>
      <c r="B1008" t="str">
        <f t="shared" si="58"/>
        <v>1</v>
      </c>
      <c r="C1008" t="str">
        <f t="shared" si="59"/>
        <v>52</v>
      </c>
      <c r="D1008" t="str">
        <f>"28"</f>
        <v>28</v>
      </c>
      <c r="E1008" t="str">
        <f>"1-52-28"</f>
        <v>1-52-28</v>
      </c>
      <c r="F1008" t="s">
        <v>15</v>
      </c>
      <c r="G1008" t="s">
        <v>18</v>
      </c>
      <c r="H1008" t="s">
        <v>19</v>
      </c>
      <c r="I1008">
        <v>0</v>
      </c>
      <c r="J1008">
        <v>0</v>
      </c>
      <c r="K1008">
        <v>0</v>
      </c>
    </row>
    <row r="1009" spans="1:11" x14ac:dyDescent="0.25">
      <c r="A1009" t="str">
        <f>"1294"</f>
        <v>1294</v>
      </c>
      <c r="B1009" t="str">
        <f t="shared" si="58"/>
        <v>1</v>
      </c>
      <c r="C1009" t="str">
        <f t="shared" ref="C1009:C1031" si="60">"53"</f>
        <v>53</v>
      </c>
      <c r="D1009" t="str">
        <f>"15"</f>
        <v>15</v>
      </c>
      <c r="E1009" t="str">
        <f>"1-53-15"</f>
        <v>1-53-15</v>
      </c>
      <c r="F1009" t="s">
        <v>15</v>
      </c>
      <c r="G1009" t="s">
        <v>20</v>
      </c>
      <c r="H1009" t="s">
        <v>21</v>
      </c>
      <c r="I1009">
        <v>1</v>
      </c>
      <c r="J1009">
        <v>0</v>
      </c>
      <c r="K1009">
        <v>0</v>
      </c>
    </row>
    <row r="1010" spans="1:11" x14ac:dyDescent="0.25">
      <c r="A1010" t="str">
        <f>"1296"</f>
        <v>1296</v>
      </c>
      <c r="B1010" t="str">
        <f t="shared" si="58"/>
        <v>1</v>
      </c>
      <c r="C1010" t="str">
        <f t="shared" si="60"/>
        <v>53</v>
      </c>
      <c r="D1010" t="str">
        <f>"16"</f>
        <v>16</v>
      </c>
      <c r="E1010" t="str">
        <f>"1-53-16"</f>
        <v>1-53-16</v>
      </c>
      <c r="F1010" t="s">
        <v>15</v>
      </c>
      <c r="G1010" t="s">
        <v>20</v>
      </c>
      <c r="H1010" t="s">
        <v>21</v>
      </c>
      <c r="I1010">
        <v>0</v>
      </c>
      <c r="J1010">
        <v>1</v>
      </c>
      <c r="K1010">
        <v>0</v>
      </c>
    </row>
    <row r="1011" spans="1:11" x14ac:dyDescent="0.25">
      <c r="A1011" t="str">
        <f>"1297"</f>
        <v>1297</v>
      </c>
      <c r="B1011" t="str">
        <f t="shared" si="58"/>
        <v>1</v>
      </c>
      <c r="C1011" t="str">
        <f t="shared" si="60"/>
        <v>53</v>
      </c>
      <c r="D1011" t="str">
        <f>"6"</f>
        <v>6</v>
      </c>
      <c r="E1011" t="str">
        <f>"1-53-6"</f>
        <v>1-53-6</v>
      </c>
      <c r="F1011" t="s">
        <v>15</v>
      </c>
      <c r="G1011" t="s">
        <v>20</v>
      </c>
      <c r="H1011" t="s">
        <v>21</v>
      </c>
      <c r="I1011">
        <v>0</v>
      </c>
      <c r="J1011">
        <v>1</v>
      </c>
      <c r="K1011">
        <v>0</v>
      </c>
    </row>
    <row r="1012" spans="1:11" x14ac:dyDescent="0.25">
      <c r="A1012" t="str">
        <f>"1298"</f>
        <v>1298</v>
      </c>
      <c r="B1012" t="str">
        <f t="shared" si="58"/>
        <v>1</v>
      </c>
      <c r="C1012" t="str">
        <f t="shared" si="60"/>
        <v>53</v>
      </c>
      <c r="D1012" t="str">
        <f>"12"</f>
        <v>12</v>
      </c>
      <c r="E1012" t="str">
        <f>"1-53-12"</f>
        <v>1-53-12</v>
      </c>
      <c r="F1012" t="s">
        <v>15</v>
      </c>
      <c r="G1012" t="s">
        <v>20</v>
      </c>
      <c r="H1012" t="s">
        <v>21</v>
      </c>
      <c r="I1012">
        <v>1</v>
      </c>
      <c r="J1012">
        <v>0</v>
      </c>
      <c r="K1012">
        <v>0</v>
      </c>
    </row>
    <row r="1013" spans="1:11" x14ac:dyDescent="0.25">
      <c r="A1013" t="str">
        <f>"1299"</f>
        <v>1299</v>
      </c>
      <c r="B1013" t="str">
        <f t="shared" si="58"/>
        <v>1</v>
      </c>
      <c r="C1013" t="str">
        <f t="shared" si="60"/>
        <v>53</v>
      </c>
      <c r="D1013" t="str">
        <f>"18"</f>
        <v>18</v>
      </c>
      <c r="E1013" t="str">
        <f>"1-53-18"</f>
        <v>1-53-18</v>
      </c>
      <c r="F1013" t="s">
        <v>15</v>
      </c>
      <c r="G1013" t="s">
        <v>20</v>
      </c>
      <c r="H1013" t="s">
        <v>21</v>
      </c>
      <c r="I1013">
        <v>0</v>
      </c>
      <c r="J1013">
        <v>0</v>
      </c>
      <c r="K1013">
        <v>1</v>
      </c>
    </row>
    <row r="1014" spans="1:11" x14ac:dyDescent="0.25">
      <c r="A1014" t="str">
        <f>"1300"</f>
        <v>1300</v>
      </c>
      <c r="B1014" t="str">
        <f t="shared" si="58"/>
        <v>1</v>
      </c>
      <c r="C1014" t="str">
        <f t="shared" si="60"/>
        <v>53</v>
      </c>
      <c r="D1014" t="str">
        <f>"8"</f>
        <v>8</v>
      </c>
      <c r="E1014" t="str">
        <f>"1-53-8"</f>
        <v>1-53-8</v>
      </c>
      <c r="F1014" t="s">
        <v>15</v>
      </c>
      <c r="G1014" t="s">
        <v>20</v>
      </c>
      <c r="H1014" t="s">
        <v>21</v>
      </c>
      <c r="I1014">
        <v>0</v>
      </c>
      <c r="J1014">
        <v>1</v>
      </c>
      <c r="K1014">
        <v>0</v>
      </c>
    </row>
    <row r="1015" spans="1:11" x14ac:dyDescent="0.25">
      <c r="A1015" t="str">
        <f>"1301"</f>
        <v>1301</v>
      </c>
      <c r="B1015" t="str">
        <f t="shared" si="58"/>
        <v>1</v>
      </c>
      <c r="C1015" t="str">
        <f t="shared" si="60"/>
        <v>53</v>
      </c>
      <c r="D1015" t="str">
        <f>"19"</f>
        <v>19</v>
      </c>
      <c r="E1015" t="str">
        <f>"1-53-19"</f>
        <v>1-53-19</v>
      </c>
      <c r="F1015" t="s">
        <v>15</v>
      </c>
      <c r="G1015" t="s">
        <v>20</v>
      </c>
      <c r="H1015" t="s">
        <v>21</v>
      </c>
      <c r="I1015">
        <v>0</v>
      </c>
      <c r="J1015">
        <v>1</v>
      </c>
      <c r="K1015">
        <v>0</v>
      </c>
    </row>
    <row r="1016" spans="1:11" x14ac:dyDescent="0.25">
      <c r="A1016" t="str">
        <f>"1302"</f>
        <v>1302</v>
      </c>
      <c r="B1016" t="str">
        <f t="shared" si="58"/>
        <v>1</v>
      </c>
      <c r="C1016" t="str">
        <f t="shared" si="60"/>
        <v>53</v>
      </c>
      <c r="D1016" t="str">
        <f>"14"</f>
        <v>14</v>
      </c>
      <c r="E1016" t="str">
        <f>"1-53-14"</f>
        <v>1-53-14</v>
      </c>
      <c r="F1016" t="s">
        <v>15</v>
      </c>
      <c r="G1016" t="s">
        <v>20</v>
      </c>
      <c r="H1016" t="s">
        <v>21</v>
      </c>
      <c r="I1016">
        <v>0</v>
      </c>
      <c r="J1016">
        <v>1</v>
      </c>
      <c r="K1016">
        <v>0</v>
      </c>
    </row>
    <row r="1017" spans="1:11" x14ac:dyDescent="0.25">
      <c r="A1017" t="str">
        <f>"1303"</f>
        <v>1303</v>
      </c>
      <c r="B1017" t="str">
        <f t="shared" si="58"/>
        <v>1</v>
      </c>
      <c r="C1017" t="str">
        <f t="shared" si="60"/>
        <v>53</v>
      </c>
      <c r="D1017" t="str">
        <f>"20"</f>
        <v>20</v>
      </c>
      <c r="E1017" t="str">
        <f>"1-53-20"</f>
        <v>1-53-20</v>
      </c>
      <c r="F1017" t="s">
        <v>15</v>
      </c>
      <c r="G1017" t="s">
        <v>20</v>
      </c>
      <c r="H1017" t="s">
        <v>21</v>
      </c>
      <c r="I1017">
        <v>0</v>
      </c>
      <c r="J1017">
        <v>1</v>
      </c>
      <c r="K1017">
        <v>0</v>
      </c>
    </row>
    <row r="1018" spans="1:11" x14ac:dyDescent="0.25">
      <c r="A1018" t="str">
        <f>"1304"</f>
        <v>1304</v>
      </c>
      <c r="B1018" t="str">
        <f t="shared" si="58"/>
        <v>1</v>
      </c>
      <c r="C1018" t="str">
        <f t="shared" si="60"/>
        <v>53</v>
      </c>
      <c r="D1018" t="str">
        <f>"13"</f>
        <v>13</v>
      </c>
      <c r="E1018" t="str">
        <f>"1-53-13"</f>
        <v>1-53-13</v>
      </c>
      <c r="F1018" t="s">
        <v>15</v>
      </c>
      <c r="G1018" t="s">
        <v>20</v>
      </c>
      <c r="H1018" t="s">
        <v>21</v>
      </c>
      <c r="I1018">
        <v>0</v>
      </c>
      <c r="J1018">
        <v>1</v>
      </c>
      <c r="K1018">
        <v>0</v>
      </c>
    </row>
    <row r="1019" spans="1:11" x14ac:dyDescent="0.25">
      <c r="A1019" t="str">
        <f>"1305"</f>
        <v>1305</v>
      </c>
      <c r="B1019" t="str">
        <f t="shared" si="58"/>
        <v>1</v>
      </c>
      <c r="C1019" t="str">
        <f t="shared" si="60"/>
        <v>53</v>
      </c>
      <c r="D1019" t="str">
        <f>"21"</f>
        <v>21</v>
      </c>
      <c r="E1019" t="str">
        <f>"1-53-21"</f>
        <v>1-53-21</v>
      </c>
      <c r="F1019" t="s">
        <v>15</v>
      </c>
      <c r="G1019" t="s">
        <v>20</v>
      </c>
      <c r="H1019" t="s">
        <v>21</v>
      </c>
      <c r="I1019">
        <v>0</v>
      </c>
      <c r="J1019">
        <v>0</v>
      </c>
      <c r="K1019">
        <v>1</v>
      </c>
    </row>
    <row r="1020" spans="1:11" x14ac:dyDescent="0.25">
      <c r="A1020" t="str">
        <f>"1306"</f>
        <v>1306</v>
      </c>
      <c r="B1020" t="str">
        <f t="shared" ref="B1020:B1083" si="61">"1"</f>
        <v>1</v>
      </c>
      <c r="C1020" t="str">
        <f t="shared" si="60"/>
        <v>53</v>
      </c>
      <c r="D1020" t="str">
        <f>"7"</f>
        <v>7</v>
      </c>
      <c r="E1020" t="str">
        <f>"1-53-7"</f>
        <v>1-53-7</v>
      </c>
      <c r="F1020" t="s">
        <v>15</v>
      </c>
      <c r="G1020" t="s">
        <v>20</v>
      </c>
      <c r="H1020" t="s">
        <v>21</v>
      </c>
      <c r="I1020">
        <v>1</v>
      </c>
      <c r="J1020">
        <v>0</v>
      </c>
      <c r="K1020">
        <v>0</v>
      </c>
    </row>
    <row r="1021" spans="1:11" x14ac:dyDescent="0.25">
      <c r="A1021" t="str">
        <f>"1307"</f>
        <v>1307</v>
      </c>
      <c r="B1021" t="str">
        <f t="shared" si="61"/>
        <v>1</v>
      </c>
      <c r="C1021" t="str">
        <f t="shared" si="60"/>
        <v>53</v>
      </c>
      <c r="D1021" t="str">
        <f>"10"</f>
        <v>10</v>
      </c>
      <c r="E1021" t="str">
        <f>"1-53-10"</f>
        <v>1-53-10</v>
      </c>
      <c r="F1021" t="s">
        <v>15</v>
      </c>
      <c r="G1021" t="s">
        <v>20</v>
      </c>
      <c r="H1021" t="s">
        <v>21</v>
      </c>
      <c r="I1021">
        <v>0</v>
      </c>
      <c r="J1021">
        <v>0</v>
      </c>
      <c r="K1021">
        <v>1</v>
      </c>
    </row>
    <row r="1022" spans="1:11" x14ac:dyDescent="0.25">
      <c r="A1022" t="str">
        <f>"1308"</f>
        <v>1308</v>
      </c>
      <c r="B1022" t="str">
        <f t="shared" si="61"/>
        <v>1</v>
      </c>
      <c r="C1022" t="str">
        <f t="shared" si="60"/>
        <v>53</v>
      </c>
      <c r="D1022" t="str">
        <f>"23"</f>
        <v>23</v>
      </c>
      <c r="E1022" t="str">
        <f>"1-53-23"</f>
        <v>1-53-23</v>
      </c>
      <c r="F1022" t="s">
        <v>15</v>
      </c>
      <c r="G1022" t="s">
        <v>20</v>
      </c>
      <c r="H1022" t="s">
        <v>21</v>
      </c>
      <c r="I1022">
        <v>0</v>
      </c>
      <c r="J1022">
        <v>0</v>
      </c>
      <c r="K1022">
        <v>1</v>
      </c>
    </row>
    <row r="1023" spans="1:11" x14ac:dyDescent="0.25">
      <c r="A1023" t="str">
        <f>"1309"</f>
        <v>1309</v>
      </c>
      <c r="B1023" t="str">
        <f t="shared" si="61"/>
        <v>1</v>
      </c>
      <c r="C1023" t="str">
        <f t="shared" si="60"/>
        <v>53</v>
      </c>
      <c r="D1023" t="str">
        <f>"3"</f>
        <v>3</v>
      </c>
      <c r="E1023" t="str">
        <f>"1-53-3"</f>
        <v>1-53-3</v>
      </c>
      <c r="F1023" t="s">
        <v>15</v>
      </c>
      <c r="G1023" t="s">
        <v>20</v>
      </c>
      <c r="H1023" t="s">
        <v>21</v>
      </c>
      <c r="I1023">
        <v>1</v>
      </c>
      <c r="J1023">
        <v>0</v>
      </c>
      <c r="K1023">
        <v>0</v>
      </c>
    </row>
    <row r="1024" spans="1:11" x14ac:dyDescent="0.25">
      <c r="A1024" t="str">
        <f>"1310"</f>
        <v>1310</v>
      </c>
      <c r="B1024" t="str">
        <f t="shared" si="61"/>
        <v>1</v>
      </c>
      <c r="C1024" t="str">
        <f t="shared" si="60"/>
        <v>53</v>
      </c>
      <c r="D1024" t="str">
        <f>"24"</f>
        <v>24</v>
      </c>
      <c r="E1024" t="str">
        <f>"1-53-24"</f>
        <v>1-53-24</v>
      </c>
      <c r="F1024" t="s">
        <v>15</v>
      </c>
      <c r="G1024" t="s">
        <v>20</v>
      </c>
      <c r="H1024" t="s">
        <v>21</v>
      </c>
      <c r="I1024">
        <v>1</v>
      </c>
      <c r="J1024">
        <v>0</v>
      </c>
      <c r="K1024">
        <v>0</v>
      </c>
    </row>
    <row r="1025" spans="1:11" x14ac:dyDescent="0.25">
      <c r="A1025" t="str">
        <f>"1311"</f>
        <v>1311</v>
      </c>
      <c r="B1025" t="str">
        <f t="shared" si="61"/>
        <v>1</v>
      </c>
      <c r="C1025" t="str">
        <f t="shared" si="60"/>
        <v>53</v>
      </c>
      <c r="D1025" t="str">
        <f>"9"</f>
        <v>9</v>
      </c>
      <c r="E1025" t="str">
        <f>"1-53-9"</f>
        <v>1-53-9</v>
      </c>
      <c r="F1025" t="s">
        <v>15</v>
      </c>
      <c r="G1025" t="s">
        <v>20</v>
      </c>
      <c r="H1025" t="s">
        <v>21</v>
      </c>
      <c r="I1025">
        <v>0</v>
      </c>
      <c r="J1025">
        <v>0</v>
      </c>
      <c r="K1025">
        <v>1</v>
      </c>
    </row>
    <row r="1026" spans="1:11" x14ac:dyDescent="0.25">
      <c r="A1026" t="str">
        <f>"1312"</f>
        <v>1312</v>
      </c>
      <c r="B1026" t="str">
        <f t="shared" si="61"/>
        <v>1</v>
      </c>
      <c r="C1026" t="str">
        <f t="shared" si="60"/>
        <v>53</v>
      </c>
      <c r="D1026" t="str">
        <f>"4"</f>
        <v>4</v>
      </c>
      <c r="E1026" t="str">
        <f>"1-53-4"</f>
        <v>1-53-4</v>
      </c>
      <c r="F1026" t="s">
        <v>15</v>
      </c>
      <c r="G1026" t="s">
        <v>20</v>
      </c>
      <c r="H1026" t="s">
        <v>21</v>
      </c>
      <c r="I1026">
        <v>1</v>
      </c>
      <c r="J1026">
        <v>0</v>
      </c>
      <c r="K1026">
        <v>0</v>
      </c>
    </row>
    <row r="1027" spans="1:11" x14ac:dyDescent="0.25">
      <c r="A1027" t="str">
        <f>"1313"</f>
        <v>1313</v>
      </c>
      <c r="B1027" t="str">
        <f t="shared" si="61"/>
        <v>1</v>
      </c>
      <c r="C1027" t="str">
        <f t="shared" si="60"/>
        <v>53</v>
      </c>
      <c r="D1027" t="str">
        <f>"5"</f>
        <v>5</v>
      </c>
      <c r="E1027" t="str">
        <f>"1-53-5"</f>
        <v>1-53-5</v>
      </c>
      <c r="F1027" t="s">
        <v>15</v>
      </c>
      <c r="G1027" t="s">
        <v>20</v>
      </c>
      <c r="H1027" t="s">
        <v>21</v>
      </c>
      <c r="I1027">
        <v>0</v>
      </c>
      <c r="J1027">
        <v>1</v>
      </c>
      <c r="K1027">
        <v>0</v>
      </c>
    </row>
    <row r="1028" spans="1:11" x14ac:dyDescent="0.25">
      <c r="A1028" t="str">
        <f>"1314"</f>
        <v>1314</v>
      </c>
      <c r="B1028" t="str">
        <f t="shared" si="61"/>
        <v>1</v>
      </c>
      <c r="C1028" t="str">
        <f t="shared" si="60"/>
        <v>53</v>
      </c>
      <c r="D1028" t="str">
        <f>"11"</f>
        <v>11</v>
      </c>
      <c r="E1028" t="str">
        <f>"1-53-11"</f>
        <v>1-53-11</v>
      </c>
      <c r="F1028" t="s">
        <v>15</v>
      </c>
      <c r="G1028" t="s">
        <v>20</v>
      </c>
      <c r="H1028" t="s">
        <v>21</v>
      </c>
      <c r="I1028">
        <v>0</v>
      </c>
      <c r="J1028">
        <v>0</v>
      </c>
      <c r="K1028">
        <v>1</v>
      </c>
    </row>
    <row r="1029" spans="1:11" x14ac:dyDescent="0.25">
      <c r="A1029" t="str">
        <f>"1315"</f>
        <v>1315</v>
      </c>
      <c r="B1029" t="str">
        <f t="shared" si="61"/>
        <v>1</v>
      </c>
      <c r="C1029" t="str">
        <f t="shared" si="60"/>
        <v>53</v>
      </c>
      <c r="D1029" t="str">
        <f>"2"</f>
        <v>2</v>
      </c>
      <c r="E1029" t="str">
        <f>"1-53-2"</f>
        <v>1-53-2</v>
      </c>
      <c r="F1029" t="s">
        <v>15</v>
      </c>
      <c r="G1029" t="s">
        <v>20</v>
      </c>
      <c r="H1029" t="s">
        <v>21</v>
      </c>
      <c r="I1029">
        <v>0</v>
      </c>
      <c r="J1029">
        <v>0</v>
      </c>
      <c r="K1029">
        <v>0</v>
      </c>
    </row>
    <row r="1030" spans="1:11" x14ac:dyDescent="0.25">
      <c r="A1030" t="str">
        <f>"1316"</f>
        <v>1316</v>
      </c>
      <c r="B1030" t="str">
        <f t="shared" si="61"/>
        <v>1</v>
      </c>
      <c r="C1030" t="str">
        <f t="shared" si="60"/>
        <v>53</v>
      </c>
      <c r="D1030" t="str">
        <f>"17"</f>
        <v>17</v>
      </c>
      <c r="E1030" t="str">
        <f>"1-53-17"</f>
        <v>1-53-17</v>
      </c>
      <c r="F1030" t="s">
        <v>15</v>
      </c>
      <c r="G1030" t="s">
        <v>20</v>
      </c>
      <c r="H1030" t="s">
        <v>21</v>
      </c>
      <c r="I1030">
        <v>0</v>
      </c>
      <c r="J1030">
        <v>0</v>
      </c>
      <c r="K1030">
        <v>0</v>
      </c>
    </row>
    <row r="1031" spans="1:11" x14ac:dyDescent="0.25">
      <c r="A1031" t="str">
        <f>"1317"</f>
        <v>1317</v>
      </c>
      <c r="B1031" t="str">
        <f t="shared" si="61"/>
        <v>1</v>
      </c>
      <c r="C1031" t="str">
        <f t="shared" si="60"/>
        <v>53</v>
      </c>
      <c r="D1031" t="str">
        <f>"22"</f>
        <v>22</v>
      </c>
      <c r="E1031" t="str">
        <f>"1-53-22"</f>
        <v>1-53-22</v>
      </c>
      <c r="F1031" t="s">
        <v>15</v>
      </c>
      <c r="G1031" t="s">
        <v>20</v>
      </c>
      <c r="H1031" t="s">
        <v>21</v>
      </c>
      <c r="I1031">
        <v>0</v>
      </c>
      <c r="J1031">
        <v>0</v>
      </c>
      <c r="K1031">
        <v>0</v>
      </c>
    </row>
    <row r="1032" spans="1:11" x14ac:dyDescent="0.25">
      <c r="A1032" t="str">
        <f>"1318"</f>
        <v>1318</v>
      </c>
      <c r="B1032" t="str">
        <f t="shared" si="61"/>
        <v>1</v>
      </c>
      <c r="C1032" t="str">
        <f t="shared" ref="C1032:C1056" si="62">"54"</f>
        <v>54</v>
      </c>
      <c r="D1032" t="str">
        <f>"15"</f>
        <v>15</v>
      </c>
      <c r="E1032" t="str">
        <f>"1-54-15"</f>
        <v>1-54-15</v>
      </c>
      <c r="F1032" t="s">
        <v>15</v>
      </c>
      <c r="G1032" t="s">
        <v>16</v>
      </c>
      <c r="H1032" t="s">
        <v>17</v>
      </c>
      <c r="I1032">
        <v>0</v>
      </c>
      <c r="J1032">
        <v>1</v>
      </c>
      <c r="K1032">
        <v>0</v>
      </c>
    </row>
    <row r="1033" spans="1:11" x14ac:dyDescent="0.25">
      <c r="A1033" t="str">
        <f>"1319"</f>
        <v>1319</v>
      </c>
      <c r="B1033" t="str">
        <f t="shared" si="61"/>
        <v>1</v>
      </c>
      <c r="C1033" t="str">
        <f t="shared" si="62"/>
        <v>54</v>
      </c>
      <c r="D1033" t="str">
        <f>"2"</f>
        <v>2</v>
      </c>
      <c r="E1033" t="str">
        <f>"1-54-2"</f>
        <v>1-54-2</v>
      </c>
      <c r="F1033" t="s">
        <v>15</v>
      </c>
      <c r="G1033" t="s">
        <v>16</v>
      </c>
      <c r="H1033" t="s">
        <v>17</v>
      </c>
      <c r="I1033">
        <v>0</v>
      </c>
      <c r="J1033">
        <v>0</v>
      </c>
      <c r="K1033">
        <v>1</v>
      </c>
    </row>
    <row r="1034" spans="1:11" x14ac:dyDescent="0.25">
      <c r="A1034" t="str">
        <f>"1320"</f>
        <v>1320</v>
      </c>
      <c r="B1034" t="str">
        <f t="shared" si="61"/>
        <v>1</v>
      </c>
      <c r="C1034" t="str">
        <f t="shared" si="62"/>
        <v>54</v>
      </c>
      <c r="D1034" t="str">
        <f>"19"</f>
        <v>19</v>
      </c>
      <c r="E1034" t="str">
        <f>"1-54-19"</f>
        <v>1-54-19</v>
      </c>
      <c r="F1034" t="s">
        <v>15</v>
      </c>
      <c r="G1034" t="s">
        <v>16</v>
      </c>
      <c r="H1034" t="s">
        <v>17</v>
      </c>
      <c r="I1034">
        <v>1</v>
      </c>
      <c r="J1034">
        <v>0</v>
      </c>
      <c r="K1034">
        <v>0</v>
      </c>
    </row>
    <row r="1035" spans="1:11" x14ac:dyDescent="0.25">
      <c r="A1035" t="str">
        <f>"1321"</f>
        <v>1321</v>
      </c>
      <c r="B1035" t="str">
        <f t="shared" si="61"/>
        <v>1</v>
      </c>
      <c r="C1035" t="str">
        <f t="shared" si="62"/>
        <v>54</v>
      </c>
      <c r="D1035" t="str">
        <f>"16"</f>
        <v>16</v>
      </c>
      <c r="E1035" t="str">
        <f>"1-54-16"</f>
        <v>1-54-16</v>
      </c>
      <c r="F1035" t="s">
        <v>15</v>
      </c>
      <c r="G1035" t="s">
        <v>16</v>
      </c>
      <c r="H1035" t="s">
        <v>17</v>
      </c>
      <c r="I1035">
        <v>0</v>
      </c>
      <c r="J1035">
        <v>0</v>
      </c>
      <c r="K1035">
        <v>1</v>
      </c>
    </row>
    <row r="1036" spans="1:11" x14ac:dyDescent="0.25">
      <c r="A1036" t="str">
        <f>"1322"</f>
        <v>1322</v>
      </c>
      <c r="B1036" t="str">
        <f t="shared" si="61"/>
        <v>1</v>
      </c>
      <c r="C1036" t="str">
        <f t="shared" si="62"/>
        <v>54</v>
      </c>
      <c r="D1036" t="str">
        <f>"5"</f>
        <v>5</v>
      </c>
      <c r="E1036" t="str">
        <f>"1-54-5"</f>
        <v>1-54-5</v>
      </c>
      <c r="F1036" t="s">
        <v>15</v>
      </c>
      <c r="G1036" t="s">
        <v>16</v>
      </c>
      <c r="H1036" t="s">
        <v>17</v>
      </c>
      <c r="I1036">
        <v>1</v>
      </c>
      <c r="J1036">
        <v>0</v>
      </c>
      <c r="K1036">
        <v>0</v>
      </c>
    </row>
    <row r="1037" spans="1:11" x14ac:dyDescent="0.25">
      <c r="A1037" t="str">
        <f>"1323"</f>
        <v>1323</v>
      </c>
      <c r="B1037" t="str">
        <f t="shared" si="61"/>
        <v>1</v>
      </c>
      <c r="C1037" t="str">
        <f t="shared" si="62"/>
        <v>54</v>
      </c>
      <c r="D1037" t="str">
        <f>"17"</f>
        <v>17</v>
      </c>
      <c r="E1037" t="str">
        <f>"1-54-17"</f>
        <v>1-54-17</v>
      </c>
      <c r="F1037" t="s">
        <v>15</v>
      </c>
      <c r="G1037" t="s">
        <v>16</v>
      </c>
      <c r="H1037" t="s">
        <v>17</v>
      </c>
      <c r="I1037">
        <v>1</v>
      </c>
      <c r="J1037">
        <v>0</v>
      </c>
      <c r="K1037">
        <v>0</v>
      </c>
    </row>
    <row r="1038" spans="1:11" x14ac:dyDescent="0.25">
      <c r="A1038" t="str">
        <f>"1324"</f>
        <v>1324</v>
      </c>
      <c r="B1038" t="str">
        <f t="shared" si="61"/>
        <v>1</v>
      </c>
      <c r="C1038" t="str">
        <f t="shared" si="62"/>
        <v>54</v>
      </c>
      <c r="D1038" t="str">
        <f>"1"</f>
        <v>1</v>
      </c>
      <c r="E1038" t="str">
        <f>"1-54-1"</f>
        <v>1-54-1</v>
      </c>
      <c r="F1038" t="s">
        <v>15</v>
      </c>
      <c r="G1038" t="s">
        <v>16</v>
      </c>
      <c r="H1038" t="s">
        <v>17</v>
      </c>
      <c r="I1038">
        <v>0</v>
      </c>
      <c r="J1038">
        <v>1</v>
      </c>
      <c r="K1038">
        <v>0</v>
      </c>
    </row>
    <row r="1039" spans="1:11" x14ac:dyDescent="0.25">
      <c r="A1039" t="str">
        <f>"1325"</f>
        <v>1325</v>
      </c>
      <c r="B1039" t="str">
        <f t="shared" si="61"/>
        <v>1</v>
      </c>
      <c r="C1039" t="str">
        <f t="shared" si="62"/>
        <v>54</v>
      </c>
      <c r="D1039" t="str">
        <f>"18"</f>
        <v>18</v>
      </c>
      <c r="E1039" t="str">
        <f>"1-54-18"</f>
        <v>1-54-18</v>
      </c>
      <c r="F1039" t="s">
        <v>15</v>
      </c>
      <c r="G1039" t="s">
        <v>16</v>
      </c>
      <c r="H1039" t="s">
        <v>17</v>
      </c>
      <c r="I1039">
        <v>0</v>
      </c>
      <c r="J1039">
        <v>1</v>
      </c>
      <c r="K1039">
        <v>0</v>
      </c>
    </row>
    <row r="1040" spans="1:11" x14ac:dyDescent="0.25">
      <c r="A1040" t="str">
        <f>"1326"</f>
        <v>1326</v>
      </c>
      <c r="B1040" t="str">
        <f t="shared" si="61"/>
        <v>1</v>
      </c>
      <c r="C1040" t="str">
        <f t="shared" si="62"/>
        <v>54</v>
      </c>
      <c r="D1040" t="str">
        <f>"12"</f>
        <v>12</v>
      </c>
      <c r="E1040" t="str">
        <f>"1-54-12"</f>
        <v>1-54-12</v>
      </c>
      <c r="F1040" t="s">
        <v>15</v>
      </c>
      <c r="G1040" t="s">
        <v>16</v>
      </c>
      <c r="H1040" t="s">
        <v>17</v>
      </c>
      <c r="I1040">
        <v>1</v>
      </c>
      <c r="J1040">
        <v>0</v>
      </c>
      <c r="K1040">
        <v>0</v>
      </c>
    </row>
    <row r="1041" spans="1:11" x14ac:dyDescent="0.25">
      <c r="A1041" t="str">
        <f>"1327"</f>
        <v>1327</v>
      </c>
      <c r="B1041" t="str">
        <f t="shared" si="61"/>
        <v>1</v>
      </c>
      <c r="C1041" t="str">
        <f t="shared" si="62"/>
        <v>54</v>
      </c>
      <c r="D1041" t="str">
        <f>"20"</f>
        <v>20</v>
      </c>
      <c r="E1041" t="str">
        <f>"1-54-20"</f>
        <v>1-54-20</v>
      </c>
      <c r="F1041" t="s">
        <v>15</v>
      </c>
      <c r="G1041" t="s">
        <v>16</v>
      </c>
      <c r="H1041" t="s">
        <v>17</v>
      </c>
      <c r="I1041">
        <v>1</v>
      </c>
      <c r="J1041">
        <v>0</v>
      </c>
      <c r="K1041">
        <v>0</v>
      </c>
    </row>
    <row r="1042" spans="1:11" x14ac:dyDescent="0.25">
      <c r="A1042" t="str">
        <f>"1328"</f>
        <v>1328</v>
      </c>
      <c r="B1042" t="str">
        <f t="shared" si="61"/>
        <v>1</v>
      </c>
      <c r="C1042" t="str">
        <f t="shared" si="62"/>
        <v>54</v>
      </c>
      <c r="D1042" t="str">
        <f>"9"</f>
        <v>9</v>
      </c>
      <c r="E1042" t="str">
        <f>"1-54-9"</f>
        <v>1-54-9</v>
      </c>
      <c r="F1042" t="s">
        <v>15</v>
      </c>
      <c r="G1042" t="s">
        <v>16</v>
      </c>
      <c r="H1042" t="s">
        <v>17</v>
      </c>
      <c r="I1042">
        <v>0</v>
      </c>
      <c r="J1042">
        <v>1</v>
      </c>
      <c r="K1042">
        <v>0</v>
      </c>
    </row>
    <row r="1043" spans="1:11" x14ac:dyDescent="0.25">
      <c r="A1043" t="str">
        <f>"1329"</f>
        <v>1329</v>
      </c>
      <c r="B1043" t="str">
        <f t="shared" si="61"/>
        <v>1</v>
      </c>
      <c r="C1043" t="str">
        <f t="shared" si="62"/>
        <v>54</v>
      </c>
      <c r="D1043" t="str">
        <f>"21"</f>
        <v>21</v>
      </c>
      <c r="E1043" t="str">
        <f>"1-54-21"</f>
        <v>1-54-21</v>
      </c>
      <c r="F1043" t="s">
        <v>15</v>
      </c>
      <c r="G1043" t="s">
        <v>16</v>
      </c>
      <c r="H1043" t="s">
        <v>17</v>
      </c>
      <c r="I1043">
        <v>0</v>
      </c>
      <c r="J1043">
        <v>1</v>
      </c>
      <c r="K1043">
        <v>0</v>
      </c>
    </row>
    <row r="1044" spans="1:11" x14ac:dyDescent="0.25">
      <c r="A1044" t="str">
        <f>"1330"</f>
        <v>1330</v>
      </c>
      <c r="B1044" t="str">
        <f t="shared" si="61"/>
        <v>1</v>
      </c>
      <c r="C1044" t="str">
        <f t="shared" si="62"/>
        <v>54</v>
      </c>
      <c r="D1044" t="str">
        <f>"4"</f>
        <v>4</v>
      </c>
      <c r="E1044" t="str">
        <f>"1-54-4"</f>
        <v>1-54-4</v>
      </c>
      <c r="F1044" t="s">
        <v>15</v>
      </c>
      <c r="G1044" t="s">
        <v>18</v>
      </c>
      <c r="H1044" t="s">
        <v>19</v>
      </c>
      <c r="I1044">
        <v>1</v>
      </c>
      <c r="J1044">
        <v>0</v>
      </c>
      <c r="K1044">
        <v>0</v>
      </c>
    </row>
    <row r="1045" spans="1:11" x14ac:dyDescent="0.25">
      <c r="A1045" t="str">
        <f>"1331"</f>
        <v>1331</v>
      </c>
      <c r="B1045" t="str">
        <f t="shared" si="61"/>
        <v>1</v>
      </c>
      <c r="C1045" t="str">
        <f t="shared" si="62"/>
        <v>54</v>
      </c>
      <c r="D1045" t="str">
        <f>"22"</f>
        <v>22</v>
      </c>
      <c r="E1045" t="str">
        <f>"1-54-22"</f>
        <v>1-54-22</v>
      </c>
      <c r="F1045" t="s">
        <v>15</v>
      </c>
      <c r="G1045" t="s">
        <v>16</v>
      </c>
      <c r="H1045" t="s">
        <v>17</v>
      </c>
      <c r="I1045">
        <v>0</v>
      </c>
      <c r="J1045">
        <v>1</v>
      </c>
      <c r="K1045">
        <v>0</v>
      </c>
    </row>
    <row r="1046" spans="1:11" x14ac:dyDescent="0.25">
      <c r="A1046" t="str">
        <f>"1332"</f>
        <v>1332</v>
      </c>
      <c r="B1046" t="str">
        <f t="shared" si="61"/>
        <v>1</v>
      </c>
      <c r="C1046" t="str">
        <f t="shared" si="62"/>
        <v>54</v>
      </c>
      <c r="D1046" t="str">
        <f>"14"</f>
        <v>14</v>
      </c>
      <c r="E1046" t="str">
        <f>"1-54-14"</f>
        <v>1-54-14</v>
      </c>
      <c r="F1046" t="s">
        <v>15</v>
      </c>
      <c r="G1046" t="s">
        <v>16</v>
      </c>
      <c r="H1046" t="s">
        <v>17</v>
      </c>
      <c r="I1046">
        <v>0</v>
      </c>
      <c r="J1046">
        <v>1</v>
      </c>
      <c r="K1046">
        <v>0</v>
      </c>
    </row>
    <row r="1047" spans="1:11" x14ac:dyDescent="0.25">
      <c r="A1047" t="str">
        <f>"1333"</f>
        <v>1333</v>
      </c>
      <c r="B1047" t="str">
        <f t="shared" si="61"/>
        <v>1</v>
      </c>
      <c r="C1047" t="str">
        <f t="shared" si="62"/>
        <v>54</v>
      </c>
      <c r="D1047" t="str">
        <f>"23"</f>
        <v>23</v>
      </c>
      <c r="E1047" t="str">
        <f>"1-54-23"</f>
        <v>1-54-23</v>
      </c>
      <c r="F1047" t="s">
        <v>15</v>
      </c>
      <c r="G1047" t="s">
        <v>20</v>
      </c>
      <c r="H1047" t="s">
        <v>21</v>
      </c>
      <c r="I1047">
        <v>0</v>
      </c>
      <c r="J1047">
        <v>0</v>
      </c>
      <c r="K1047">
        <v>1</v>
      </c>
    </row>
    <row r="1048" spans="1:11" x14ac:dyDescent="0.25">
      <c r="A1048" t="str">
        <f>"1334"</f>
        <v>1334</v>
      </c>
      <c r="B1048" t="str">
        <f t="shared" si="61"/>
        <v>1</v>
      </c>
      <c r="C1048" t="str">
        <f t="shared" si="62"/>
        <v>54</v>
      </c>
      <c r="D1048" t="str">
        <f>"6"</f>
        <v>6</v>
      </c>
      <c r="E1048" t="str">
        <f>"1-54-6"</f>
        <v>1-54-6</v>
      </c>
      <c r="F1048" t="s">
        <v>15</v>
      </c>
      <c r="G1048" t="s">
        <v>18</v>
      </c>
      <c r="H1048" t="s">
        <v>19</v>
      </c>
      <c r="I1048">
        <v>0</v>
      </c>
      <c r="J1048">
        <v>0</v>
      </c>
      <c r="K1048">
        <v>1</v>
      </c>
    </row>
    <row r="1049" spans="1:11" x14ac:dyDescent="0.25">
      <c r="A1049" t="str">
        <f>"1335"</f>
        <v>1335</v>
      </c>
      <c r="B1049" t="str">
        <f t="shared" si="61"/>
        <v>1</v>
      </c>
      <c r="C1049" t="str">
        <f t="shared" si="62"/>
        <v>54</v>
      </c>
      <c r="D1049" t="str">
        <f>"24"</f>
        <v>24</v>
      </c>
      <c r="E1049" t="str">
        <f>"1-54-24"</f>
        <v>1-54-24</v>
      </c>
      <c r="F1049" t="s">
        <v>15</v>
      </c>
      <c r="G1049" t="s">
        <v>20</v>
      </c>
      <c r="H1049" t="s">
        <v>21</v>
      </c>
      <c r="I1049">
        <v>0</v>
      </c>
      <c r="J1049">
        <v>0</v>
      </c>
      <c r="K1049">
        <v>1</v>
      </c>
    </row>
    <row r="1050" spans="1:11" x14ac:dyDescent="0.25">
      <c r="A1050" t="str">
        <f>"1336"</f>
        <v>1336</v>
      </c>
      <c r="B1050" t="str">
        <f t="shared" si="61"/>
        <v>1</v>
      </c>
      <c r="C1050" t="str">
        <f t="shared" si="62"/>
        <v>54</v>
      </c>
      <c r="D1050" t="str">
        <f>"10"</f>
        <v>10</v>
      </c>
      <c r="E1050" t="str">
        <f>"1-54-10"</f>
        <v>1-54-10</v>
      </c>
      <c r="F1050" t="s">
        <v>15</v>
      </c>
      <c r="G1050" t="s">
        <v>16</v>
      </c>
      <c r="H1050" t="s">
        <v>17</v>
      </c>
      <c r="I1050">
        <v>1</v>
      </c>
      <c r="J1050">
        <v>0</v>
      </c>
      <c r="K1050">
        <v>0</v>
      </c>
    </row>
    <row r="1051" spans="1:11" x14ac:dyDescent="0.25">
      <c r="A1051" t="str">
        <f>"1337"</f>
        <v>1337</v>
      </c>
      <c r="B1051" t="str">
        <f t="shared" si="61"/>
        <v>1</v>
      </c>
      <c r="C1051" t="str">
        <f t="shared" si="62"/>
        <v>54</v>
      </c>
      <c r="D1051" t="str">
        <f>"25"</f>
        <v>25</v>
      </c>
      <c r="E1051" t="str">
        <f>"1-54-25"</f>
        <v>1-54-25</v>
      </c>
      <c r="F1051" t="s">
        <v>15</v>
      </c>
      <c r="G1051" t="s">
        <v>16</v>
      </c>
      <c r="H1051" t="s">
        <v>17</v>
      </c>
      <c r="I1051">
        <v>1</v>
      </c>
      <c r="J1051">
        <v>0</v>
      </c>
      <c r="K1051">
        <v>0</v>
      </c>
    </row>
    <row r="1052" spans="1:11" x14ac:dyDescent="0.25">
      <c r="A1052" t="str">
        <f>"1338"</f>
        <v>1338</v>
      </c>
      <c r="B1052" t="str">
        <f t="shared" si="61"/>
        <v>1</v>
      </c>
      <c r="C1052" t="str">
        <f t="shared" si="62"/>
        <v>54</v>
      </c>
      <c r="D1052" t="str">
        <f>"11"</f>
        <v>11</v>
      </c>
      <c r="E1052" t="str">
        <f>"1-54-11"</f>
        <v>1-54-11</v>
      </c>
      <c r="F1052" t="s">
        <v>15</v>
      </c>
      <c r="G1052" t="s">
        <v>16</v>
      </c>
      <c r="H1052" t="s">
        <v>17</v>
      </c>
      <c r="I1052">
        <v>1</v>
      </c>
      <c r="J1052">
        <v>0</v>
      </c>
      <c r="K1052">
        <v>0</v>
      </c>
    </row>
    <row r="1053" spans="1:11" x14ac:dyDescent="0.25">
      <c r="A1053" t="str">
        <f>"1339"</f>
        <v>1339</v>
      </c>
      <c r="B1053" t="str">
        <f t="shared" si="61"/>
        <v>1</v>
      </c>
      <c r="C1053" t="str">
        <f t="shared" si="62"/>
        <v>54</v>
      </c>
      <c r="D1053" t="str">
        <f>"3"</f>
        <v>3</v>
      </c>
      <c r="E1053" t="str">
        <f>"1-54-3"</f>
        <v>1-54-3</v>
      </c>
      <c r="F1053" t="s">
        <v>15</v>
      </c>
      <c r="G1053" t="s">
        <v>16</v>
      </c>
      <c r="H1053" t="s">
        <v>17</v>
      </c>
      <c r="I1053">
        <v>0</v>
      </c>
      <c r="J1053">
        <v>1</v>
      </c>
      <c r="K1053">
        <v>0</v>
      </c>
    </row>
    <row r="1054" spans="1:11" x14ac:dyDescent="0.25">
      <c r="A1054" t="str">
        <f>"1340"</f>
        <v>1340</v>
      </c>
      <c r="B1054" t="str">
        <f t="shared" si="61"/>
        <v>1</v>
      </c>
      <c r="C1054" t="str">
        <f t="shared" si="62"/>
        <v>54</v>
      </c>
      <c r="D1054" t="str">
        <f>"13"</f>
        <v>13</v>
      </c>
      <c r="E1054" t="str">
        <f>"1-54-13"</f>
        <v>1-54-13</v>
      </c>
      <c r="F1054" t="s">
        <v>15</v>
      </c>
      <c r="G1054" t="s">
        <v>16</v>
      </c>
      <c r="H1054" t="s">
        <v>17</v>
      </c>
      <c r="I1054">
        <v>0</v>
      </c>
      <c r="J1054">
        <v>0</v>
      </c>
      <c r="K1054">
        <v>1</v>
      </c>
    </row>
    <row r="1055" spans="1:11" x14ac:dyDescent="0.25">
      <c r="A1055" t="str">
        <f>"1341"</f>
        <v>1341</v>
      </c>
      <c r="B1055" t="str">
        <f t="shared" si="61"/>
        <v>1</v>
      </c>
      <c r="C1055" t="str">
        <f t="shared" si="62"/>
        <v>54</v>
      </c>
      <c r="D1055" t="str">
        <f>"8"</f>
        <v>8</v>
      </c>
      <c r="E1055" t="str">
        <f>"1-54-8"</f>
        <v>1-54-8</v>
      </c>
      <c r="F1055" t="s">
        <v>15</v>
      </c>
      <c r="G1055" t="s">
        <v>16</v>
      </c>
      <c r="H1055" t="s">
        <v>17</v>
      </c>
      <c r="I1055">
        <v>1</v>
      </c>
      <c r="J1055">
        <v>0</v>
      </c>
      <c r="K1055">
        <v>0</v>
      </c>
    </row>
    <row r="1056" spans="1:11" x14ac:dyDescent="0.25">
      <c r="A1056" t="str">
        <f>"1342"</f>
        <v>1342</v>
      </c>
      <c r="B1056" t="str">
        <f t="shared" si="61"/>
        <v>1</v>
      </c>
      <c r="C1056" t="str">
        <f t="shared" si="62"/>
        <v>54</v>
      </c>
      <c r="D1056" t="str">
        <f>"7"</f>
        <v>7</v>
      </c>
      <c r="E1056" t="str">
        <f>"1-54-7"</f>
        <v>1-54-7</v>
      </c>
      <c r="F1056" t="s">
        <v>15</v>
      </c>
      <c r="G1056" t="s">
        <v>16</v>
      </c>
      <c r="H1056" t="s">
        <v>17</v>
      </c>
      <c r="I1056">
        <v>1</v>
      </c>
      <c r="J1056">
        <v>0</v>
      </c>
      <c r="K1056">
        <v>0</v>
      </c>
    </row>
    <row r="1057" spans="1:11" x14ac:dyDescent="0.25">
      <c r="A1057" t="str">
        <f>"1343"</f>
        <v>1343</v>
      </c>
      <c r="B1057" t="str">
        <f t="shared" si="61"/>
        <v>1</v>
      </c>
      <c r="C1057" t="str">
        <f t="shared" ref="C1057:C1081" si="63">"55"</f>
        <v>55</v>
      </c>
      <c r="D1057" t="str">
        <f>"22"</f>
        <v>22</v>
      </c>
      <c r="E1057" t="str">
        <f>"1-55-22"</f>
        <v>1-55-22</v>
      </c>
      <c r="F1057" t="s">
        <v>15</v>
      </c>
      <c r="G1057" t="s">
        <v>16</v>
      </c>
      <c r="H1057" t="s">
        <v>17</v>
      </c>
      <c r="I1057">
        <v>0</v>
      </c>
      <c r="J1057">
        <v>0</v>
      </c>
      <c r="K1057">
        <v>1</v>
      </c>
    </row>
    <row r="1058" spans="1:11" x14ac:dyDescent="0.25">
      <c r="A1058" t="str">
        <f>"1344"</f>
        <v>1344</v>
      </c>
      <c r="B1058" t="str">
        <f t="shared" si="61"/>
        <v>1</v>
      </c>
      <c r="C1058" t="str">
        <f t="shared" si="63"/>
        <v>55</v>
      </c>
      <c r="D1058" t="str">
        <f>"15"</f>
        <v>15</v>
      </c>
      <c r="E1058" t="str">
        <f>"1-55-15"</f>
        <v>1-55-15</v>
      </c>
      <c r="F1058" t="s">
        <v>15</v>
      </c>
      <c r="G1058" t="s">
        <v>16</v>
      </c>
      <c r="H1058" t="s">
        <v>17</v>
      </c>
      <c r="I1058">
        <v>1</v>
      </c>
      <c r="J1058">
        <v>0</v>
      </c>
      <c r="K1058">
        <v>0</v>
      </c>
    </row>
    <row r="1059" spans="1:11" x14ac:dyDescent="0.25">
      <c r="A1059" t="str">
        <f>"1345"</f>
        <v>1345</v>
      </c>
      <c r="B1059" t="str">
        <f t="shared" si="61"/>
        <v>1</v>
      </c>
      <c r="C1059" t="str">
        <f t="shared" si="63"/>
        <v>55</v>
      </c>
      <c r="D1059" t="str">
        <f>"3"</f>
        <v>3</v>
      </c>
      <c r="E1059" t="str">
        <f>"1-55-3"</f>
        <v>1-55-3</v>
      </c>
      <c r="F1059" t="s">
        <v>15</v>
      </c>
      <c r="G1059" t="s">
        <v>16</v>
      </c>
      <c r="H1059" t="s">
        <v>17</v>
      </c>
      <c r="I1059">
        <v>1</v>
      </c>
      <c r="J1059">
        <v>0</v>
      </c>
      <c r="K1059">
        <v>0</v>
      </c>
    </row>
    <row r="1060" spans="1:11" x14ac:dyDescent="0.25">
      <c r="A1060" t="str">
        <f>"1346"</f>
        <v>1346</v>
      </c>
      <c r="B1060" t="str">
        <f t="shared" si="61"/>
        <v>1</v>
      </c>
      <c r="C1060" t="str">
        <f t="shared" si="63"/>
        <v>55</v>
      </c>
      <c r="D1060" t="str">
        <f>"16"</f>
        <v>16</v>
      </c>
      <c r="E1060" t="str">
        <f>"1-55-16"</f>
        <v>1-55-16</v>
      </c>
      <c r="F1060" t="s">
        <v>15</v>
      </c>
      <c r="G1060" t="s">
        <v>16</v>
      </c>
      <c r="H1060" t="s">
        <v>17</v>
      </c>
      <c r="I1060">
        <v>1</v>
      </c>
      <c r="J1060">
        <v>0</v>
      </c>
      <c r="K1060">
        <v>0</v>
      </c>
    </row>
    <row r="1061" spans="1:11" x14ac:dyDescent="0.25">
      <c r="A1061" t="str">
        <f>"1347"</f>
        <v>1347</v>
      </c>
      <c r="B1061" t="str">
        <f t="shared" si="61"/>
        <v>1</v>
      </c>
      <c r="C1061" t="str">
        <f t="shared" si="63"/>
        <v>55</v>
      </c>
      <c r="D1061" t="str">
        <f>"5"</f>
        <v>5</v>
      </c>
      <c r="E1061" t="str">
        <f>"1-55-5"</f>
        <v>1-55-5</v>
      </c>
      <c r="F1061" t="s">
        <v>15</v>
      </c>
      <c r="G1061" t="s">
        <v>16</v>
      </c>
      <c r="H1061" t="s">
        <v>17</v>
      </c>
      <c r="I1061">
        <v>1</v>
      </c>
      <c r="J1061">
        <v>0</v>
      </c>
      <c r="K1061">
        <v>0</v>
      </c>
    </row>
    <row r="1062" spans="1:11" x14ac:dyDescent="0.25">
      <c r="A1062" t="str">
        <f>"1348"</f>
        <v>1348</v>
      </c>
      <c r="B1062" t="str">
        <f t="shared" si="61"/>
        <v>1</v>
      </c>
      <c r="C1062" t="str">
        <f t="shared" si="63"/>
        <v>55</v>
      </c>
      <c r="D1062" t="str">
        <f>"17"</f>
        <v>17</v>
      </c>
      <c r="E1062" t="str">
        <f>"1-55-17"</f>
        <v>1-55-17</v>
      </c>
      <c r="F1062" t="s">
        <v>15</v>
      </c>
      <c r="G1062" t="s">
        <v>16</v>
      </c>
      <c r="H1062" t="s">
        <v>17</v>
      </c>
      <c r="I1062">
        <v>0</v>
      </c>
      <c r="J1062">
        <v>1</v>
      </c>
      <c r="K1062">
        <v>0</v>
      </c>
    </row>
    <row r="1063" spans="1:11" x14ac:dyDescent="0.25">
      <c r="A1063" t="str">
        <f>"1349"</f>
        <v>1349</v>
      </c>
      <c r="B1063" t="str">
        <f t="shared" si="61"/>
        <v>1</v>
      </c>
      <c r="C1063" t="str">
        <f t="shared" si="63"/>
        <v>55</v>
      </c>
      <c r="D1063" t="str">
        <f>"1"</f>
        <v>1</v>
      </c>
      <c r="E1063" t="str">
        <f>"1-55-1"</f>
        <v>1-55-1</v>
      </c>
      <c r="F1063" t="s">
        <v>15</v>
      </c>
      <c r="G1063" t="s">
        <v>16</v>
      </c>
      <c r="H1063" t="s">
        <v>17</v>
      </c>
      <c r="I1063">
        <v>1</v>
      </c>
      <c r="J1063">
        <v>0</v>
      </c>
      <c r="K1063">
        <v>0</v>
      </c>
    </row>
    <row r="1064" spans="1:11" x14ac:dyDescent="0.25">
      <c r="A1064" t="str">
        <f>"1350"</f>
        <v>1350</v>
      </c>
      <c r="B1064" t="str">
        <f t="shared" si="61"/>
        <v>1</v>
      </c>
      <c r="C1064" t="str">
        <f t="shared" si="63"/>
        <v>55</v>
      </c>
      <c r="D1064" t="str">
        <f>"18"</f>
        <v>18</v>
      </c>
      <c r="E1064" t="str">
        <f>"1-55-18"</f>
        <v>1-55-18</v>
      </c>
      <c r="F1064" t="s">
        <v>15</v>
      </c>
      <c r="G1064" t="s">
        <v>16</v>
      </c>
      <c r="H1064" t="s">
        <v>17</v>
      </c>
      <c r="I1064">
        <v>0</v>
      </c>
      <c r="J1064">
        <v>1</v>
      </c>
      <c r="K1064">
        <v>0</v>
      </c>
    </row>
    <row r="1065" spans="1:11" x14ac:dyDescent="0.25">
      <c r="A1065" t="str">
        <f>"1351"</f>
        <v>1351</v>
      </c>
      <c r="B1065" t="str">
        <f t="shared" si="61"/>
        <v>1</v>
      </c>
      <c r="C1065" t="str">
        <f t="shared" si="63"/>
        <v>55</v>
      </c>
      <c r="D1065" t="str">
        <f>"10"</f>
        <v>10</v>
      </c>
      <c r="E1065" t="str">
        <f>"1-55-10"</f>
        <v>1-55-10</v>
      </c>
      <c r="F1065" t="s">
        <v>15</v>
      </c>
      <c r="G1065" t="s">
        <v>20</v>
      </c>
      <c r="H1065" t="s">
        <v>21</v>
      </c>
      <c r="I1065">
        <v>0</v>
      </c>
      <c r="J1065">
        <v>1</v>
      </c>
      <c r="K1065">
        <v>0</v>
      </c>
    </row>
    <row r="1066" spans="1:11" x14ac:dyDescent="0.25">
      <c r="A1066" t="str">
        <f>"1352"</f>
        <v>1352</v>
      </c>
      <c r="B1066" t="str">
        <f t="shared" si="61"/>
        <v>1</v>
      </c>
      <c r="C1066" t="str">
        <f t="shared" si="63"/>
        <v>55</v>
      </c>
      <c r="D1066" t="str">
        <f>"19"</f>
        <v>19</v>
      </c>
      <c r="E1066" t="str">
        <f>"1-55-19"</f>
        <v>1-55-19</v>
      </c>
      <c r="F1066" t="s">
        <v>15</v>
      </c>
      <c r="G1066" t="s">
        <v>16</v>
      </c>
      <c r="H1066" t="s">
        <v>17</v>
      </c>
      <c r="I1066">
        <v>0</v>
      </c>
      <c r="J1066">
        <v>0</v>
      </c>
      <c r="K1066">
        <v>1</v>
      </c>
    </row>
    <row r="1067" spans="1:11" x14ac:dyDescent="0.25">
      <c r="A1067" t="str">
        <f>"1353"</f>
        <v>1353</v>
      </c>
      <c r="B1067" t="str">
        <f t="shared" si="61"/>
        <v>1</v>
      </c>
      <c r="C1067" t="str">
        <f t="shared" si="63"/>
        <v>55</v>
      </c>
      <c r="D1067" t="str">
        <f>"11"</f>
        <v>11</v>
      </c>
      <c r="E1067" t="str">
        <f>"1-55-11"</f>
        <v>1-55-11</v>
      </c>
      <c r="F1067" t="s">
        <v>15</v>
      </c>
      <c r="G1067" t="s">
        <v>20</v>
      </c>
      <c r="H1067" t="s">
        <v>21</v>
      </c>
      <c r="I1067">
        <v>0</v>
      </c>
      <c r="J1067">
        <v>1</v>
      </c>
      <c r="K1067">
        <v>0</v>
      </c>
    </row>
    <row r="1068" spans="1:11" x14ac:dyDescent="0.25">
      <c r="A1068" t="str">
        <f>"1354"</f>
        <v>1354</v>
      </c>
      <c r="B1068" t="str">
        <f t="shared" si="61"/>
        <v>1</v>
      </c>
      <c r="C1068" t="str">
        <f t="shared" si="63"/>
        <v>55</v>
      </c>
      <c r="D1068" t="str">
        <f>"20"</f>
        <v>20</v>
      </c>
      <c r="E1068" t="str">
        <f>"1-55-20"</f>
        <v>1-55-20</v>
      </c>
      <c r="F1068" t="s">
        <v>15</v>
      </c>
      <c r="G1068" t="s">
        <v>18</v>
      </c>
      <c r="H1068" t="s">
        <v>19</v>
      </c>
      <c r="I1068">
        <v>1</v>
      </c>
      <c r="J1068">
        <v>0</v>
      </c>
      <c r="K1068">
        <v>0</v>
      </c>
    </row>
    <row r="1069" spans="1:11" x14ac:dyDescent="0.25">
      <c r="A1069" t="str">
        <f>"1355"</f>
        <v>1355</v>
      </c>
      <c r="B1069" t="str">
        <f t="shared" si="61"/>
        <v>1</v>
      </c>
      <c r="C1069" t="str">
        <f t="shared" si="63"/>
        <v>55</v>
      </c>
      <c r="D1069" t="str">
        <f>"6"</f>
        <v>6</v>
      </c>
      <c r="E1069" t="str">
        <f>"1-55-6"</f>
        <v>1-55-6</v>
      </c>
      <c r="F1069" t="s">
        <v>15</v>
      </c>
      <c r="G1069" t="s">
        <v>16</v>
      </c>
      <c r="H1069" t="s">
        <v>17</v>
      </c>
      <c r="I1069">
        <v>0</v>
      </c>
      <c r="J1069">
        <v>0</v>
      </c>
      <c r="K1069">
        <v>1</v>
      </c>
    </row>
    <row r="1070" spans="1:11" x14ac:dyDescent="0.25">
      <c r="A1070" t="str">
        <f>"1356"</f>
        <v>1356</v>
      </c>
      <c r="B1070" t="str">
        <f t="shared" si="61"/>
        <v>1</v>
      </c>
      <c r="C1070" t="str">
        <f t="shared" si="63"/>
        <v>55</v>
      </c>
      <c r="D1070" t="str">
        <f>"21"</f>
        <v>21</v>
      </c>
      <c r="E1070" t="str">
        <f>"1-55-21"</f>
        <v>1-55-21</v>
      </c>
      <c r="F1070" t="s">
        <v>15</v>
      </c>
      <c r="G1070" t="s">
        <v>18</v>
      </c>
      <c r="H1070" t="s">
        <v>19</v>
      </c>
      <c r="I1070">
        <v>1</v>
      </c>
      <c r="J1070">
        <v>0</v>
      </c>
      <c r="K1070">
        <v>0</v>
      </c>
    </row>
    <row r="1071" spans="1:11" x14ac:dyDescent="0.25">
      <c r="A1071" t="str">
        <f>"1357"</f>
        <v>1357</v>
      </c>
      <c r="B1071" t="str">
        <f t="shared" si="61"/>
        <v>1</v>
      </c>
      <c r="C1071" t="str">
        <f t="shared" si="63"/>
        <v>55</v>
      </c>
      <c r="D1071" t="str">
        <f>"9"</f>
        <v>9</v>
      </c>
      <c r="E1071" t="str">
        <f>"1-55-9"</f>
        <v>1-55-9</v>
      </c>
      <c r="F1071" t="s">
        <v>15</v>
      </c>
      <c r="G1071" t="s">
        <v>16</v>
      </c>
      <c r="H1071" t="s">
        <v>17</v>
      </c>
      <c r="I1071">
        <v>0</v>
      </c>
      <c r="J1071">
        <v>0</v>
      </c>
      <c r="K1071">
        <v>1</v>
      </c>
    </row>
    <row r="1072" spans="1:11" x14ac:dyDescent="0.25">
      <c r="A1072" t="str">
        <f>"1358"</f>
        <v>1358</v>
      </c>
      <c r="B1072" t="str">
        <f t="shared" si="61"/>
        <v>1</v>
      </c>
      <c r="C1072" t="str">
        <f t="shared" si="63"/>
        <v>55</v>
      </c>
      <c r="D1072" t="str">
        <f>"23"</f>
        <v>23</v>
      </c>
      <c r="E1072" t="str">
        <f>"1-55-23"</f>
        <v>1-55-23</v>
      </c>
      <c r="F1072" t="s">
        <v>15</v>
      </c>
      <c r="G1072" t="s">
        <v>16</v>
      </c>
      <c r="H1072" t="s">
        <v>17</v>
      </c>
      <c r="I1072">
        <v>0</v>
      </c>
      <c r="J1072">
        <v>1</v>
      </c>
      <c r="K1072">
        <v>0</v>
      </c>
    </row>
    <row r="1073" spans="1:11" x14ac:dyDescent="0.25">
      <c r="A1073" t="str">
        <f>"1359"</f>
        <v>1359</v>
      </c>
      <c r="B1073" t="str">
        <f t="shared" si="61"/>
        <v>1</v>
      </c>
      <c r="C1073" t="str">
        <f t="shared" si="63"/>
        <v>55</v>
      </c>
      <c r="D1073" t="str">
        <f>"12"</f>
        <v>12</v>
      </c>
      <c r="E1073" t="str">
        <f>"1-55-12"</f>
        <v>1-55-12</v>
      </c>
      <c r="F1073" t="s">
        <v>15</v>
      </c>
      <c r="G1073" t="s">
        <v>16</v>
      </c>
      <c r="H1073" t="s">
        <v>17</v>
      </c>
      <c r="I1073">
        <v>1</v>
      </c>
      <c r="J1073">
        <v>0</v>
      </c>
      <c r="K1073">
        <v>0</v>
      </c>
    </row>
    <row r="1074" spans="1:11" x14ac:dyDescent="0.25">
      <c r="A1074" t="str">
        <f>"1360"</f>
        <v>1360</v>
      </c>
      <c r="B1074" t="str">
        <f t="shared" si="61"/>
        <v>1</v>
      </c>
      <c r="C1074" t="str">
        <f t="shared" si="63"/>
        <v>55</v>
      </c>
      <c r="D1074" t="str">
        <f>"24"</f>
        <v>24</v>
      </c>
      <c r="E1074" t="str">
        <f>"1-55-24"</f>
        <v>1-55-24</v>
      </c>
      <c r="F1074" t="s">
        <v>15</v>
      </c>
      <c r="G1074" t="s">
        <v>16</v>
      </c>
      <c r="H1074" t="s">
        <v>17</v>
      </c>
      <c r="I1074">
        <v>0</v>
      </c>
      <c r="J1074">
        <v>0</v>
      </c>
      <c r="K1074">
        <v>1</v>
      </c>
    </row>
    <row r="1075" spans="1:11" x14ac:dyDescent="0.25">
      <c r="A1075" t="str">
        <f>"1361"</f>
        <v>1361</v>
      </c>
      <c r="B1075" t="str">
        <f t="shared" si="61"/>
        <v>1</v>
      </c>
      <c r="C1075" t="str">
        <f t="shared" si="63"/>
        <v>55</v>
      </c>
      <c r="D1075" t="str">
        <f>"13"</f>
        <v>13</v>
      </c>
      <c r="E1075" t="str">
        <f>"1-55-13"</f>
        <v>1-55-13</v>
      </c>
      <c r="F1075" t="s">
        <v>15</v>
      </c>
      <c r="G1075" t="s">
        <v>16</v>
      </c>
      <c r="H1075" t="s">
        <v>17</v>
      </c>
      <c r="I1075">
        <v>1</v>
      </c>
      <c r="J1075">
        <v>0</v>
      </c>
      <c r="K1075">
        <v>0</v>
      </c>
    </row>
    <row r="1076" spans="1:11" x14ac:dyDescent="0.25">
      <c r="A1076" t="str">
        <f>"1362"</f>
        <v>1362</v>
      </c>
      <c r="B1076" t="str">
        <f t="shared" si="61"/>
        <v>1</v>
      </c>
      <c r="C1076" t="str">
        <f t="shared" si="63"/>
        <v>55</v>
      </c>
      <c r="D1076" t="str">
        <f>"25"</f>
        <v>25</v>
      </c>
      <c r="E1076" t="str">
        <f>"1-55-25"</f>
        <v>1-55-25</v>
      </c>
      <c r="F1076" t="s">
        <v>15</v>
      </c>
      <c r="G1076" t="s">
        <v>16</v>
      </c>
      <c r="H1076" t="s">
        <v>17</v>
      </c>
      <c r="I1076">
        <v>0</v>
      </c>
      <c r="J1076">
        <v>0</v>
      </c>
      <c r="K1076">
        <v>1</v>
      </c>
    </row>
    <row r="1077" spans="1:11" x14ac:dyDescent="0.25">
      <c r="A1077" t="str">
        <f>"1363"</f>
        <v>1363</v>
      </c>
      <c r="B1077" t="str">
        <f t="shared" si="61"/>
        <v>1</v>
      </c>
      <c r="C1077" t="str">
        <f t="shared" si="63"/>
        <v>55</v>
      </c>
      <c r="D1077" t="str">
        <f>"2"</f>
        <v>2</v>
      </c>
      <c r="E1077" t="str">
        <f>"1-55-2"</f>
        <v>1-55-2</v>
      </c>
      <c r="F1077" t="s">
        <v>15</v>
      </c>
      <c r="G1077" t="s">
        <v>18</v>
      </c>
      <c r="H1077" t="s">
        <v>19</v>
      </c>
      <c r="I1077">
        <v>1</v>
      </c>
      <c r="J1077">
        <v>0</v>
      </c>
      <c r="K1077">
        <v>0</v>
      </c>
    </row>
    <row r="1078" spans="1:11" x14ac:dyDescent="0.25">
      <c r="A1078" t="str">
        <f>"1364"</f>
        <v>1364</v>
      </c>
      <c r="B1078" t="str">
        <f t="shared" si="61"/>
        <v>1</v>
      </c>
      <c r="C1078" t="str">
        <f t="shared" si="63"/>
        <v>55</v>
      </c>
      <c r="D1078" t="str">
        <f>"14"</f>
        <v>14</v>
      </c>
      <c r="E1078" t="str">
        <f>"1-55-14"</f>
        <v>1-55-14</v>
      </c>
      <c r="F1078" t="s">
        <v>15</v>
      </c>
      <c r="G1078" t="s">
        <v>16</v>
      </c>
      <c r="H1078" t="s">
        <v>17</v>
      </c>
      <c r="I1078">
        <v>1</v>
      </c>
      <c r="J1078">
        <v>0</v>
      </c>
      <c r="K1078">
        <v>0</v>
      </c>
    </row>
    <row r="1079" spans="1:11" x14ac:dyDescent="0.25">
      <c r="A1079" t="str">
        <f>"1365"</f>
        <v>1365</v>
      </c>
      <c r="B1079" t="str">
        <f t="shared" si="61"/>
        <v>1</v>
      </c>
      <c r="C1079" t="str">
        <f t="shared" si="63"/>
        <v>55</v>
      </c>
      <c r="D1079" t="str">
        <f>"7"</f>
        <v>7</v>
      </c>
      <c r="E1079" t="str">
        <f>"1-55-7"</f>
        <v>1-55-7</v>
      </c>
      <c r="F1079" t="s">
        <v>15</v>
      </c>
      <c r="G1079" t="s">
        <v>16</v>
      </c>
      <c r="H1079" t="s">
        <v>17</v>
      </c>
      <c r="I1079">
        <v>1</v>
      </c>
      <c r="J1079">
        <v>0</v>
      </c>
      <c r="K1079">
        <v>0</v>
      </c>
    </row>
    <row r="1080" spans="1:11" x14ac:dyDescent="0.25">
      <c r="A1080" t="str">
        <f>"1366"</f>
        <v>1366</v>
      </c>
      <c r="B1080" t="str">
        <f t="shared" si="61"/>
        <v>1</v>
      </c>
      <c r="C1080" t="str">
        <f t="shared" si="63"/>
        <v>55</v>
      </c>
      <c r="D1080" t="str">
        <f>"8"</f>
        <v>8</v>
      </c>
      <c r="E1080" t="str">
        <f>"1-55-8"</f>
        <v>1-55-8</v>
      </c>
      <c r="F1080" t="s">
        <v>15</v>
      </c>
      <c r="G1080" t="s">
        <v>16</v>
      </c>
      <c r="H1080" t="s">
        <v>17</v>
      </c>
      <c r="I1080">
        <v>0</v>
      </c>
      <c r="J1080">
        <v>1</v>
      </c>
      <c r="K1080">
        <v>0</v>
      </c>
    </row>
    <row r="1081" spans="1:11" x14ac:dyDescent="0.25">
      <c r="A1081" t="str">
        <f>"1367"</f>
        <v>1367</v>
      </c>
      <c r="B1081" t="str">
        <f t="shared" si="61"/>
        <v>1</v>
      </c>
      <c r="C1081" t="str">
        <f t="shared" si="63"/>
        <v>55</v>
      </c>
      <c r="D1081" t="str">
        <f>"4"</f>
        <v>4</v>
      </c>
      <c r="E1081" t="str">
        <f>"1-55-4"</f>
        <v>1-55-4</v>
      </c>
      <c r="F1081" t="s">
        <v>15</v>
      </c>
      <c r="G1081" t="s">
        <v>16</v>
      </c>
      <c r="H1081" t="s">
        <v>17</v>
      </c>
      <c r="I1081">
        <v>0</v>
      </c>
      <c r="J1081">
        <v>1</v>
      </c>
      <c r="K1081">
        <v>0</v>
      </c>
    </row>
    <row r="1082" spans="1:11" x14ac:dyDescent="0.25">
      <c r="A1082" t="str">
        <f>"1368"</f>
        <v>1368</v>
      </c>
      <c r="B1082" t="str">
        <f t="shared" si="61"/>
        <v>1</v>
      </c>
      <c r="C1082" t="str">
        <f t="shared" ref="C1082:C1106" si="64">"56"</f>
        <v>56</v>
      </c>
      <c r="D1082" t="str">
        <f>"21"</f>
        <v>21</v>
      </c>
      <c r="E1082" t="str">
        <f>"1-56-21"</f>
        <v>1-56-21</v>
      </c>
      <c r="F1082" t="s">
        <v>15</v>
      </c>
      <c r="G1082" t="s">
        <v>18</v>
      </c>
      <c r="H1082" t="s">
        <v>19</v>
      </c>
      <c r="I1082">
        <v>0</v>
      </c>
      <c r="J1082">
        <v>1</v>
      </c>
      <c r="K1082">
        <v>0</v>
      </c>
    </row>
    <row r="1083" spans="1:11" x14ac:dyDescent="0.25">
      <c r="A1083" t="str">
        <f>"1369"</f>
        <v>1369</v>
      </c>
      <c r="B1083" t="str">
        <f t="shared" si="61"/>
        <v>1</v>
      </c>
      <c r="C1083" t="str">
        <f t="shared" si="64"/>
        <v>56</v>
      </c>
      <c r="D1083" t="str">
        <f>"15"</f>
        <v>15</v>
      </c>
      <c r="E1083" t="str">
        <f>"1-56-15"</f>
        <v>1-56-15</v>
      </c>
      <c r="F1083" t="s">
        <v>15</v>
      </c>
      <c r="G1083" t="s">
        <v>18</v>
      </c>
      <c r="H1083" t="s">
        <v>19</v>
      </c>
      <c r="I1083">
        <v>0</v>
      </c>
      <c r="J1083">
        <v>0</v>
      </c>
      <c r="K1083">
        <v>1</v>
      </c>
    </row>
    <row r="1084" spans="1:11" x14ac:dyDescent="0.25">
      <c r="A1084" t="str">
        <f>"1370"</f>
        <v>1370</v>
      </c>
      <c r="B1084" t="str">
        <f t="shared" ref="B1084:B1147" si="65">"1"</f>
        <v>1</v>
      </c>
      <c r="C1084" t="str">
        <f t="shared" si="64"/>
        <v>56</v>
      </c>
      <c r="D1084" t="str">
        <f>"20"</f>
        <v>20</v>
      </c>
      <c r="E1084" t="str">
        <f>"1-56-20"</f>
        <v>1-56-20</v>
      </c>
      <c r="F1084" t="s">
        <v>15</v>
      </c>
      <c r="G1084" t="s">
        <v>18</v>
      </c>
      <c r="H1084" t="s">
        <v>19</v>
      </c>
      <c r="I1084">
        <v>0</v>
      </c>
      <c r="J1084">
        <v>0</v>
      </c>
      <c r="K1084">
        <v>1</v>
      </c>
    </row>
    <row r="1085" spans="1:11" x14ac:dyDescent="0.25">
      <c r="A1085" t="str">
        <f>"1371"</f>
        <v>1371</v>
      </c>
      <c r="B1085" t="str">
        <f t="shared" si="65"/>
        <v>1</v>
      </c>
      <c r="C1085" t="str">
        <f t="shared" si="64"/>
        <v>56</v>
      </c>
      <c r="D1085" t="str">
        <f>"16"</f>
        <v>16</v>
      </c>
      <c r="E1085" t="str">
        <f>"1-56-16"</f>
        <v>1-56-16</v>
      </c>
      <c r="F1085" t="s">
        <v>15</v>
      </c>
      <c r="G1085" t="s">
        <v>18</v>
      </c>
      <c r="H1085" t="s">
        <v>19</v>
      </c>
      <c r="I1085">
        <v>0</v>
      </c>
      <c r="J1085">
        <v>0</v>
      </c>
      <c r="K1085">
        <v>1</v>
      </c>
    </row>
    <row r="1086" spans="1:11" x14ac:dyDescent="0.25">
      <c r="A1086" t="str">
        <f>"1372"</f>
        <v>1372</v>
      </c>
      <c r="B1086" t="str">
        <f t="shared" si="65"/>
        <v>1</v>
      </c>
      <c r="C1086" t="str">
        <f t="shared" si="64"/>
        <v>56</v>
      </c>
      <c r="D1086" t="str">
        <f>"5"</f>
        <v>5</v>
      </c>
      <c r="E1086" t="str">
        <f>"1-56-5"</f>
        <v>1-56-5</v>
      </c>
      <c r="F1086" t="s">
        <v>15</v>
      </c>
      <c r="G1086" t="s">
        <v>18</v>
      </c>
      <c r="H1086" t="s">
        <v>19</v>
      </c>
      <c r="I1086">
        <v>0</v>
      </c>
      <c r="J1086">
        <v>0</v>
      </c>
      <c r="K1086">
        <v>1</v>
      </c>
    </row>
    <row r="1087" spans="1:11" x14ac:dyDescent="0.25">
      <c r="A1087" t="str">
        <f>"1373"</f>
        <v>1373</v>
      </c>
      <c r="B1087" t="str">
        <f t="shared" si="65"/>
        <v>1</v>
      </c>
      <c r="C1087" t="str">
        <f t="shared" si="64"/>
        <v>56</v>
      </c>
      <c r="D1087" t="str">
        <f>"17"</f>
        <v>17</v>
      </c>
      <c r="E1087" t="str">
        <f>"1-56-17"</f>
        <v>1-56-17</v>
      </c>
      <c r="F1087" t="s">
        <v>15</v>
      </c>
      <c r="G1087" t="s">
        <v>18</v>
      </c>
      <c r="H1087" t="s">
        <v>19</v>
      </c>
      <c r="I1087">
        <v>0</v>
      </c>
      <c r="J1087">
        <v>0</v>
      </c>
      <c r="K1087">
        <v>1</v>
      </c>
    </row>
    <row r="1088" spans="1:11" x14ac:dyDescent="0.25">
      <c r="A1088" t="str">
        <f>"1374"</f>
        <v>1374</v>
      </c>
      <c r="B1088" t="str">
        <f t="shared" si="65"/>
        <v>1</v>
      </c>
      <c r="C1088" t="str">
        <f t="shared" si="64"/>
        <v>56</v>
      </c>
      <c r="D1088" t="str">
        <f>"1"</f>
        <v>1</v>
      </c>
      <c r="E1088" t="str">
        <f>"1-56-1"</f>
        <v>1-56-1</v>
      </c>
      <c r="F1088" t="s">
        <v>15</v>
      </c>
      <c r="G1088" t="s">
        <v>18</v>
      </c>
      <c r="H1088" t="s">
        <v>19</v>
      </c>
      <c r="I1088">
        <v>0</v>
      </c>
      <c r="J1088">
        <v>0</v>
      </c>
      <c r="K1088">
        <v>1</v>
      </c>
    </row>
    <row r="1089" spans="1:11" x14ac:dyDescent="0.25">
      <c r="A1089" t="str">
        <f>"1375"</f>
        <v>1375</v>
      </c>
      <c r="B1089" t="str">
        <f t="shared" si="65"/>
        <v>1</v>
      </c>
      <c r="C1089" t="str">
        <f t="shared" si="64"/>
        <v>56</v>
      </c>
      <c r="D1089" t="str">
        <f>"18"</f>
        <v>18</v>
      </c>
      <c r="E1089" t="str">
        <f>"1-56-18"</f>
        <v>1-56-18</v>
      </c>
      <c r="F1089" t="s">
        <v>15</v>
      </c>
      <c r="G1089" t="s">
        <v>18</v>
      </c>
      <c r="H1089" t="s">
        <v>19</v>
      </c>
      <c r="I1089">
        <v>1</v>
      </c>
      <c r="J1089">
        <v>0</v>
      </c>
      <c r="K1089">
        <v>0</v>
      </c>
    </row>
    <row r="1090" spans="1:11" x14ac:dyDescent="0.25">
      <c r="A1090" t="str">
        <f>"1376"</f>
        <v>1376</v>
      </c>
      <c r="B1090" t="str">
        <f t="shared" si="65"/>
        <v>1</v>
      </c>
      <c r="C1090" t="str">
        <f t="shared" si="64"/>
        <v>56</v>
      </c>
      <c r="D1090" t="str">
        <f>"8"</f>
        <v>8</v>
      </c>
      <c r="E1090" t="str">
        <f>"1-56-8"</f>
        <v>1-56-8</v>
      </c>
      <c r="F1090" t="s">
        <v>15</v>
      </c>
      <c r="G1090" t="s">
        <v>18</v>
      </c>
      <c r="H1090" t="s">
        <v>19</v>
      </c>
      <c r="I1090">
        <v>0</v>
      </c>
      <c r="J1090">
        <v>0</v>
      </c>
      <c r="K1090">
        <v>1</v>
      </c>
    </row>
    <row r="1091" spans="1:11" x14ac:dyDescent="0.25">
      <c r="A1091" t="str">
        <f>"1377"</f>
        <v>1377</v>
      </c>
      <c r="B1091" t="str">
        <f t="shared" si="65"/>
        <v>1</v>
      </c>
      <c r="C1091" t="str">
        <f t="shared" si="64"/>
        <v>56</v>
      </c>
      <c r="D1091" t="str">
        <f>"19"</f>
        <v>19</v>
      </c>
      <c r="E1091" t="str">
        <f>"1-56-19"</f>
        <v>1-56-19</v>
      </c>
      <c r="F1091" t="s">
        <v>15</v>
      </c>
      <c r="G1091" t="s">
        <v>18</v>
      </c>
      <c r="H1091" t="s">
        <v>19</v>
      </c>
      <c r="I1091">
        <v>0</v>
      </c>
      <c r="J1091">
        <v>0</v>
      </c>
      <c r="K1091">
        <v>1</v>
      </c>
    </row>
    <row r="1092" spans="1:11" x14ac:dyDescent="0.25">
      <c r="A1092" t="str">
        <f>"1378"</f>
        <v>1378</v>
      </c>
      <c r="B1092" t="str">
        <f t="shared" si="65"/>
        <v>1</v>
      </c>
      <c r="C1092" t="str">
        <f t="shared" si="64"/>
        <v>56</v>
      </c>
      <c r="D1092" t="str">
        <f>"6"</f>
        <v>6</v>
      </c>
      <c r="E1092" t="str">
        <f>"1-56-6"</f>
        <v>1-56-6</v>
      </c>
      <c r="F1092" t="s">
        <v>15</v>
      </c>
      <c r="G1092" t="s">
        <v>18</v>
      </c>
      <c r="H1092" t="s">
        <v>19</v>
      </c>
      <c r="I1092">
        <v>0</v>
      </c>
      <c r="J1092">
        <v>0</v>
      </c>
      <c r="K1092">
        <v>1</v>
      </c>
    </row>
    <row r="1093" spans="1:11" x14ac:dyDescent="0.25">
      <c r="A1093" t="str">
        <f>"1379"</f>
        <v>1379</v>
      </c>
      <c r="B1093" t="str">
        <f t="shared" si="65"/>
        <v>1</v>
      </c>
      <c r="C1093" t="str">
        <f t="shared" si="64"/>
        <v>56</v>
      </c>
      <c r="D1093" t="str">
        <f>"13"</f>
        <v>13</v>
      </c>
      <c r="E1093" t="str">
        <f>"1-56-13"</f>
        <v>1-56-13</v>
      </c>
      <c r="F1093" t="s">
        <v>15</v>
      </c>
      <c r="G1093" t="s">
        <v>18</v>
      </c>
      <c r="H1093" t="s">
        <v>19</v>
      </c>
      <c r="I1093">
        <v>1</v>
      </c>
      <c r="J1093">
        <v>0</v>
      </c>
      <c r="K1093">
        <v>0</v>
      </c>
    </row>
    <row r="1094" spans="1:11" x14ac:dyDescent="0.25">
      <c r="A1094" t="str">
        <f>"1380"</f>
        <v>1380</v>
      </c>
      <c r="B1094" t="str">
        <f t="shared" si="65"/>
        <v>1</v>
      </c>
      <c r="C1094" t="str">
        <f t="shared" si="64"/>
        <v>56</v>
      </c>
      <c r="D1094" t="str">
        <f>"23"</f>
        <v>23</v>
      </c>
      <c r="E1094" t="str">
        <f>"1-56-23"</f>
        <v>1-56-23</v>
      </c>
      <c r="F1094" t="s">
        <v>15</v>
      </c>
      <c r="G1094" t="s">
        <v>18</v>
      </c>
      <c r="H1094" t="s">
        <v>19</v>
      </c>
      <c r="I1094">
        <v>0</v>
      </c>
      <c r="J1094">
        <v>1</v>
      </c>
      <c r="K1094">
        <v>0</v>
      </c>
    </row>
    <row r="1095" spans="1:11" x14ac:dyDescent="0.25">
      <c r="A1095" t="str">
        <f>"1381"</f>
        <v>1381</v>
      </c>
      <c r="B1095" t="str">
        <f t="shared" si="65"/>
        <v>1</v>
      </c>
      <c r="C1095" t="str">
        <f t="shared" si="64"/>
        <v>56</v>
      </c>
      <c r="D1095" t="str">
        <f>"4"</f>
        <v>4</v>
      </c>
      <c r="E1095" t="str">
        <f>"1-56-4"</f>
        <v>1-56-4</v>
      </c>
      <c r="F1095" t="s">
        <v>15</v>
      </c>
      <c r="G1095" t="s">
        <v>18</v>
      </c>
      <c r="H1095" t="s">
        <v>19</v>
      </c>
      <c r="I1095">
        <v>0</v>
      </c>
      <c r="J1095">
        <v>0</v>
      </c>
      <c r="K1095">
        <v>1</v>
      </c>
    </row>
    <row r="1096" spans="1:11" x14ac:dyDescent="0.25">
      <c r="A1096" t="str">
        <f>"1382"</f>
        <v>1382</v>
      </c>
      <c r="B1096" t="str">
        <f t="shared" si="65"/>
        <v>1</v>
      </c>
      <c r="C1096" t="str">
        <f t="shared" si="64"/>
        <v>56</v>
      </c>
      <c r="D1096" t="str">
        <f>"24"</f>
        <v>24</v>
      </c>
      <c r="E1096" t="str">
        <f>"1-56-24"</f>
        <v>1-56-24</v>
      </c>
      <c r="F1096" t="s">
        <v>15</v>
      </c>
      <c r="G1096" t="s">
        <v>18</v>
      </c>
      <c r="H1096" t="s">
        <v>19</v>
      </c>
      <c r="I1096">
        <v>0</v>
      </c>
      <c r="J1096">
        <v>0</v>
      </c>
      <c r="K1096">
        <v>1</v>
      </c>
    </row>
    <row r="1097" spans="1:11" x14ac:dyDescent="0.25">
      <c r="A1097" t="str">
        <f>"1383"</f>
        <v>1383</v>
      </c>
      <c r="B1097" t="str">
        <f t="shared" si="65"/>
        <v>1</v>
      </c>
      <c r="C1097" t="str">
        <f t="shared" si="64"/>
        <v>56</v>
      </c>
      <c r="D1097" t="str">
        <f>"9"</f>
        <v>9</v>
      </c>
      <c r="E1097" t="str">
        <f>"1-56-9"</f>
        <v>1-56-9</v>
      </c>
      <c r="F1097" t="s">
        <v>15</v>
      </c>
      <c r="G1097" t="s">
        <v>18</v>
      </c>
      <c r="H1097" t="s">
        <v>19</v>
      </c>
      <c r="I1097">
        <v>1</v>
      </c>
      <c r="J1097">
        <v>0</v>
      </c>
      <c r="K1097">
        <v>0</v>
      </c>
    </row>
    <row r="1098" spans="1:11" x14ac:dyDescent="0.25">
      <c r="A1098" t="str">
        <f>"1384"</f>
        <v>1384</v>
      </c>
      <c r="B1098" t="str">
        <f t="shared" si="65"/>
        <v>1</v>
      </c>
      <c r="C1098" t="str">
        <f t="shared" si="64"/>
        <v>56</v>
      </c>
      <c r="D1098" t="str">
        <f>"25"</f>
        <v>25</v>
      </c>
      <c r="E1098" t="str">
        <f>"1-56-25"</f>
        <v>1-56-25</v>
      </c>
      <c r="F1098" t="s">
        <v>15</v>
      </c>
      <c r="G1098" t="s">
        <v>18</v>
      </c>
      <c r="H1098" t="s">
        <v>19</v>
      </c>
      <c r="I1098">
        <v>0</v>
      </c>
      <c r="J1098">
        <v>0</v>
      </c>
      <c r="K1098">
        <v>1</v>
      </c>
    </row>
    <row r="1099" spans="1:11" x14ac:dyDescent="0.25">
      <c r="A1099" t="str">
        <f>"1385"</f>
        <v>1385</v>
      </c>
      <c r="B1099" t="str">
        <f t="shared" si="65"/>
        <v>1</v>
      </c>
      <c r="C1099" t="str">
        <f t="shared" si="64"/>
        <v>56</v>
      </c>
      <c r="D1099" t="str">
        <f>"14"</f>
        <v>14</v>
      </c>
      <c r="E1099" t="str">
        <f>"1-56-14"</f>
        <v>1-56-14</v>
      </c>
      <c r="F1099" t="s">
        <v>15</v>
      </c>
      <c r="G1099" t="s">
        <v>18</v>
      </c>
      <c r="H1099" t="s">
        <v>19</v>
      </c>
      <c r="I1099">
        <v>0</v>
      </c>
      <c r="J1099">
        <v>0</v>
      </c>
      <c r="K1099">
        <v>1</v>
      </c>
    </row>
    <row r="1100" spans="1:11" x14ac:dyDescent="0.25">
      <c r="A1100" t="str">
        <f>"1386"</f>
        <v>1386</v>
      </c>
      <c r="B1100" t="str">
        <f t="shared" si="65"/>
        <v>1</v>
      </c>
      <c r="C1100" t="str">
        <f t="shared" si="64"/>
        <v>56</v>
      </c>
      <c r="D1100" t="str">
        <f>"11"</f>
        <v>11</v>
      </c>
      <c r="E1100" t="str">
        <f>"1-56-11"</f>
        <v>1-56-11</v>
      </c>
      <c r="F1100" t="s">
        <v>15</v>
      </c>
      <c r="G1100" t="s">
        <v>18</v>
      </c>
      <c r="H1100" t="s">
        <v>19</v>
      </c>
      <c r="I1100">
        <v>1</v>
      </c>
      <c r="J1100">
        <v>0</v>
      </c>
      <c r="K1100">
        <v>0</v>
      </c>
    </row>
    <row r="1101" spans="1:11" x14ac:dyDescent="0.25">
      <c r="A1101" t="str">
        <f>"1387"</f>
        <v>1387</v>
      </c>
      <c r="B1101" t="str">
        <f t="shared" si="65"/>
        <v>1</v>
      </c>
      <c r="C1101" t="str">
        <f t="shared" si="64"/>
        <v>56</v>
      </c>
      <c r="D1101" t="str">
        <f>"2"</f>
        <v>2</v>
      </c>
      <c r="E1101" t="str">
        <f>"1-56-2"</f>
        <v>1-56-2</v>
      </c>
      <c r="F1101" t="s">
        <v>15</v>
      </c>
      <c r="G1101" t="s">
        <v>18</v>
      </c>
      <c r="H1101" t="s">
        <v>19</v>
      </c>
      <c r="I1101">
        <v>1</v>
      </c>
      <c r="J1101">
        <v>0</v>
      </c>
      <c r="K1101">
        <v>0</v>
      </c>
    </row>
    <row r="1102" spans="1:11" x14ac:dyDescent="0.25">
      <c r="A1102" t="str">
        <f>"1388"</f>
        <v>1388</v>
      </c>
      <c r="B1102" t="str">
        <f t="shared" si="65"/>
        <v>1</v>
      </c>
      <c r="C1102" t="str">
        <f t="shared" si="64"/>
        <v>56</v>
      </c>
      <c r="D1102" t="str">
        <f>"12"</f>
        <v>12</v>
      </c>
      <c r="E1102" t="str">
        <f>"1-56-12"</f>
        <v>1-56-12</v>
      </c>
      <c r="F1102" t="s">
        <v>15</v>
      </c>
      <c r="G1102" t="s">
        <v>18</v>
      </c>
      <c r="H1102" t="s">
        <v>19</v>
      </c>
      <c r="I1102">
        <v>1</v>
      </c>
      <c r="J1102">
        <v>0</v>
      </c>
      <c r="K1102">
        <v>0</v>
      </c>
    </row>
    <row r="1103" spans="1:11" x14ac:dyDescent="0.25">
      <c r="A1103" t="str">
        <f>"1389"</f>
        <v>1389</v>
      </c>
      <c r="B1103" t="str">
        <f t="shared" si="65"/>
        <v>1</v>
      </c>
      <c r="C1103" t="str">
        <f t="shared" si="64"/>
        <v>56</v>
      </c>
      <c r="D1103" t="str">
        <f>"7"</f>
        <v>7</v>
      </c>
      <c r="E1103" t="str">
        <f>"1-56-7"</f>
        <v>1-56-7</v>
      </c>
      <c r="F1103" t="s">
        <v>15</v>
      </c>
      <c r="G1103" t="s">
        <v>18</v>
      </c>
      <c r="H1103" t="s">
        <v>19</v>
      </c>
      <c r="I1103">
        <v>1</v>
      </c>
      <c r="J1103">
        <v>0</v>
      </c>
      <c r="K1103">
        <v>0</v>
      </c>
    </row>
    <row r="1104" spans="1:11" x14ac:dyDescent="0.25">
      <c r="A1104" t="str">
        <f>"1390"</f>
        <v>1390</v>
      </c>
      <c r="B1104" t="str">
        <f t="shared" si="65"/>
        <v>1</v>
      </c>
      <c r="C1104" t="str">
        <f t="shared" si="64"/>
        <v>56</v>
      </c>
      <c r="D1104" t="str">
        <f>"3"</f>
        <v>3</v>
      </c>
      <c r="E1104" t="str">
        <f>"1-56-3"</f>
        <v>1-56-3</v>
      </c>
      <c r="F1104" t="s">
        <v>15</v>
      </c>
      <c r="G1104" t="s">
        <v>16</v>
      </c>
      <c r="H1104" t="s">
        <v>17</v>
      </c>
      <c r="I1104">
        <v>0</v>
      </c>
      <c r="J1104">
        <v>0</v>
      </c>
      <c r="K1104">
        <v>0</v>
      </c>
    </row>
    <row r="1105" spans="1:11" x14ac:dyDescent="0.25">
      <c r="A1105" t="str">
        <f>"1391"</f>
        <v>1391</v>
      </c>
      <c r="B1105" t="str">
        <f t="shared" si="65"/>
        <v>1</v>
      </c>
      <c r="C1105" t="str">
        <f t="shared" si="64"/>
        <v>56</v>
      </c>
      <c r="D1105" t="str">
        <f>"10"</f>
        <v>10</v>
      </c>
      <c r="E1105" t="str">
        <f>"1-56-10"</f>
        <v>1-56-10</v>
      </c>
      <c r="F1105" t="s">
        <v>15</v>
      </c>
      <c r="G1105" t="s">
        <v>18</v>
      </c>
      <c r="H1105" t="s">
        <v>19</v>
      </c>
      <c r="I1105">
        <v>0</v>
      </c>
      <c r="J1105">
        <v>0</v>
      </c>
      <c r="K1105">
        <v>0</v>
      </c>
    </row>
    <row r="1106" spans="1:11" x14ac:dyDescent="0.25">
      <c r="A1106" t="str">
        <f>"1392"</f>
        <v>1392</v>
      </c>
      <c r="B1106" t="str">
        <f t="shared" si="65"/>
        <v>1</v>
      </c>
      <c r="C1106" t="str">
        <f t="shared" si="64"/>
        <v>56</v>
      </c>
      <c r="D1106" t="str">
        <f>"22"</f>
        <v>22</v>
      </c>
      <c r="E1106" t="str">
        <f>"1-56-22"</f>
        <v>1-56-22</v>
      </c>
      <c r="F1106" t="s">
        <v>15</v>
      </c>
      <c r="G1106" t="s">
        <v>18</v>
      </c>
      <c r="H1106" t="s">
        <v>19</v>
      </c>
      <c r="I1106">
        <v>0</v>
      </c>
      <c r="J1106">
        <v>0</v>
      </c>
      <c r="K1106">
        <v>0</v>
      </c>
    </row>
    <row r="1107" spans="1:11" x14ac:dyDescent="0.25">
      <c r="A1107" t="str">
        <f>"1393"</f>
        <v>1393</v>
      </c>
      <c r="B1107" t="str">
        <f t="shared" si="65"/>
        <v>1</v>
      </c>
      <c r="C1107" t="str">
        <f t="shared" ref="C1107:C1133" si="66">"57"</f>
        <v>57</v>
      </c>
      <c r="D1107" t="str">
        <f>"24"</f>
        <v>24</v>
      </c>
      <c r="E1107" t="str">
        <f>"1-57-24"</f>
        <v>1-57-24</v>
      </c>
      <c r="F1107" t="s">
        <v>15</v>
      </c>
      <c r="G1107" t="s">
        <v>20</v>
      </c>
      <c r="H1107" t="s">
        <v>21</v>
      </c>
      <c r="I1107">
        <v>0</v>
      </c>
      <c r="J1107">
        <v>0</v>
      </c>
      <c r="K1107">
        <v>1</v>
      </c>
    </row>
    <row r="1108" spans="1:11" x14ac:dyDescent="0.25">
      <c r="A1108" t="str">
        <f>"1394"</f>
        <v>1394</v>
      </c>
      <c r="B1108" t="str">
        <f t="shared" si="65"/>
        <v>1</v>
      </c>
      <c r="C1108" t="str">
        <f t="shared" si="66"/>
        <v>57</v>
      </c>
      <c r="D1108" t="str">
        <f>"15"</f>
        <v>15</v>
      </c>
      <c r="E1108" t="str">
        <f>"1-57-15"</f>
        <v>1-57-15</v>
      </c>
      <c r="F1108" t="s">
        <v>15</v>
      </c>
      <c r="G1108" t="s">
        <v>16</v>
      </c>
      <c r="H1108" t="s">
        <v>17</v>
      </c>
      <c r="I1108">
        <v>0</v>
      </c>
      <c r="J1108">
        <v>0</v>
      </c>
      <c r="K1108">
        <v>1</v>
      </c>
    </row>
    <row r="1109" spans="1:11" x14ac:dyDescent="0.25">
      <c r="A1109" t="str">
        <f>"1395"</f>
        <v>1395</v>
      </c>
      <c r="B1109" t="str">
        <f t="shared" si="65"/>
        <v>1</v>
      </c>
      <c r="C1109" t="str">
        <f t="shared" si="66"/>
        <v>57</v>
      </c>
      <c r="D1109" t="str">
        <f>"5"</f>
        <v>5</v>
      </c>
      <c r="E1109" t="str">
        <f>"1-57-5"</f>
        <v>1-57-5</v>
      </c>
      <c r="F1109" t="s">
        <v>15</v>
      </c>
      <c r="G1109" t="s">
        <v>16</v>
      </c>
      <c r="H1109" t="s">
        <v>17</v>
      </c>
      <c r="I1109">
        <v>0</v>
      </c>
      <c r="J1109">
        <v>0</v>
      </c>
      <c r="K1109">
        <v>1</v>
      </c>
    </row>
    <row r="1110" spans="1:11" x14ac:dyDescent="0.25">
      <c r="A1110" t="str">
        <f>"1396"</f>
        <v>1396</v>
      </c>
      <c r="B1110" t="str">
        <f t="shared" si="65"/>
        <v>1</v>
      </c>
      <c r="C1110" t="str">
        <f t="shared" si="66"/>
        <v>57</v>
      </c>
      <c r="D1110" t="str">
        <f>"22"</f>
        <v>22</v>
      </c>
      <c r="E1110" t="str">
        <f>"1-57-22"</f>
        <v>1-57-22</v>
      </c>
      <c r="F1110" t="s">
        <v>15</v>
      </c>
      <c r="G1110" t="s">
        <v>20</v>
      </c>
      <c r="H1110" t="s">
        <v>21</v>
      </c>
      <c r="I1110">
        <v>0</v>
      </c>
      <c r="J1110">
        <v>1</v>
      </c>
      <c r="K1110">
        <v>0</v>
      </c>
    </row>
    <row r="1111" spans="1:11" x14ac:dyDescent="0.25">
      <c r="A1111" t="str">
        <f>"1397"</f>
        <v>1397</v>
      </c>
      <c r="B1111" t="str">
        <f t="shared" si="65"/>
        <v>1</v>
      </c>
      <c r="C1111" t="str">
        <f t="shared" si="66"/>
        <v>57</v>
      </c>
      <c r="D1111" t="str">
        <f>"16"</f>
        <v>16</v>
      </c>
      <c r="E1111" t="str">
        <f>"1-57-16"</f>
        <v>1-57-16</v>
      </c>
      <c r="F1111" t="s">
        <v>15</v>
      </c>
      <c r="G1111" t="s">
        <v>20</v>
      </c>
      <c r="H1111" t="s">
        <v>21</v>
      </c>
      <c r="I1111">
        <v>0</v>
      </c>
      <c r="J1111">
        <v>1</v>
      </c>
      <c r="K1111">
        <v>0</v>
      </c>
    </row>
    <row r="1112" spans="1:11" x14ac:dyDescent="0.25">
      <c r="A1112" t="str">
        <f>"1398"</f>
        <v>1398</v>
      </c>
      <c r="B1112" t="str">
        <f t="shared" si="65"/>
        <v>1</v>
      </c>
      <c r="C1112" t="str">
        <f t="shared" si="66"/>
        <v>57</v>
      </c>
      <c r="D1112" t="str">
        <f>"2"</f>
        <v>2</v>
      </c>
      <c r="E1112" t="str">
        <f>"1-57-2"</f>
        <v>1-57-2</v>
      </c>
      <c r="F1112" t="s">
        <v>15</v>
      </c>
      <c r="G1112" t="s">
        <v>18</v>
      </c>
      <c r="H1112" t="s">
        <v>19</v>
      </c>
      <c r="I1112">
        <v>0</v>
      </c>
      <c r="J1112">
        <v>1</v>
      </c>
      <c r="K1112">
        <v>0</v>
      </c>
    </row>
    <row r="1113" spans="1:11" x14ac:dyDescent="0.25">
      <c r="A1113" t="str">
        <f>"1399"</f>
        <v>1399</v>
      </c>
      <c r="B1113" t="str">
        <f t="shared" si="65"/>
        <v>1</v>
      </c>
      <c r="C1113" t="str">
        <f t="shared" si="66"/>
        <v>57</v>
      </c>
      <c r="D1113" t="str">
        <f>"17"</f>
        <v>17</v>
      </c>
      <c r="E1113" t="str">
        <f>"1-57-17"</f>
        <v>1-57-17</v>
      </c>
      <c r="F1113" t="s">
        <v>15</v>
      </c>
      <c r="G1113" t="s">
        <v>20</v>
      </c>
      <c r="H1113" t="s">
        <v>21</v>
      </c>
      <c r="I1113">
        <v>1</v>
      </c>
      <c r="J1113">
        <v>0</v>
      </c>
      <c r="K1113">
        <v>0</v>
      </c>
    </row>
    <row r="1114" spans="1:11" x14ac:dyDescent="0.25">
      <c r="A1114" t="str">
        <f>"1400"</f>
        <v>1400</v>
      </c>
      <c r="B1114" t="str">
        <f t="shared" si="65"/>
        <v>1</v>
      </c>
      <c r="C1114" t="str">
        <f t="shared" si="66"/>
        <v>57</v>
      </c>
      <c r="D1114" t="str">
        <f>"1"</f>
        <v>1</v>
      </c>
      <c r="E1114" t="str">
        <f>"1-57-1"</f>
        <v>1-57-1</v>
      </c>
      <c r="F1114" t="s">
        <v>15</v>
      </c>
      <c r="G1114" t="s">
        <v>18</v>
      </c>
      <c r="H1114" t="s">
        <v>19</v>
      </c>
      <c r="I1114">
        <v>1</v>
      </c>
      <c r="J1114">
        <v>0</v>
      </c>
      <c r="K1114">
        <v>0</v>
      </c>
    </row>
    <row r="1115" spans="1:11" x14ac:dyDescent="0.25">
      <c r="A1115" t="str">
        <f>"1401"</f>
        <v>1401</v>
      </c>
      <c r="B1115" t="str">
        <f t="shared" si="65"/>
        <v>1</v>
      </c>
      <c r="C1115" t="str">
        <f t="shared" si="66"/>
        <v>57</v>
      </c>
      <c r="D1115" t="str">
        <f>"18"</f>
        <v>18</v>
      </c>
      <c r="E1115" t="str">
        <f>"1-57-18"</f>
        <v>1-57-18</v>
      </c>
      <c r="F1115" t="s">
        <v>15</v>
      </c>
      <c r="G1115" t="s">
        <v>20</v>
      </c>
      <c r="H1115" t="s">
        <v>21</v>
      </c>
      <c r="I1115">
        <v>0</v>
      </c>
      <c r="J1115">
        <v>0</v>
      </c>
      <c r="K1115">
        <v>1</v>
      </c>
    </row>
    <row r="1116" spans="1:11" x14ac:dyDescent="0.25">
      <c r="A1116" t="str">
        <f>"1402"</f>
        <v>1402</v>
      </c>
      <c r="B1116" t="str">
        <f t="shared" si="65"/>
        <v>1</v>
      </c>
      <c r="C1116" t="str">
        <f t="shared" si="66"/>
        <v>57</v>
      </c>
      <c r="D1116" t="str">
        <f>"19"</f>
        <v>19</v>
      </c>
      <c r="E1116" t="str">
        <f>"1-57-19"</f>
        <v>1-57-19</v>
      </c>
      <c r="F1116" t="s">
        <v>15</v>
      </c>
      <c r="G1116" t="s">
        <v>16</v>
      </c>
      <c r="H1116" t="s">
        <v>17</v>
      </c>
      <c r="I1116">
        <v>0</v>
      </c>
      <c r="J1116">
        <v>1</v>
      </c>
      <c r="K1116">
        <v>0</v>
      </c>
    </row>
    <row r="1117" spans="1:11" x14ac:dyDescent="0.25">
      <c r="A1117" t="str">
        <f>"1403"</f>
        <v>1403</v>
      </c>
      <c r="B1117" t="str">
        <f t="shared" si="65"/>
        <v>1</v>
      </c>
      <c r="C1117" t="str">
        <f t="shared" si="66"/>
        <v>57</v>
      </c>
      <c r="D1117" t="str">
        <f>"3"</f>
        <v>3</v>
      </c>
      <c r="E1117" t="str">
        <f>"1-57-3"</f>
        <v>1-57-3</v>
      </c>
      <c r="F1117" t="s">
        <v>15</v>
      </c>
      <c r="G1117" t="s">
        <v>18</v>
      </c>
      <c r="H1117" t="s">
        <v>19</v>
      </c>
      <c r="I1117">
        <v>1</v>
      </c>
      <c r="J1117">
        <v>0</v>
      </c>
      <c r="K1117">
        <v>0</v>
      </c>
    </row>
    <row r="1118" spans="1:11" x14ac:dyDescent="0.25">
      <c r="A1118" t="str">
        <f>"1404"</f>
        <v>1404</v>
      </c>
      <c r="B1118" t="str">
        <f t="shared" si="65"/>
        <v>1</v>
      </c>
      <c r="C1118" t="str">
        <f t="shared" si="66"/>
        <v>57</v>
      </c>
      <c r="D1118" t="str">
        <f>"20"</f>
        <v>20</v>
      </c>
      <c r="E1118" t="str">
        <f>"1-57-20"</f>
        <v>1-57-20</v>
      </c>
      <c r="F1118" t="s">
        <v>15</v>
      </c>
      <c r="G1118" t="s">
        <v>18</v>
      </c>
      <c r="H1118" t="s">
        <v>19</v>
      </c>
      <c r="I1118">
        <v>0</v>
      </c>
      <c r="J1118">
        <v>0</v>
      </c>
      <c r="K1118">
        <v>1</v>
      </c>
    </row>
    <row r="1119" spans="1:11" x14ac:dyDescent="0.25">
      <c r="A1119" t="str">
        <f>"1405"</f>
        <v>1405</v>
      </c>
      <c r="B1119" t="str">
        <f t="shared" si="65"/>
        <v>1</v>
      </c>
      <c r="C1119" t="str">
        <f t="shared" si="66"/>
        <v>57</v>
      </c>
      <c r="D1119" t="str">
        <f>"21"</f>
        <v>21</v>
      </c>
      <c r="E1119" t="str">
        <f>"1-57-21"</f>
        <v>1-57-21</v>
      </c>
      <c r="F1119" t="s">
        <v>15</v>
      </c>
      <c r="G1119" t="s">
        <v>18</v>
      </c>
      <c r="H1119" t="s">
        <v>19</v>
      </c>
      <c r="I1119">
        <v>0</v>
      </c>
      <c r="J1119">
        <v>0</v>
      </c>
      <c r="K1119">
        <v>1</v>
      </c>
    </row>
    <row r="1120" spans="1:11" x14ac:dyDescent="0.25">
      <c r="A1120" t="str">
        <f>"1406"</f>
        <v>1406</v>
      </c>
      <c r="B1120" t="str">
        <f t="shared" si="65"/>
        <v>1</v>
      </c>
      <c r="C1120" t="str">
        <f t="shared" si="66"/>
        <v>57</v>
      </c>
      <c r="D1120" t="str">
        <f>"9"</f>
        <v>9</v>
      </c>
      <c r="E1120" t="str">
        <f>"1-57-9"</f>
        <v>1-57-9</v>
      </c>
      <c r="F1120" t="s">
        <v>15</v>
      </c>
      <c r="G1120" t="s">
        <v>20</v>
      </c>
      <c r="H1120" t="s">
        <v>21</v>
      </c>
      <c r="I1120">
        <v>1</v>
      </c>
      <c r="J1120">
        <v>0</v>
      </c>
      <c r="K1120">
        <v>0</v>
      </c>
    </row>
    <row r="1121" spans="1:11" x14ac:dyDescent="0.25">
      <c r="A1121" t="str">
        <f>"1407"</f>
        <v>1407</v>
      </c>
      <c r="B1121" t="str">
        <f t="shared" si="65"/>
        <v>1</v>
      </c>
      <c r="C1121" t="str">
        <f t="shared" si="66"/>
        <v>57</v>
      </c>
      <c r="D1121" t="str">
        <f>"23"</f>
        <v>23</v>
      </c>
      <c r="E1121" t="str">
        <f>"1-57-23"</f>
        <v>1-57-23</v>
      </c>
      <c r="F1121" t="s">
        <v>15</v>
      </c>
      <c r="G1121" t="s">
        <v>18</v>
      </c>
      <c r="H1121" t="s">
        <v>19</v>
      </c>
      <c r="I1121">
        <v>1</v>
      </c>
      <c r="J1121">
        <v>0</v>
      </c>
      <c r="K1121">
        <v>0</v>
      </c>
    </row>
    <row r="1122" spans="1:11" x14ac:dyDescent="0.25">
      <c r="A1122" t="str">
        <f>"1408"</f>
        <v>1408</v>
      </c>
      <c r="B1122" t="str">
        <f t="shared" si="65"/>
        <v>1</v>
      </c>
      <c r="C1122" t="str">
        <f t="shared" si="66"/>
        <v>57</v>
      </c>
      <c r="D1122" t="str">
        <f>"8"</f>
        <v>8</v>
      </c>
      <c r="E1122" t="str">
        <f>"1-57-8"</f>
        <v>1-57-8</v>
      </c>
      <c r="F1122" t="s">
        <v>15</v>
      </c>
      <c r="G1122" t="s">
        <v>18</v>
      </c>
      <c r="H1122" t="s">
        <v>19</v>
      </c>
      <c r="I1122">
        <v>0</v>
      </c>
      <c r="J1122">
        <v>0</v>
      </c>
      <c r="K1122">
        <v>1</v>
      </c>
    </row>
    <row r="1123" spans="1:11" x14ac:dyDescent="0.25">
      <c r="A1123" t="str">
        <f>"1409"</f>
        <v>1409</v>
      </c>
      <c r="B1123" t="str">
        <f t="shared" si="65"/>
        <v>1</v>
      </c>
      <c r="C1123" t="str">
        <f t="shared" si="66"/>
        <v>57</v>
      </c>
      <c r="D1123" t="str">
        <f>"25"</f>
        <v>25</v>
      </c>
      <c r="E1123" t="str">
        <f>"1-57-25"</f>
        <v>1-57-25</v>
      </c>
      <c r="F1123" t="s">
        <v>15</v>
      </c>
      <c r="G1123" t="s">
        <v>20</v>
      </c>
      <c r="H1123" t="s">
        <v>21</v>
      </c>
      <c r="I1123">
        <v>1</v>
      </c>
      <c r="J1123">
        <v>0</v>
      </c>
      <c r="K1123">
        <v>0</v>
      </c>
    </row>
    <row r="1124" spans="1:11" x14ac:dyDescent="0.25">
      <c r="A1124" t="str">
        <f>"1410"</f>
        <v>1410</v>
      </c>
      <c r="B1124" t="str">
        <f t="shared" si="65"/>
        <v>1</v>
      </c>
      <c r="C1124" t="str">
        <f t="shared" si="66"/>
        <v>57</v>
      </c>
      <c r="D1124" t="str">
        <f>"4"</f>
        <v>4</v>
      </c>
      <c r="E1124" t="str">
        <f>"1-57-4"</f>
        <v>1-57-4</v>
      </c>
      <c r="F1124" t="s">
        <v>15</v>
      </c>
      <c r="G1124" t="s">
        <v>16</v>
      </c>
      <c r="H1124" t="s">
        <v>17</v>
      </c>
      <c r="I1124">
        <v>0</v>
      </c>
      <c r="J1124">
        <v>0</v>
      </c>
      <c r="K1124">
        <v>1</v>
      </c>
    </row>
    <row r="1125" spans="1:11" x14ac:dyDescent="0.25">
      <c r="A1125" t="str">
        <f>"1411"</f>
        <v>1411</v>
      </c>
      <c r="B1125" t="str">
        <f t="shared" si="65"/>
        <v>1</v>
      </c>
      <c r="C1125" t="str">
        <f t="shared" si="66"/>
        <v>57</v>
      </c>
      <c r="D1125" t="str">
        <f>"26"</f>
        <v>26</v>
      </c>
      <c r="E1125" t="str">
        <f>"1-57-26"</f>
        <v>1-57-26</v>
      </c>
      <c r="F1125" t="s">
        <v>15</v>
      </c>
      <c r="G1125" t="s">
        <v>18</v>
      </c>
      <c r="H1125" t="s">
        <v>19</v>
      </c>
      <c r="I1125">
        <v>0</v>
      </c>
      <c r="J1125">
        <v>1</v>
      </c>
      <c r="K1125">
        <v>0</v>
      </c>
    </row>
    <row r="1126" spans="1:11" x14ac:dyDescent="0.25">
      <c r="A1126" t="str">
        <f>"1412"</f>
        <v>1412</v>
      </c>
      <c r="B1126" t="str">
        <f t="shared" si="65"/>
        <v>1</v>
      </c>
      <c r="C1126" t="str">
        <f t="shared" si="66"/>
        <v>57</v>
      </c>
      <c r="D1126" t="str">
        <f>"6"</f>
        <v>6</v>
      </c>
      <c r="E1126" t="str">
        <f>"1-57-6"</f>
        <v>1-57-6</v>
      </c>
      <c r="F1126" t="s">
        <v>15</v>
      </c>
      <c r="G1126" t="s">
        <v>20</v>
      </c>
      <c r="H1126" t="s">
        <v>21</v>
      </c>
      <c r="I1126">
        <v>0</v>
      </c>
      <c r="J1126">
        <v>1</v>
      </c>
      <c r="K1126">
        <v>0</v>
      </c>
    </row>
    <row r="1127" spans="1:11" x14ac:dyDescent="0.25">
      <c r="A1127" t="str">
        <f>"1413"</f>
        <v>1413</v>
      </c>
      <c r="B1127" t="str">
        <f t="shared" si="65"/>
        <v>1</v>
      </c>
      <c r="C1127" t="str">
        <f t="shared" si="66"/>
        <v>57</v>
      </c>
      <c r="D1127" t="str">
        <f>"27"</f>
        <v>27</v>
      </c>
      <c r="E1127" t="str">
        <f>"1-57-27"</f>
        <v>1-57-27</v>
      </c>
      <c r="F1127" t="s">
        <v>15</v>
      </c>
      <c r="G1127" t="s">
        <v>18</v>
      </c>
      <c r="H1127" t="s">
        <v>19</v>
      </c>
      <c r="I1127">
        <v>0</v>
      </c>
      <c r="J1127">
        <v>1</v>
      </c>
      <c r="K1127">
        <v>0</v>
      </c>
    </row>
    <row r="1128" spans="1:11" x14ac:dyDescent="0.25">
      <c r="A1128" t="str">
        <f>"1414"</f>
        <v>1414</v>
      </c>
      <c r="B1128" t="str">
        <f t="shared" si="65"/>
        <v>1</v>
      </c>
      <c r="C1128" t="str">
        <f t="shared" si="66"/>
        <v>57</v>
      </c>
      <c r="D1128" t="str">
        <f>"7"</f>
        <v>7</v>
      </c>
      <c r="E1128" t="str">
        <f>"1-57-7"</f>
        <v>1-57-7</v>
      </c>
      <c r="F1128" t="s">
        <v>15</v>
      </c>
      <c r="G1128" t="s">
        <v>20</v>
      </c>
      <c r="H1128" t="s">
        <v>21</v>
      </c>
      <c r="I1128">
        <v>1</v>
      </c>
      <c r="J1128">
        <v>0</v>
      </c>
      <c r="K1128">
        <v>0</v>
      </c>
    </row>
    <row r="1129" spans="1:11" x14ac:dyDescent="0.25">
      <c r="A1129" t="str">
        <f>"1415"</f>
        <v>1415</v>
      </c>
      <c r="B1129" t="str">
        <f t="shared" si="65"/>
        <v>1</v>
      </c>
      <c r="C1129" t="str">
        <f t="shared" si="66"/>
        <v>57</v>
      </c>
      <c r="D1129" t="str">
        <f>"10"</f>
        <v>10</v>
      </c>
      <c r="E1129" t="str">
        <f>"1-57-10"</f>
        <v>1-57-10</v>
      </c>
      <c r="F1129" t="s">
        <v>15</v>
      </c>
      <c r="G1129" t="s">
        <v>20</v>
      </c>
      <c r="H1129" t="s">
        <v>21</v>
      </c>
      <c r="I1129">
        <v>1</v>
      </c>
      <c r="J1129">
        <v>0</v>
      </c>
      <c r="K1129">
        <v>0</v>
      </c>
    </row>
    <row r="1130" spans="1:11" x14ac:dyDescent="0.25">
      <c r="A1130" t="str">
        <f>"1416"</f>
        <v>1416</v>
      </c>
      <c r="B1130" t="str">
        <f t="shared" si="65"/>
        <v>1</v>
      </c>
      <c r="C1130" t="str">
        <f t="shared" si="66"/>
        <v>57</v>
      </c>
      <c r="D1130" t="str">
        <f>"12"</f>
        <v>12</v>
      </c>
      <c r="E1130" t="str">
        <f>"1-57-12"</f>
        <v>1-57-12</v>
      </c>
      <c r="F1130" t="s">
        <v>15</v>
      </c>
      <c r="G1130" t="s">
        <v>16</v>
      </c>
      <c r="H1130" t="s">
        <v>17</v>
      </c>
      <c r="I1130">
        <v>1</v>
      </c>
      <c r="J1130">
        <v>0</v>
      </c>
      <c r="K1130">
        <v>0</v>
      </c>
    </row>
    <row r="1131" spans="1:11" x14ac:dyDescent="0.25">
      <c r="A1131" t="str">
        <f>"1417"</f>
        <v>1417</v>
      </c>
      <c r="B1131" t="str">
        <f t="shared" si="65"/>
        <v>1</v>
      </c>
      <c r="C1131" t="str">
        <f t="shared" si="66"/>
        <v>57</v>
      </c>
      <c r="D1131" t="str">
        <f>"11"</f>
        <v>11</v>
      </c>
      <c r="E1131" t="str">
        <f>"1-57-11"</f>
        <v>1-57-11</v>
      </c>
      <c r="F1131" t="s">
        <v>15</v>
      </c>
      <c r="G1131" t="s">
        <v>18</v>
      </c>
      <c r="H1131" t="s">
        <v>19</v>
      </c>
      <c r="I1131">
        <v>0</v>
      </c>
      <c r="J1131">
        <v>1</v>
      </c>
      <c r="K1131">
        <v>0</v>
      </c>
    </row>
    <row r="1132" spans="1:11" x14ac:dyDescent="0.25">
      <c r="A1132" t="str">
        <f>"1418"</f>
        <v>1418</v>
      </c>
      <c r="B1132" t="str">
        <f t="shared" si="65"/>
        <v>1</v>
      </c>
      <c r="C1132" t="str">
        <f t="shared" si="66"/>
        <v>57</v>
      </c>
      <c r="D1132" t="str">
        <f>"13"</f>
        <v>13</v>
      </c>
      <c r="E1132" t="str">
        <f>"1-57-13"</f>
        <v>1-57-13</v>
      </c>
      <c r="F1132" t="s">
        <v>15</v>
      </c>
      <c r="G1132" t="s">
        <v>16</v>
      </c>
      <c r="H1132" t="s">
        <v>17</v>
      </c>
      <c r="I1132">
        <v>0</v>
      </c>
      <c r="J1132">
        <v>0</v>
      </c>
      <c r="K1132">
        <v>0</v>
      </c>
    </row>
    <row r="1133" spans="1:11" x14ac:dyDescent="0.25">
      <c r="A1133" t="str">
        <f>"1419"</f>
        <v>1419</v>
      </c>
      <c r="B1133" t="str">
        <f t="shared" si="65"/>
        <v>1</v>
      </c>
      <c r="C1133" t="str">
        <f t="shared" si="66"/>
        <v>57</v>
      </c>
      <c r="D1133" t="str">
        <f>"14"</f>
        <v>14</v>
      </c>
      <c r="E1133" t="str">
        <f>"1-57-14"</f>
        <v>1-57-14</v>
      </c>
      <c r="F1133" t="s">
        <v>15</v>
      </c>
      <c r="G1133" t="s">
        <v>16</v>
      </c>
      <c r="H1133" t="s">
        <v>17</v>
      </c>
      <c r="I1133">
        <v>0</v>
      </c>
      <c r="J1133">
        <v>0</v>
      </c>
      <c r="K1133">
        <v>0</v>
      </c>
    </row>
    <row r="1134" spans="1:11" x14ac:dyDescent="0.25">
      <c r="A1134" t="str">
        <f>"1420"</f>
        <v>1420</v>
      </c>
      <c r="B1134" t="str">
        <f t="shared" si="65"/>
        <v>1</v>
      </c>
      <c r="C1134" t="str">
        <f t="shared" ref="C1134:C1158" si="67">"58"</f>
        <v>58</v>
      </c>
      <c r="D1134" t="str">
        <f>"17"</f>
        <v>17</v>
      </c>
      <c r="E1134" t="str">
        <f>"1-58-17"</f>
        <v>1-58-17</v>
      </c>
      <c r="F1134" t="s">
        <v>15</v>
      </c>
      <c r="G1134" t="s">
        <v>16</v>
      </c>
      <c r="H1134" t="s">
        <v>17</v>
      </c>
      <c r="I1134">
        <v>1</v>
      </c>
      <c r="J1134">
        <v>0</v>
      </c>
      <c r="K1134">
        <v>0</v>
      </c>
    </row>
    <row r="1135" spans="1:11" x14ac:dyDescent="0.25">
      <c r="A1135" t="str">
        <f>"1421"</f>
        <v>1421</v>
      </c>
      <c r="B1135" t="str">
        <f t="shared" si="65"/>
        <v>1</v>
      </c>
      <c r="C1135" t="str">
        <f t="shared" si="67"/>
        <v>58</v>
      </c>
      <c r="D1135" t="str">
        <f>"15"</f>
        <v>15</v>
      </c>
      <c r="E1135" t="str">
        <f>"1-58-15"</f>
        <v>1-58-15</v>
      </c>
      <c r="F1135" t="s">
        <v>15</v>
      </c>
      <c r="G1135" t="s">
        <v>16</v>
      </c>
      <c r="H1135" t="s">
        <v>17</v>
      </c>
      <c r="I1135">
        <v>1</v>
      </c>
      <c r="J1135">
        <v>0</v>
      </c>
      <c r="K1135">
        <v>0</v>
      </c>
    </row>
    <row r="1136" spans="1:11" x14ac:dyDescent="0.25">
      <c r="A1136" t="str">
        <f>"1422"</f>
        <v>1422</v>
      </c>
      <c r="B1136" t="str">
        <f t="shared" si="65"/>
        <v>1</v>
      </c>
      <c r="C1136" t="str">
        <f t="shared" si="67"/>
        <v>58</v>
      </c>
      <c r="D1136" t="str">
        <f>"1"</f>
        <v>1</v>
      </c>
      <c r="E1136" t="str">
        <f>"1-58-1"</f>
        <v>1-58-1</v>
      </c>
      <c r="F1136" t="s">
        <v>15</v>
      </c>
      <c r="G1136" t="s">
        <v>16</v>
      </c>
      <c r="H1136" t="s">
        <v>17</v>
      </c>
      <c r="I1136">
        <v>1</v>
      </c>
      <c r="J1136">
        <v>0</v>
      </c>
      <c r="K1136">
        <v>0</v>
      </c>
    </row>
    <row r="1137" spans="1:11" x14ac:dyDescent="0.25">
      <c r="A1137" t="str">
        <f>"1423"</f>
        <v>1423</v>
      </c>
      <c r="B1137" t="str">
        <f t="shared" si="65"/>
        <v>1</v>
      </c>
      <c r="C1137" t="str">
        <f t="shared" si="67"/>
        <v>58</v>
      </c>
      <c r="D1137" t="str">
        <f>"22"</f>
        <v>22</v>
      </c>
      <c r="E1137" t="str">
        <f>"1-58-22"</f>
        <v>1-58-22</v>
      </c>
      <c r="F1137" t="s">
        <v>15</v>
      </c>
      <c r="G1137" t="s">
        <v>16</v>
      </c>
      <c r="H1137" t="s">
        <v>17</v>
      </c>
      <c r="I1137">
        <v>1</v>
      </c>
      <c r="J1137">
        <v>0</v>
      </c>
      <c r="K1137">
        <v>0</v>
      </c>
    </row>
    <row r="1138" spans="1:11" x14ac:dyDescent="0.25">
      <c r="A1138" t="str">
        <f>"1424"</f>
        <v>1424</v>
      </c>
      <c r="B1138" t="str">
        <f t="shared" si="65"/>
        <v>1</v>
      </c>
      <c r="C1138" t="str">
        <f t="shared" si="67"/>
        <v>58</v>
      </c>
      <c r="D1138" t="str">
        <f>"16"</f>
        <v>16</v>
      </c>
      <c r="E1138" t="str">
        <f>"1-58-16"</f>
        <v>1-58-16</v>
      </c>
      <c r="F1138" t="s">
        <v>15</v>
      </c>
      <c r="G1138" t="s">
        <v>16</v>
      </c>
      <c r="H1138" t="s">
        <v>17</v>
      </c>
      <c r="I1138">
        <v>1</v>
      </c>
      <c r="J1138">
        <v>0</v>
      </c>
      <c r="K1138">
        <v>0</v>
      </c>
    </row>
    <row r="1139" spans="1:11" x14ac:dyDescent="0.25">
      <c r="A1139" t="str">
        <f>"1425"</f>
        <v>1425</v>
      </c>
      <c r="B1139" t="str">
        <f t="shared" si="65"/>
        <v>1</v>
      </c>
      <c r="C1139" t="str">
        <f t="shared" si="67"/>
        <v>58</v>
      </c>
      <c r="D1139" t="str">
        <f>"6"</f>
        <v>6</v>
      </c>
      <c r="E1139" t="str">
        <f>"1-58-6"</f>
        <v>1-58-6</v>
      </c>
      <c r="F1139" t="s">
        <v>15</v>
      </c>
      <c r="G1139" t="s">
        <v>16</v>
      </c>
      <c r="H1139" t="s">
        <v>17</v>
      </c>
      <c r="I1139">
        <v>1</v>
      </c>
      <c r="J1139">
        <v>0</v>
      </c>
      <c r="K1139">
        <v>0</v>
      </c>
    </row>
    <row r="1140" spans="1:11" x14ac:dyDescent="0.25">
      <c r="A1140" t="str">
        <f>"1426"</f>
        <v>1426</v>
      </c>
      <c r="B1140" t="str">
        <f t="shared" si="65"/>
        <v>1</v>
      </c>
      <c r="C1140" t="str">
        <f t="shared" si="67"/>
        <v>58</v>
      </c>
      <c r="D1140" t="str">
        <f>"18"</f>
        <v>18</v>
      </c>
      <c r="E1140" t="str">
        <f>"1-58-18"</f>
        <v>1-58-18</v>
      </c>
      <c r="F1140" t="s">
        <v>15</v>
      </c>
      <c r="G1140" t="s">
        <v>18</v>
      </c>
      <c r="H1140" t="s">
        <v>19</v>
      </c>
      <c r="I1140">
        <v>1</v>
      </c>
      <c r="J1140">
        <v>0</v>
      </c>
      <c r="K1140">
        <v>0</v>
      </c>
    </row>
    <row r="1141" spans="1:11" x14ac:dyDescent="0.25">
      <c r="A1141" t="str">
        <f>"1427"</f>
        <v>1427</v>
      </c>
      <c r="B1141" t="str">
        <f t="shared" si="65"/>
        <v>1</v>
      </c>
      <c r="C1141" t="str">
        <f t="shared" si="67"/>
        <v>58</v>
      </c>
      <c r="D1141" t="str">
        <f>"14"</f>
        <v>14</v>
      </c>
      <c r="E1141" t="str">
        <f>"1-58-14"</f>
        <v>1-58-14</v>
      </c>
      <c r="F1141" t="s">
        <v>15</v>
      </c>
      <c r="G1141" t="s">
        <v>16</v>
      </c>
      <c r="H1141" t="s">
        <v>17</v>
      </c>
      <c r="I1141">
        <v>1</v>
      </c>
      <c r="J1141">
        <v>0</v>
      </c>
      <c r="K1141">
        <v>0</v>
      </c>
    </row>
    <row r="1142" spans="1:11" x14ac:dyDescent="0.25">
      <c r="A1142" t="str">
        <f>"1428"</f>
        <v>1428</v>
      </c>
      <c r="B1142" t="str">
        <f t="shared" si="65"/>
        <v>1</v>
      </c>
      <c r="C1142" t="str">
        <f t="shared" si="67"/>
        <v>58</v>
      </c>
      <c r="D1142" t="str">
        <f>"19"</f>
        <v>19</v>
      </c>
      <c r="E1142" t="str">
        <f>"1-58-19"</f>
        <v>1-58-19</v>
      </c>
      <c r="F1142" t="s">
        <v>15</v>
      </c>
      <c r="G1142" t="s">
        <v>16</v>
      </c>
      <c r="H1142" t="s">
        <v>17</v>
      </c>
      <c r="I1142">
        <v>1</v>
      </c>
      <c r="J1142">
        <v>0</v>
      </c>
      <c r="K1142">
        <v>0</v>
      </c>
    </row>
    <row r="1143" spans="1:11" x14ac:dyDescent="0.25">
      <c r="A1143" t="str">
        <f>"1429"</f>
        <v>1429</v>
      </c>
      <c r="B1143" t="str">
        <f t="shared" si="65"/>
        <v>1</v>
      </c>
      <c r="C1143" t="str">
        <f t="shared" si="67"/>
        <v>58</v>
      </c>
      <c r="D1143" t="str">
        <f>"4"</f>
        <v>4</v>
      </c>
      <c r="E1143" t="str">
        <f>"1-58-4"</f>
        <v>1-58-4</v>
      </c>
      <c r="F1143" t="s">
        <v>15</v>
      </c>
      <c r="G1143" t="s">
        <v>16</v>
      </c>
      <c r="H1143" t="s">
        <v>17</v>
      </c>
      <c r="I1143">
        <v>1</v>
      </c>
      <c r="J1143">
        <v>0</v>
      </c>
      <c r="K1143">
        <v>0</v>
      </c>
    </row>
    <row r="1144" spans="1:11" x14ac:dyDescent="0.25">
      <c r="A1144" t="str">
        <f>"1430"</f>
        <v>1430</v>
      </c>
      <c r="B1144" t="str">
        <f t="shared" si="65"/>
        <v>1</v>
      </c>
      <c r="C1144" t="str">
        <f t="shared" si="67"/>
        <v>58</v>
      </c>
      <c r="D1144" t="str">
        <f>"20"</f>
        <v>20</v>
      </c>
      <c r="E1144" t="str">
        <f>"1-58-20"</f>
        <v>1-58-20</v>
      </c>
      <c r="F1144" t="s">
        <v>15</v>
      </c>
      <c r="G1144" t="s">
        <v>16</v>
      </c>
      <c r="H1144" t="s">
        <v>17</v>
      </c>
      <c r="I1144">
        <v>1</v>
      </c>
      <c r="J1144">
        <v>0</v>
      </c>
      <c r="K1144">
        <v>0</v>
      </c>
    </row>
    <row r="1145" spans="1:11" x14ac:dyDescent="0.25">
      <c r="A1145" t="str">
        <f>"1431"</f>
        <v>1431</v>
      </c>
      <c r="B1145" t="str">
        <f t="shared" si="65"/>
        <v>1</v>
      </c>
      <c r="C1145" t="str">
        <f t="shared" si="67"/>
        <v>58</v>
      </c>
      <c r="D1145" t="str">
        <f>"9"</f>
        <v>9</v>
      </c>
      <c r="E1145" t="str">
        <f>"1-58-9"</f>
        <v>1-58-9</v>
      </c>
      <c r="F1145" t="s">
        <v>15</v>
      </c>
      <c r="G1145" t="s">
        <v>16</v>
      </c>
      <c r="H1145" t="s">
        <v>17</v>
      </c>
      <c r="I1145">
        <v>1</v>
      </c>
      <c r="J1145">
        <v>0</v>
      </c>
      <c r="K1145">
        <v>0</v>
      </c>
    </row>
    <row r="1146" spans="1:11" x14ac:dyDescent="0.25">
      <c r="A1146" t="str">
        <f>"1432"</f>
        <v>1432</v>
      </c>
      <c r="B1146" t="str">
        <f t="shared" si="65"/>
        <v>1</v>
      </c>
      <c r="C1146" t="str">
        <f t="shared" si="67"/>
        <v>58</v>
      </c>
      <c r="D1146" t="str">
        <f>"21"</f>
        <v>21</v>
      </c>
      <c r="E1146" t="str">
        <f>"1-58-21"</f>
        <v>1-58-21</v>
      </c>
      <c r="F1146" t="s">
        <v>15</v>
      </c>
      <c r="G1146" t="s">
        <v>16</v>
      </c>
      <c r="H1146" t="s">
        <v>17</v>
      </c>
      <c r="I1146">
        <v>1</v>
      </c>
      <c r="J1146">
        <v>0</v>
      </c>
      <c r="K1146">
        <v>0</v>
      </c>
    </row>
    <row r="1147" spans="1:11" x14ac:dyDescent="0.25">
      <c r="A1147" t="str">
        <f>"1433"</f>
        <v>1433</v>
      </c>
      <c r="B1147" t="str">
        <f t="shared" si="65"/>
        <v>1</v>
      </c>
      <c r="C1147" t="str">
        <f t="shared" si="67"/>
        <v>58</v>
      </c>
      <c r="D1147" t="str">
        <f>"8"</f>
        <v>8</v>
      </c>
      <c r="E1147" t="str">
        <f>"1-58-8"</f>
        <v>1-58-8</v>
      </c>
      <c r="F1147" t="s">
        <v>15</v>
      </c>
      <c r="G1147" t="s">
        <v>16</v>
      </c>
      <c r="H1147" t="s">
        <v>17</v>
      </c>
      <c r="I1147">
        <v>1</v>
      </c>
      <c r="J1147">
        <v>0</v>
      </c>
      <c r="K1147">
        <v>0</v>
      </c>
    </row>
    <row r="1148" spans="1:11" x14ac:dyDescent="0.25">
      <c r="A1148" t="str">
        <f>"1434"</f>
        <v>1434</v>
      </c>
      <c r="B1148" t="str">
        <f t="shared" ref="B1148:B1187" si="68">"1"</f>
        <v>1</v>
      </c>
      <c r="C1148" t="str">
        <f t="shared" si="67"/>
        <v>58</v>
      </c>
      <c r="D1148" t="str">
        <f>"23"</f>
        <v>23</v>
      </c>
      <c r="E1148" t="str">
        <f>"1-58-23"</f>
        <v>1-58-23</v>
      </c>
      <c r="F1148" t="s">
        <v>15</v>
      </c>
      <c r="G1148" t="s">
        <v>18</v>
      </c>
      <c r="H1148" t="s">
        <v>19</v>
      </c>
      <c r="I1148">
        <v>0</v>
      </c>
      <c r="J1148">
        <v>1</v>
      </c>
      <c r="K1148">
        <v>0</v>
      </c>
    </row>
    <row r="1149" spans="1:11" x14ac:dyDescent="0.25">
      <c r="A1149" t="str">
        <f>"1435"</f>
        <v>1435</v>
      </c>
      <c r="B1149" t="str">
        <f t="shared" si="68"/>
        <v>1</v>
      </c>
      <c r="C1149" t="str">
        <f t="shared" si="67"/>
        <v>58</v>
      </c>
      <c r="D1149" t="str">
        <f>"12"</f>
        <v>12</v>
      </c>
      <c r="E1149" t="str">
        <f>"1-58-12"</f>
        <v>1-58-12</v>
      </c>
      <c r="F1149" t="s">
        <v>15</v>
      </c>
      <c r="G1149" t="s">
        <v>16</v>
      </c>
      <c r="H1149" t="s">
        <v>17</v>
      </c>
      <c r="I1149">
        <v>0</v>
      </c>
      <c r="J1149">
        <v>1</v>
      </c>
      <c r="K1149">
        <v>0</v>
      </c>
    </row>
    <row r="1150" spans="1:11" x14ac:dyDescent="0.25">
      <c r="A1150" t="str">
        <f>"1436"</f>
        <v>1436</v>
      </c>
      <c r="B1150" t="str">
        <f t="shared" si="68"/>
        <v>1</v>
      </c>
      <c r="C1150" t="str">
        <f t="shared" si="67"/>
        <v>58</v>
      </c>
      <c r="D1150" t="str">
        <f>"24"</f>
        <v>24</v>
      </c>
      <c r="E1150" t="str">
        <f>"1-58-24"</f>
        <v>1-58-24</v>
      </c>
      <c r="F1150" t="s">
        <v>15</v>
      </c>
      <c r="G1150" t="s">
        <v>16</v>
      </c>
      <c r="H1150" t="s">
        <v>17</v>
      </c>
      <c r="I1150">
        <v>0</v>
      </c>
      <c r="J1150">
        <v>1</v>
      </c>
      <c r="K1150">
        <v>0</v>
      </c>
    </row>
    <row r="1151" spans="1:11" x14ac:dyDescent="0.25">
      <c r="A1151" t="str">
        <f>"1437"</f>
        <v>1437</v>
      </c>
      <c r="B1151" t="str">
        <f t="shared" si="68"/>
        <v>1</v>
      </c>
      <c r="C1151" t="str">
        <f t="shared" si="67"/>
        <v>58</v>
      </c>
      <c r="D1151" t="str">
        <f>"3"</f>
        <v>3</v>
      </c>
      <c r="E1151" t="str">
        <f>"1-58-3"</f>
        <v>1-58-3</v>
      </c>
      <c r="F1151" t="s">
        <v>15</v>
      </c>
      <c r="G1151" t="s">
        <v>16</v>
      </c>
      <c r="H1151" t="s">
        <v>17</v>
      </c>
      <c r="I1151">
        <v>1</v>
      </c>
      <c r="J1151">
        <v>0</v>
      </c>
      <c r="K1151">
        <v>0</v>
      </c>
    </row>
    <row r="1152" spans="1:11" x14ac:dyDescent="0.25">
      <c r="A1152" t="str">
        <f>"1438"</f>
        <v>1438</v>
      </c>
      <c r="B1152" t="str">
        <f t="shared" si="68"/>
        <v>1</v>
      </c>
      <c r="C1152" t="str">
        <f t="shared" si="67"/>
        <v>58</v>
      </c>
      <c r="D1152" t="str">
        <f>"25"</f>
        <v>25</v>
      </c>
      <c r="E1152" t="str">
        <f>"1-58-25"</f>
        <v>1-58-25</v>
      </c>
      <c r="F1152" t="s">
        <v>15</v>
      </c>
      <c r="G1152" t="s">
        <v>16</v>
      </c>
      <c r="H1152" t="s">
        <v>17</v>
      </c>
      <c r="I1152">
        <v>0</v>
      </c>
      <c r="J1152">
        <v>0</v>
      </c>
      <c r="K1152">
        <v>1</v>
      </c>
    </row>
    <row r="1153" spans="1:11" x14ac:dyDescent="0.25">
      <c r="A1153" t="str">
        <f>"1439"</f>
        <v>1439</v>
      </c>
      <c r="B1153" t="str">
        <f t="shared" si="68"/>
        <v>1</v>
      </c>
      <c r="C1153" t="str">
        <f t="shared" si="67"/>
        <v>58</v>
      </c>
      <c r="D1153" t="str">
        <f>"2"</f>
        <v>2</v>
      </c>
      <c r="E1153" t="str">
        <f>"1-58-2"</f>
        <v>1-58-2</v>
      </c>
      <c r="F1153" t="s">
        <v>15</v>
      </c>
      <c r="G1153" t="s">
        <v>16</v>
      </c>
      <c r="H1153" t="s">
        <v>17</v>
      </c>
      <c r="I1153">
        <v>1</v>
      </c>
      <c r="J1153">
        <v>0</v>
      </c>
      <c r="K1153">
        <v>0</v>
      </c>
    </row>
    <row r="1154" spans="1:11" x14ac:dyDescent="0.25">
      <c r="A1154" t="str">
        <f>"1440"</f>
        <v>1440</v>
      </c>
      <c r="B1154" t="str">
        <f t="shared" si="68"/>
        <v>1</v>
      </c>
      <c r="C1154" t="str">
        <f t="shared" si="67"/>
        <v>58</v>
      </c>
      <c r="D1154" t="str">
        <f>"10"</f>
        <v>10</v>
      </c>
      <c r="E1154" t="str">
        <f>"1-58-10"</f>
        <v>1-58-10</v>
      </c>
      <c r="F1154" t="s">
        <v>15</v>
      </c>
      <c r="G1154" t="s">
        <v>16</v>
      </c>
      <c r="H1154" t="s">
        <v>17</v>
      </c>
      <c r="I1154">
        <v>1</v>
      </c>
      <c r="J1154">
        <v>0</v>
      </c>
      <c r="K1154">
        <v>0</v>
      </c>
    </row>
    <row r="1155" spans="1:11" x14ac:dyDescent="0.25">
      <c r="A1155" t="str">
        <f>"1441"</f>
        <v>1441</v>
      </c>
      <c r="B1155" t="str">
        <f t="shared" si="68"/>
        <v>1</v>
      </c>
      <c r="C1155" t="str">
        <f t="shared" si="67"/>
        <v>58</v>
      </c>
      <c r="D1155" t="str">
        <f>"5"</f>
        <v>5</v>
      </c>
      <c r="E1155" t="str">
        <f>"1-58-5"</f>
        <v>1-58-5</v>
      </c>
      <c r="F1155" t="s">
        <v>15</v>
      </c>
      <c r="G1155" t="s">
        <v>16</v>
      </c>
      <c r="H1155" t="s">
        <v>17</v>
      </c>
      <c r="I1155">
        <v>0</v>
      </c>
      <c r="J1155">
        <v>0</v>
      </c>
      <c r="K1155">
        <v>1</v>
      </c>
    </row>
    <row r="1156" spans="1:11" x14ac:dyDescent="0.25">
      <c r="A1156" t="str">
        <f>"1442"</f>
        <v>1442</v>
      </c>
      <c r="B1156" t="str">
        <f t="shared" si="68"/>
        <v>1</v>
      </c>
      <c r="C1156" t="str">
        <f t="shared" si="67"/>
        <v>58</v>
      </c>
      <c r="D1156" t="str">
        <f>"11"</f>
        <v>11</v>
      </c>
      <c r="E1156" t="str">
        <f>"1-58-11"</f>
        <v>1-58-11</v>
      </c>
      <c r="F1156" t="s">
        <v>15</v>
      </c>
      <c r="G1156" t="s">
        <v>16</v>
      </c>
      <c r="H1156" t="s">
        <v>17</v>
      </c>
      <c r="I1156">
        <v>0</v>
      </c>
      <c r="J1156">
        <v>1</v>
      </c>
      <c r="K1156">
        <v>0</v>
      </c>
    </row>
    <row r="1157" spans="1:11" x14ac:dyDescent="0.25">
      <c r="A1157" t="str">
        <f>"1443"</f>
        <v>1443</v>
      </c>
      <c r="B1157" t="str">
        <f t="shared" si="68"/>
        <v>1</v>
      </c>
      <c r="C1157" t="str">
        <f t="shared" si="67"/>
        <v>58</v>
      </c>
      <c r="D1157" t="str">
        <f>"7"</f>
        <v>7</v>
      </c>
      <c r="E1157" t="str">
        <f>"1-58-7"</f>
        <v>1-58-7</v>
      </c>
      <c r="F1157" t="s">
        <v>15</v>
      </c>
      <c r="G1157" t="s">
        <v>16</v>
      </c>
      <c r="H1157" t="s">
        <v>17</v>
      </c>
      <c r="I1157">
        <v>0</v>
      </c>
      <c r="J1157">
        <v>0</v>
      </c>
      <c r="K1157">
        <v>1</v>
      </c>
    </row>
    <row r="1158" spans="1:11" x14ac:dyDescent="0.25">
      <c r="A1158" t="str">
        <f>"1444"</f>
        <v>1444</v>
      </c>
      <c r="B1158" t="str">
        <f t="shared" si="68"/>
        <v>1</v>
      </c>
      <c r="C1158" t="str">
        <f t="shared" si="67"/>
        <v>58</v>
      </c>
      <c r="D1158" t="str">
        <f>"13"</f>
        <v>13</v>
      </c>
      <c r="E1158" t="str">
        <f>"1-58-13"</f>
        <v>1-58-13</v>
      </c>
      <c r="F1158" t="s">
        <v>15</v>
      </c>
      <c r="G1158" t="s">
        <v>16</v>
      </c>
      <c r="H1158" t="s">
        <v>17</v>
      </c>
      <c r="I1158">
        <v>0</v>
      </c>
      <c r="J1158">
        <v>1</v>
      </c>
      <c r="K1158">
        <v>0</v>
      </c>
    </row>
    <row r="1159" spans="1:11" x14ac:dyDescent="0.25">
      <c r="A1159" t="str">
        <f>"1445"</f>
        <v>1445</v>
      </c>
      <c r="B1159" t="str">
        <f t="shared" si="68"/>
        <v>1</v>
      </c>
      <c r="C1159" t="str">
        <f t="shared" ref="C1159:C1183" si="69">"59"</f>
        <v>59</v>
      </c>
      <c r="D1159" t="str">
        <f>"21"</f>
        <v>21</v>
      </c>
      <c r="E1159" t="str">
        <f>"1-59-21"</f>
        <v>1-59-21</v>
      </c>
      <c r="F1159" t="s">
        <v>15</v>
      </c>
      <c r="G1159" t="s">
        <v>16</v>
      </c>
      <c r="H1159" t="s">
        <v>17</v>
      </c>
      <c r="I1159">
        <v>1</v>
      </c>
      <c r="J1159">
        <v>0</v>
      </c>
      <c r="K1159">
        <v>0</v>
      </c>
    </row>
    <row r="1160" spans="1:11" x14ac:dyDescent="0.25">
      <c r="A1160" t="str">
        <f>"1446"</f>
        <v>1446</v>
      </c>
      <c r="B1160" t="str">
        <f t="shared" si="68"/>
        <v>1</v>
      </c>
      <c r="C1160" t="str">
        <f t="shared" si="69"/>
        <v>59</v>
      </c>
      <c r="D1160" t="str">
        <f>"15"</f>
        <v>15</v>
      </c>
      <c r="E1160" t="str">
        <f>"1-59-15"</f>
        <v>1-59-15</v>
      </c>
      <c r="F1160" t="s">
        <v>15</v>
      </c>
      <c r="G1160" t="s">
        <v>18</v>
      </c>
      <c r="H1160" t="s">
        <v>19</v>
      </c>
      <c r="I1160">
        <v>1</v>
      </c>
      <c r="J1160">
        <v>0</v>
      </c>
      <c r="K1160">
        <v>0</v>
      </c>
    </row>
    <row r="1161" spans="1:11" x14ac:dyDescent="0.25">
      <c r="A1161" t="str">
        <f>"1447"</f>
        <v>1447</v>
      </c>
      <c r="B1161" t="str">
        <f t="shared" si="68"/>
        <v>1</v>
      </c>
      <c r="C1161" t="str">
        <f t="shared" si="69"/>
        <v>59</v>
      </c>
      <c r="D1161" t="str">
        <f>"3"</f>
        <v>3</v>
      </c>
      <c r="E1161" t="str">
        <f>"1-59-3"</f>
        <v>1-59-3</v>
      </c>
      <c r="F1161" t="s">
        <v>15</v>
      </c>
      <c r="G1161" t="s">
        <v>16</v>
      </c>
      <c r="H1161" t="s">
        <v>17</v>
      </c>
      <c r="I1161">
        <v>0</v>
      </c>
      <c r="J1161">
        <v>1</v>
      </c>
      <c r="K1161">
        <v>0</v>
      </c>
    </row>
    <row r="1162" spans="1:11" x14ac:dyDescent="0.25">
      <c r="A1162" t="str">
        <f>"1448"</f>
        <v>1448</v>
      </c>
      <c r="B1162" t="str">
        <f t="shared" si="68"/>
        <v>1</v>
      </c>
      <c r="C1162" t="str">
        <f t="shared" si="69"/>
        <v>59</v>
      </c>
      <c r="D1162" t="str">
        <f>"23"</f>
        <v>23</v>
      </c>
      <c r="E1162" t="str">
        <f>"1-59-23"</f>
        <v>1-59-23</v>
      </c>
      <c r="F1162" t="s">
        <v>15</v>
      </c>
      <c r="G1162" t="s">
        <v>16</v>
      </c>
      <c r="H1162" t="s">
        <v>17</v>
      </c>
      <c r="I1162">
        <v>1</v>
      </c>
      <c r="J1162">
        <v>0</v>
      </c>
      <c r="K1162">
        <v>0</v>
      </c>
    </row>
    <row r="1163" spans="1:11" x14ac:dyDescent="0.25">
      <c r="A1163" t="str">
        <f>"1449"</f>
        <v>1449</v>
      </c>
      <c r="B1163" t="str">
        <f t="shared" si="68"/>
        <v>1</v>
      </c>
      <c r="C1163" t="str">
        <f t="shared" si="69"/>
        <v>59</v>
      </c>
      <c r="D1163" t="str">
        <f>"10"</f>
        <v>10</v>
      </c>
      <c r="E1163" t="str">
        <f>"1-59-10"</f>
        <v>1-59-10</v>
      </c>
      <c r="F1163" t="s">
        <v>15</v>
      </c>
      <c r="G1163" t="s">
        <v>16</v>
      </c>
      <c r="H1163" t="s">
        <v>17</v>
      </c>
      <c r="I1163">
        <v>0</v>
      </c>
      <c r="J1163">
        <v>0</v>
      </c>
      <c r="K1163">
        <v>1</v>
      </c>
    </row>
    <row r="1164" spans="1:11" x14ac:dyDescent="0.25">
      <c r="A1164" t="str">
        <f>"1450"</f>
        <v>1450</v>
      </c>
      <c r="B1164" t="str">
        <f t="shared" si="68"/>
        <v>1</v>
      </c>
      <c r="C1164" t="str">
        <f t="shared" si="69"/>
        <v>59</v>
      </c>
      <c r="D1164" t="str">
        <f>"17"</f>
        <v>17</v>
      </c>
      <c r="E1164" t="str">
        <f>"1-59-17"</f>
        <v>1-59-17</v>
      </c>
      <c r="F1164" t="s">
        <v>15</v>
      </c>
      <c r="G1164" t="s">
        <v>20</v>
      </c>
      <c r="H1164" t="s">
        <v>21</v>
      </c>
      <c r="I1164">
        <v>0</v>
      </c>
      <c r="J1164">
        <v>0</v>
      </c>
      <c r="K1164">
        <v>1</v>
      </c>
    </row>
    <row r="1165" spans="1:11" x14ac:dyDescent="0.25">
      <c r="A1165" t="str">
        <f>"1451"</f>
        <v>1451</v>
      </c>
      <c r="B1165" t="str">
        <f t="shared" si="68"/>
        <v>1</v>
      </c>
      <c r="C1165" t="str">
        <f t="shared" si="69"/>
        <v>59</v>
      </c>
      <c r="D1165" t="str">
        <f>"1"</f>
        <v>1</v>
      </c>
      <c r="E1165" t="str">
        <f>"1-59-1"</f>
        <v>1-59-1</v>
      </c>
      <c r="F1165" t="s">
        <v>15</v>
      </c>
      <c r="G1165" t="s">
        <v>20</v>
      </c>
      <c r="H1165" t="s">
        <v>21</v>
      </c>
      <c r="I1165">
        <v>1</v>
      </c>
      <c r="J1165">
        <v>0</v>
      </c>
      <c r="K1165">
        <v>0</v>
      </c>
    </row>
    <row r="1166" spans="1:11" x14ac:dyDescent="0.25">
      <c r="A1166" t="str">
        <f>"1452"</f>
        <v>1452</v>
      </c>
      <c r="B1166" t="str">
        <f t="shared" si="68"/>
        <v>1</v>
      </c>
      <c r="C1166" t="str">
        <f t="shared" si="69"/>
        <v>59</v>
      </c>
      <c r="D1166" t="str">
        <f>"18"</f>
        <v>18</v>
      </c>
      <c r="E1166" t="str">
        <f>"1-59-18"</f>
        <v>1-59-18</v>
      </c>
      <c r="F1166" t="s">
        <v>15</v>
      </c>
      <c r="G1166" t="s">
        <v>16</v>
      </c>
      <c r="H1166" t="s">
        <v>17</v>
      </c>
      <c r="I1166">
        <v>0</v>
      </c>
      <c r="J1166">
        <v>0</v>
      </c>
      <c r="K1166">
        <v>1</v>
      </c>
    </row>
    <row r="1167" spans="1:11" x14ac:dyDescent="0.25">
      <c r="A1167" t="str">
        <f>"1453"</f>
        <v>1453</v>
      </c>
      <c r="B1167" t="str">
        <f t="shared" si="68"/>
        <v>1</v>
      </c>
      <c r="C1167" t="str">
        <f t="shared" si="69"/>
        <v>59</v>
      </c>
      <c r="D1167" t="str">
        <f>"8"</f>
        <v>8</v>
      </c>
      <c r="E1167" t="str">
        <f>"1-59-8"</f>
        <v>1-59-8</v>
      </c>
      <c r="F1167" t="s">
        <v>15</v>
      </c>
      <c r="G1167" t="s">
        <v>20</v>
      </c>
      <c r="H1167" t="s">
        <v>21</v>
      </c>
      <c r="I1167">
        <v>1</v>
      </c>
      <c r="J1167">
        <v>0</v>
      </c>
      <c r="K1167">
        <v>0</v>
      </c>
    </row>
    <row r="1168" spans="1:11" x14ac:dyDescent="0.25">
      <c r="A1168" t="str">
        <f>"1454"</f>
        <v>1454</v>
      </c>
      <c r="B1168" t="str">
        <f t="shared" si="68"/>
        <v>1</v>
      </c>
      <c r="C1168" t="str">
        <f t="shared" si="69"/>
        <v>59</v>
      </c>
      <c r="D1168" t="str">
        <f>"19"</f>
        <v>19</v>
      </c>
      <c r="E1168" t="str">
        <f>"1-59-19"</f>
        <v>1-59-19</v>
      </c>
      <c r="F1168" t="s">
        <v>15</v>
      </c>
      <c r="G1168" t="s">
        <v>16</v>
      </c>
      <c r="H1168" t="s">
        <v>17</v>
      </c>
      <c r="I1168">
        <v>1</v>
      </c>
      <c r="J1168">
        <v>0</v>
      </c>
      <c r="K1168">
        <v>0</v>
      </c>
    </row>
    <row r="1169" spans="1:11" x14ac:dyDescent="0.25">
      <c r="A1169" t="str">
        <f>"1455"</f>
        <v>1455</v>
      </c>
      <c r="B1169" t="str">
        <f t="shared" si="68"/>
        <v>1</v>
      </c>
      <c r="C1169" t="str">
        <f t="shared" si="69"/>
        <v>59</v>
      </c>
      <c r="D1169" t="str">
        <f>"12"</f>
        <v>12</v>
      </c>
      <c r="E1169" t="str">
        <f>"1-59-12"</f>
        <v>1-59-12</v>
      </c>
      <c r="F1169" t="s">
        <v>15</v>
      </c>
      <c r="G1169" t="s">
        <v>16</v>
      </c>
      <c r="H1169" t="s">
        <v>17</v>
      </c>
      <c r="I1169">
        <v>1</v>
      </c>
      <c r="J1169">
        <v>0</v>
      </c>
      <c r="K1169">
        <v>0</v>
      </c>
    </row>
    <row r="1170" spans="1:11" x14ac:dyDescent="0.25">
      <c r="A1170" t="str">
        <f>"1456"</f>
        <v>1456</v>
      </c>
      <c r="B1170" t="str">
        <f t="shared" si="68"/>
        <v>1</v>
      </c>
      <c r="C1170" t="str">
        <f t="shared" si="69"/>
        <v>59</v>
      </c>
      <c r="D1170" t="str">
        <f>"20"</f>
        <v>20</v>
      </c>
      <c r="E1170" t="str">
        <f>"1-59-20"</f>
        <v>1-59-20</v>
      </c>
      <c r="F1170" t="s">
        <v>15</v>
      </c>
      <c r="G1170" t="s">
        <v>16</v>
      </c>
      <c r="H1170" t="s">
        <v>17</v>
      </c>
      <c r="I1170">
        <v>1</v>
      </c>
      <c r="J1170">
        <v>0</v>
      </c>
      <c r="K1170">
        <v>0</v>
      </c>
    </row>
    <row r="1171" spans="1:11" x14ac:dyDescent="0.25">
      <c r="A1171" t="str">
        <f>"1457"</f>
        <v>1457</v>
      </c>
      <c r="B1171" t="str">
        <f t="shared" si="68"/>
        <v>1</v>
      </c>
      <c r="C1171" t="str">
        <f t="shared" si="69"/>
        <v>59</v>
      </c>
      <c r="D1171" t="str">
        <f>"2"</f>
        <v>2</v>
      </c>
      <c r="E1171" t="str">
        <f>"1-59-2"</f>
        <v>1-59-2</v>
      </c>
      <c r="F1171" t="s">
        <v>15</v>
      </c>
      <c r="G1171" t="s">
        <v>20</v>
      </c>
      <c r="H1171" t="s">
        <v>21</v>
      </c>
      <c r="I1171">
        <v>1</v>
      </c>
      <c r="J1171">
        <v>0</v>
      </c>
      <c r="K1171">
        <v>0</v>
      </c>
    </row>
    <row r="1172" spans="1:11" x14ac:dyDescent="0.25">
      <c r="A1172" t="str">
        <f>"1458"</f>
        <v>1458</v>
      </c>
      <c r="B1172" t="str">
        <f t="shared" si="68"/>
        <v>1</v>
      </c>
      <c r="C1172" t="str">
        <f t="shared" si="69"/>
        <v>59</v>
      </c>
      <c r="D1172" t="str">
        <f>"22"</f>
        <v>22</v>
      </c>
      <c r="E1172" t="str">
        <f>"1-59-22"</f>
        <v>1-59-22</v>
      </c>
      <c r="F1172" t="s">
        <v>15</v>
      </c>
      <c r="G1172" t="s">
        <v>16</v>
      </c>
      <c r="H1172" t="s">
        <v>17</v>
      </c>
      <c r="I1172">
        <v>0</v>
      </c>
      <c r="J1172">
        <v>0</v>
      </c>
      <c r="K1172">
        <v>1</v>
      </c>
    </row>
    <row r="1173" spans="1:11" x14ac:dyDescent="0.25">
      <c r="A1173" t="str">
        <f>"1459"</f>
        <v>1459</v>
      </c>
      <c r="B1173" t="str">
        <f t="shared" si="68"/>
        <v>1</v>
      </c>
      <c r="C1173" t="str">
        <f t="shared" si="69"/>
        <v>59</v>
      </c>
      <c r="D1173" t="str">
        <f>"7"</f>
        <v>7</v>
      </c>
      <c r="E1173" t="str">
        <f>"1-59-7"</f>
        <v>1-59-7</v>
      </c>
      <c r="F1173" t="s">
        <v>15</v>
      </c>
      <c r="G1173" t="s">
        <v>18</v>
      </c>
      <c r="H1173" t="s">
        <v>19</v>
      </c>
      <c r="I1173">
        <v>0</v>
      </c>
      <c r="J1173">
        <v>1</v>
      </c>
      <c r="K1173">
        <v>0</v>
      </c>
    </row>
    <row r="1174" spans="1:11" x14ac:dyDescent="0.25">
      <c r="A1174" t="str">
        <f>"1460"</f>
        <v>1460</v>
      </c>
      <c r="B1174" t="str">
        <f t="shared" si="68"/>
        <v>1</v>
      </c>
      <c r="C1174" t="str">
        <f t="shared" si="69"/>
        <v>59</v>
      </c>
      <c r="D1174" t="str">
        <f>"24"</f>
        <v>24</v>
      </c>
      <c r="E1174" t="str">
        <f>"1-59-24"</f>
        <v>1-59-24</v>
      </c>
      <c r="F1174" t="s">
        <v>15</v>
      </c>
      <c r="G1174" t="s">
        <v>16</v>
      </c>
      <c r="H1174" t="s">
        <v>17</v>
      </c>
      <c r="I1174">
        <v>0</v>
      </c>
      <c r="J1174">
        <v>1</v>
      </c>
      <c r="K1174">
        <v>0</v>
      </c>
    </row>
    <row r="1175" spans="1:11" x14ac:dyDescent="0.25">
      <c r="A1175" t="str">
        <f>"1461"</f>
        <v>1461</v>
      </c>
      <c r="B1175" t="str">
        <f t="shared" si="68"/>
        <v>1</v>
      </c>
      <c r="C1175" t="str">
        <f t="shared" si="69"/>
        <v>59</v>
      </c>
      <c r="D1175" t="str">
        <f>"9"</f>
        <v>9</v>
      </c>
      <c r="E1175" t="str">
        <f>"1-59-9"</f>
        <v>1-59-9</v>
      </c>
      <c r="F1175" t="s">
        <v>15</v>
      </c>
      <c r="G1175" t="s">
        <v>20</v>
      </c>
      <c r="H1175" t="s">
        <v>21</v>
      </c>
      <c r="I1175">
        <v>0</v>
      </c>
      <c r="J1175">
        <v>1</v>
      </c>
      <c r="K1175">
        <v>0</v>
      </c>
    </row>
    <row r="1176" spans="1:11" x14ac:dyDescent="0.25">
      <c r="A1176" t="str">
        <f>"1462"</f>
        <v>1462</v>
      </c>
      <c r="B1176" t="str">
        <f t="shared" si="68"/>
        <v>1</v>
      </c>
      <c r="C1176" t="str">
        <f t="shared" si="69"/>
        <v>59</v>
      </c>
      <c r="D1176" t="str">
        <f>"4"</f>
        <v>4</v>
      </c>
      <c r="E1176" t="str">
        <f>"1-59-4"</f>
        <v>1-59-4</v>
      </c>
      <c r="F1176" t="s">
        <v>15</v>
      </c>
      <c r="G1176" t="s">
        <v>16</v>
      </c>
      <c r="H1176" t="s">
        <v>17</v>
      </c>
      <c r="I1176">
        <v>1</v>
      </c>
      <c r="J1176">
        <v>0</v>
      </c>
      <c r="K1176">
        <v>0</v>
      </c>
    </row>
    <row r="1177" spans="1:11" x14ac:dyDescent="0.25">
      <c r="A1177" t="str">
        <f>"1463"</f>
        <v>1463</v>
      </c>
      <c r="B1177" t="str">
        <f t="shared" si="68"/>
        <v>1</v>
      </c>
      <c r="C1177" t="str">
        <f t="shared" si="69"/>
        <v>59</v>
      </c>
      <c r="D1177" t="str">
        <f>"13"</f>
        <v>13</v>
      </c>
      <c r="E1177" t="str">
        <f>"1-59-13"</f>
        <v>1-59-13</v>
      </c>
      <c r="F1177" t="s">
        <v>15</v>
      </c>
      <c r="G1177" t="s">
        <v>16</v>
      </c>
      <c r="H1177" t="s">
        <v>17</v>
      </c>
      <c r="I1177">
        <v>1</v>
      </c>
      <c r="J1177">
        <v>0</v>
      </c>
      <c r="K1177">
        <v>0</v>
      </c>
    </row>
    <row r="1178" spans="1:11" x14ac:dyDescent="0.25">
      <c r="A1178" t="str">
        <f>"1464"</f>
        <v>1464</v>
      </c>
      <c r="B1178" t="str">
        <f t="shared" si="68"/>
        <v>1</v>
      </c>
      <c r="C1178" t="str">
        <f t="shared" si="69"/>
        <v>59</v>
      </c>
      <c r="D1178" t="str">
        <f>"14"</f>
        <v>14</v>
      </c>
      <c r="E1178" t="str">
        <f>"1-59-14"</f>
        <v>1-59-14</v>
      </c>
      <c r="F1178" t="s">
        <v>15</v>
      </c>
      <c r="G1178" t="s">
        <v>16</v>
      </c>
      <c r="H1178" t="s">
        <v>17</v>
      </c>
      <c r="I1178">
        <v>1</v>
      </c>
      <c r="J1178">
        <v>0</v>
      </c>
      <c r="K1178">
        <v>0</v>
      </c>
    </row>
    <row r="1179" spans="1:11" x14ac:dyDescent="0.25">
      <c r="A1179" t="str">
        <f>"1465"</f>
        <v>1465</v>
      </c>
      <c r="B1179" t="str">
        <f t="shared" si="68"/>
        <v>1</v>
      </c>
      <c r="C1179" t="str">
        <f t="shared" si="69"/>
        <v>59</v>
      </c>
      <c r="D1179" t="str">
        <f>"6"</f>
        <v>6</v>
      </c>
      <c r="E1179" t="str">
        <f>"1-59-6"</f>
        <v>1-59-6</v>
      </c>
      <c r="F1179" t="s">
        <v>15</v>
      </c>
      <c r="G1179" t="s">
        <v>20</v>
      </c>
      <c r="H1179" t="s">
        <v>21</v>
      </c>
      <c r="I1179">
        <v>0</v>
      </c>
      <c r="J1179">
        <v>1</v>
      </c>
      <c r="K1179">
        <v>0</v>
      </c>
    </row>
    <row r="1180" spans="1:11" x14ac:dyDescent="0.25">
      <c r="A1180" t="str">
        <f>"1466"</f>
        <v>1466</v>
      </c>
      <c r="B1180" t="str">
        <f t="shared" si="68"/>
        <v>1</v>
      </c>
      <c r="C1180" t="str">
        <f t="shared" si="69"/>
        <v>59</v>
      </c>
      <c r="D1180" t="str">
        <f>"5"</f>
        <v>5</v>
      </c>
      <c r="E1180" t="str">
        <f>"1-59-5"</f>
        <v>1-59-5</v>
      </c>
      <c r="F1180" t="s">
        <v>15</v>
      </c>
      <c r="G1180" t="s">
        <v>16</v>
      </c>
      <c r="H1180" t="s">
        <v>17</v>
      </c>
      <c r="I1180">
        <v>1</v>
      </c>
      <c r="J1180">
        <v>0</v>
      </c>
      <c r="K1180">
        <v>0</v>
      </c>
    </row>
    <row r="1181" spans="1:11" x14ac:dyDescent="0.25">
      <c r="A1181" t="str">
        <f>"1467"</f>
        <v>1467</v>
      </c>
      <c r="B1181" t="str">
        <f t="shared" si="68"/>
        <v>1</v>
      </c>
      <c r="C1181" t="str">
        <f t="shared" si="69"/>
        <v>59</v>
      </c>
      <c r="D1181" t="str">
        <f>"11"</f>
        <v>11</v>
      </c>
      <c r="E1181" t="str">
        <f>"1-59-11"</f>
        <v>1-59-11</v>
      </c>
      <c r="F1181" t="s">
        <v>15</v>
      </c>
      <c r="G1181" t="s">
        <v>16</v>
      </c>
      <c r="H1181" t="s">
        <v>17</v>
      </c>
      <c r="I1181">
        <v>1</v>
      </c>
      <c r="J1181">
        <v>0</v>
      </c>
      <c r="K1181">
        <v>0</v>
      </c>
    </row>
    <row r="1182" spans="1:11" x14ac:dyDescent="0.25">
      <c r="A1182" t="str">
        <f>"1468"</f>
        <v>1468</v>
      </c>
      <c r="B1182" t="str">
        <f t="shared" si="68"/>
        <v>1</v>
      </c>
      <c r="C1182" t="str">
        <f t="shared" si="69"/>
        <v>59</v>
      </c>
      <c r="D1182" t="str">
        <f>"16"</f>
        <v>16</v>
      </c>
      <c r="E1182" t="str">
        <f>"1-59-16"</f>
        <v>1-59-16</v>
      </c>
      <c r="F1182" t="s">
        <v>15</v>
      </c>
      <c r="G1182" t="s">
        <v>16</v>
      </c>
      <c r="H1182" t="s">
        <v>17</v>
      </c>
      <c r="I1182">
        <v>0</v>
      </c>
      <c r="J1182">
        <v>0</v>
      </c>
      <c r="K1182">
        <v>1</v>
      </c>
    </row>
    <row r="1183" spans="1:11" x14ac:dyDescent="0.25">
      <c r="A1183" t="str">
        <f>"1469"</f>
        <v>1469</v>
      </c>
      <c r="B1183" t="str">
        <f t="shared" si="68"/>
        <v>1</v>
      </c>
      <c r="C1183" t="str">
        <f t="shared" si="69"/>
        <v>59</v>
      </c>
      <c r="D1183" t="str">
        <f>"25"</f>
        <v>25</v>
      </c>
      <c r="E1183" t="str">
        <f>"1-59-25"</f>
        <v>1-59-25</v>
      </c>
      <c r="F1183" t="s">
        <v>15</v>
      </c>
      <c r="G1183" t="s">
        <v>16</v>
      </c>
      <c r="H1183" t="s">
        <v>17</v>
      </c>
      <c r="I1183">
        <v>0</v>
      </c>
      <c r="J1183">
        <v>0</v>
      </c>
      <c r="K1183">
        <v>0</v>
      </c>
    </row>
    <row r="1184" spans="1:11" x14ac:dyDescent="0.25">
      <c r="A1184" t="str">
        <f>"1494"</f>
        <v>1494</v>
      </c>
      <c r="B1184" t="str">
        <f t="shared" si="68"/>
        <v>1</v>
      </c>
      <c r="C1184" t="str">
        <f t="shared" ref="C1184:C1202" si="70">"61"</f>
        <v>61</v>
      </c>
      <c r="D1184" t="str">
        <f>"17"</f>
        <v>17</v>
      </c>
      <c r="E1184" t="str">
        <f>"1-61-17"</f>
        <v>1-61-17</v>
      </c>
      <c r="F1184" t="s">
        <v>15</v>
      </c>
      <c r="G1184" t="s">
        <v>18</v>
      </c>
      <c r="H1184" t="s">
        <v>19</v>
      </c>
      <c r="I1184">
        <v>0</v>
      </c>
      <c r="J1184">
        <v>0</v>
      </c>
      <c r="K1184">
        <v>1</v>
      </c>
    </row>
    <row r="1185" spans="1:11" x14ac:dyDescent="0.25">
      <c r="A1185" t="str">
        <f>"1495"</f>
        <v>1495</v>
      </c>
      <c r="B1185" t="str">
        <f t="shared" si="68"/>
        <v>1</v>
      </c>
      <c r="C1185" t="str">
        <f t="shared" si="70"/>
        <v>61</v>
      </c>
      <c r="D1185" t="str">
        <f>"15"</f>
        <v>15</v>
      </c>
      <c r="E1185" t="str">
        <f>"1-61-15"</f>
        <v>1-61-15</v>
      </c>
      <c r="F1185" t="s">
        <v>15</v>
      </c>
      <c r="G1185" t="s">
        <v>18</v>
      </c>
      <c r="H1185" t="s">
        <v>19</v>
      </c>
      <c r="I1185">
        <v>0</v>
      </c>
      <c r="J1185">
        <v>1</v>
      </c>
      <c r="K1185">
        <v>0</v>
      </c>
    </row>
    <row r="1186" spans="1:11" x14ac:dyDescent="0.25">
      <c r="A1186" t="str">
        <f>"1496"</f>
        <v>1496</v>
      </c>
      <c r="B1186" t="str">
        <f t="shared" si="68"/>
        <v>1</v>
      </c>
      <c r="C1186" t="str">
        <f t="shared" si="70"/>
        <v>61</v>
      </c>
      <c r="D1186" t="str">
        <f>"1"</f>
        <v>1</v>
      </c>
      <c r="E1186" t="str">
        <f>"1-61-1"</f>
        <v>1-61-1</v>
      </c>
      <c r="F1186" t="s">
        <v>15</v>
      </c>
      <c r="G1186" t="s">
        <v>18</v>
      </c>
      <c r="H1186" t="s">
        <v>19</v>
      </c>
      <c r="I1186">
        <v>0</v>
      </c>
      <c r="J1186">
        <v>0</v>
      </c>
      <c r="K1186">
        <v>1</v>
      </c>
    </row>
    <row r="1187" spans="1:11" x14ac:dyDescent="0.25">
      <c r="A1187" t="str">
        <f>"1497"</f>
        <v>1497</v>
      </c>
      <c r="B1187" t="str">
        <f t="shared" si="68"/>
        <v>1</v>
      </c>
      <c r="C1187" t="str">
        <f t="shared" si="70"/>
        <v>61</v>
      </c>
      <c r="D1187" t="str">
        <f>"16"</f>
        <v>16</v>
      </c>
      <c r="E1187" t="str">
        <f>"1-61-16"</f>
        <v>1-61-16</v>
      </c>
      <c r="F1187" t="s">
        <v>15</v>
      </c>
      <c r="G1187" t="s">
        <v>18</v>
      </c>
      <c r="H1187" t="s">
        <v>19</v>
      </c>
      <c r="I1187">
        <v>0</v>
      </c>
      <c r="J1187">
        <v>0</v>
      </c>
      <c r="K1187">
        <v>1</v>
      </c>
    </row>
    <row r="1188" spans="1:11" x14ac:dyDescent="0.25">
      <c r="A1188" t="str">
        <f>"1498"</f>
        <v>1498</v>
      </c>
      <c r="B1188" t="str">
        <f t="shared" ref="B1188:B1224" si="71">"1"</f>
        <v>1</v>
      </c>
      <c r="C1188" t="str">
        <f t="shared" si="70"/>
        <v>61</v>
      </c>
      <c r="D1188" t="str">
        <f>"5"</f>
        <v>5</v>
      </c>
      <c r="E1188" t="str">
        <f>"1-61-5"</f>
        <v>1-61-5</v>
      </c>
      <c r="F1188" t="s">
        <v>15</v>
      </c>
      <c r="G1188" t="s">
        <v>18</v>
      </c>
      <c r="H1188" t="s">
        <v>19</v>
      </c>
      <c r="I1188">
        <v>1</v>
      </c>
      <c r="J1188">
        <v>0</v>
      </c>
      <c r="K1188">
        <v>0</v>
      </c>
    </row>
    <row r="1189" spans="1:11" x14ac:dyDescent="0.25">
      <c r="A1189" t="str">
        <f>"1499"</f>
        <v>1499</v>
      </c>
      <c r="B1189" t="str">
        <f t="shared" si="71"/>
        <v>1</v>
      </c>
      <c r="C1189" t="str">
        <f t="shared" si="70"/>
        <v>61</v>
      </c>
      <c r="D1189" t="str">
        <f>"18"</f>
        <v>18</v>
      </c>
      <c r="E1189" t="str">
        <f>"1-61-18"</f>
        <v>1-61-18</v>
      </c>
      <c r="F1189" t="s">
        <v>15</v>
      </c>
      <c r="G1189" t="s">
        <v>18</v>
      </c>
      <c r="H1189" t="s">
        <v>19</v>
      </c>
      <c r="I1189">
        <v>0</v>
      </c>
      <c r="J1189">
        <v>1</v>
      </c>
      <c r="K1189">
        <v>0</v>
      </c>
    </row>
    <row r="1190" spans="1:11" x14ac:dyDescent="0.25">
      <c r="A1190" t="str">
        <f>"1500"</f>
        <v>1500</v>
      </c>
      <c r="B1190" t="str">
        <f t="shared" si="71"/>
        <v>1</v>
      </c>
      <c r="C1190" t="str">
        <f t="shared" si="70"/>
        <v>61</v>
      </c>
      <c r="D1190" t="str">
        <f>"6"</f>
        <v>6</v>
      </c>
      <c r="E1190" t="str">
        <f>"1-61-6"</f>
        <v>1-61-6</v>
      </c>
      <c r="F1190" t="s">
        <v>15</v>
      </c>
      <c r="G1190" t="s">
        <v>18</v>
      </c>
      <c r="H1190" t="s">
        <v>19</v>
      </c>
      <c r="I1190">
        <v>0</v>
      </c>
      <c r="J1190">
        <v>1</v>
      </c>
      <c r="K1190">
        <v>0</v>
      </c>
    </row>
    <row r="1191" spans="1:11" x14ac:dyDescent="0.25">
      <c r="A1191" t="str">
        <f>"1501"</f>
        <v>1501</v>
      </c>
      <c r="B1191" t="str">
        <f t="shared" si="71"/>
        <v>1</v>
      </c>
      <c r="C1191" t="str">
        <f t="shared" si="70"/>
        <v>61</v>
      </c>
      <c r="D1191" t="str">
        <f>"19"</f>
        <v>19</v>
      </c>
      <c r="E1191" t="str">
        <f>"1-61-19"</f>
        <v>1-61-19</v>
      </c>
      <c r="F1191" t="s">
        <v>15</v>
      </c>
      <c r="G1191" t="s">
        <v>18</v>
      </c>
      <c r="H1191" t="s">
        <v>19</v>
      </c>
      <c r="I1191">
        <v>0</v>
      </c>
      <c r="J1191">
        <v>1</v>
      </c>
      <c r="K1191">
        <v>0</v>
      </c>
    </row>
    <row r="1192" spans="1:11" x14ac:dyDescent="0.25">
      <c r="A1192" t="str">
        <f>"1502"</f>
        <v>1502</v>
      </c>
      <c r="B1192" t="str">
        <f t="shared" si="71"/>
        <v>1</v>
      </c>
      <c r="C1192" t="str">
        <f t="shared" si="70"/>
        <v>61</v>
      </c>
      <c r="D1192" t="str">
        <f>"4"</f>
        <v>4</v>
      </c>
      <c r="E1192" t="str">
        <f>"1-61-4"</f>
        <v>1-61-4</v>
      </c>
      <c r="F1192" t="s">
        <v>15</v>
      </c>
      <c r="G1192" t="s">
        <v>18</v>
      </c>
      <c r="H1192" t="s">
        <v>19</v>
      </c>
      <c r="I1192">
        <v>0</v>
      </c>
      <c r="J1192">
        <v>0</v>
      </c>
      <c r="K1192">
        <v>1</v>
      </c>
    </row>
    <row r="1193" spans="1:11" x14ac:dyDescent="0.25">
      <c r="A1193" t="str">
        <f>"1503"</f>
        <v>1503</v>
      </c>
      <c r="B1193" t="str">
        <f t="shared" si="71"/>
        <v>1</v>
      </c>
      <c r="C1193" t="str">
        <f t="shared" si="70"/>
        <v>61</v>
      </c>
      <c r="D1193" t="str">
        <f>"2"</f>
        <v>2</v>
      </c>
      <c r="E1193" t="str">
        <f>"1-61-2"</f>
        <v>1-61-2</v>
      </c>
      <c r="F1193" t="s">
        <v>15</v>
      </c>
      <c r="G1193" t="s">
        <v>18</v>
      </c>
      <c r="H1193" t="s">
        <v>19</v>
      </c>
      <c r="I1193">
        <v>0</v>
      </c>
      <c r="J1193">
        <v>1</v>
      </c>
      <c r="K1193">
        <v>0</v>
      </c>
    </row>
    <row r="1194" spans="1:11" x14ac:dyDescent="0.25">
      <c r="A1194" t="str">
        <f>"1504"</f>
        <v>1504</v>
      </c>
      <c r="B1194" t="str">
        <f t="shared" si="71"/>
        <v>1</v>
      </c>
      <c r="C1194" t="str">
        <f t="shared" si="70"/>
        <v>61</v>
      </c>
      <c r="D1194" t="str">
        <f>"11"</f>
        <v>11</v>
      </c>
      <c r="E1194" t="str">
        <f>"1-61-11"</f>
        <v>1-61-11</v>
      </c>
      <c r="F1194" t="s">
        <v>15</v>
      </c>
      <c r="G1194" t="s">
        <v>18</v>
      </c>
      <c r="H1194" t="s">
        <v>19</v>
      </c>
      <c r="I1194">
        <v>0</v>
      </c>
      <c r="J1194">
        <v>0</v>
      </c>
      <c r="K1194">
        <v>1</v>
      </c>
    </row>
    <row r="1195" spans="1:11" x14ac:dyDescent="0.25">
      <c r="A1195" t="str">
        <f>"1505"</f>
        <v>1505</v>
      </c>
      <c r="B1195" t="str">
        <f t="shared" si="71"/>
        <v>1</v>
      </c>
      <c r="C1195" t="str">
        <f t="shared" si="70"/>
        <v>61</v>
      </c>
      <c r="D1195" t="str">
        <f>"13"</f>
        <v>13</v>
      </c>
      <c r="E1195" t="str">
        <f>"1-61-13"</f>
        <v>1-61-13</v>
      </c>
      <c r="F1195" t="s">
        <v>15</v>
      </c>
      <c r="G1195" t="s">
        <v>18</v>
      </c>
      <c r="H1195" t="s">
        <v>19</v>
      </c>
      <c r="I1195">
        <v>1</v>
      </c>
      <c r="J1195">
        <v>0</v>
      </c>
      <c r="K1195">
        <v>0</v>
      </c>
    </row>
    <row r="1196" spans="1:11" x14ac:dyDescent="0.25">
      <c r="A1196" t="str">
        <f>"1506"</f>
        <v>1506</v>
      </c>
      <c r="B1196" t="str">
        <f t="shared" si="71"/>
        <v>1</v>
      </c>
      <c r="C1196" t="str">
        <f t="shared" si="70"/>
        <v>61</v>
      </c>
      <c r="D1196" t="str">
        <f>"14"</f>
        <v>14</v>
      </c>
      <c r="E1196" t="str">
        <f>"1-61-14"</f>
        <v>1-61-14</v>
      </c>
      <c r="F1196" t="s">
        <v>15</v>
      </c>
      <c r="G1196" t="s">
        <v>18</v>
      </c>
      <c r="H1196" t="s">
        <v>19</v>
      </c>
      <c r="I1196">
        <v>0</v>
      </c>
      <c r="J1196">
        <v>1</v>
      </c>
      <c r="K1196">
        <v>0</v>
      </c>
    </row>
    <row r="1197" spans="1:11" x14ac:dyDescent="0.25">
      <c r="A1197" t="str">
        <f>"1507"</f>
        <v>1507</v>
      </c>
      <c r="B1197" t="str">
        <f t="shared" si="71"/>
        <v>1</v>
      </c>
      <c r="C1197" t="str">
        <f t="shared" si="70"/>
        <v>61</v>
      </c>
      <c r="D1197" t="str">
        <f>"7"</f>
        <v>7</v>
      </c>
      <c r="E1197" t="str">
        <f>"1-61-7"</f>
        <v>1-61-7</v>
      </c>
      <c r="F1197" t="s">
        <v>15</v>
      </c>
      <c r="G1197" t="s">
        <v>18</v>
      </c>
      <c r="H1197" t="s">
        <v>19</v>
      </c>
      <c r="I1197">
        <v>0</v>
      </c>
      <c r="J1197">
        <v>0</v>
      </c>
      <c r="K1197">
        <v>1</v>
      </c>
    </row>
    <row r="1198" spans="1:11" x14ac:dyDescent="0.25">
      <c r="A1198" t="str">
        <f>"1508"</f>
        <v>1508</v>
      </c>
      <c r="B1198" t="str">
        <f t="shared" si="71"/>
        <v>1</v>
      </c>
      <c r="C1198" t="str">
        <f t="shared" si="70"/>
        <v>61</v>
      </c>
      <c r="D1198" t="str">
        <f>"12"</f>
        <v>12</v>
      </c>
      <c r="E1198" t="str">
        <f>"1-61-12"</f>
        <v>1-61-12</v>
      </c>
      <c r="F1198" t="s">
        <v>15</v>
      </c>
      <c r="G1198" t="s">
        <v>18</v>
      </c>
      <c r="H1198" t="s">
        <v>19</v>
      </c>
      <c r="I1198">
        <v>0</v>
      </c>
      <c r="J1198">
        <v>0</v>
      </c>
      <c r="K1198">
        <v>1</v>
      </c>
    </row>
    <row r="1199" spans="1:11" x14ac:dyDescent="0.25">
      <c r="A1199" t="str">
        <f>"1509"</f>
        <v>1509</v>
      </c>
      <c r="B1199" t="str">
        <f t="shared" si="71"/>
        <v>1</v>
      </c>
      <c r="C1199" t="str">
        <f t="shared" si="70"/>
        <v>61</v>
      </c>
      <c r="D1199" t="str">
        <f>"10"</f>
        <v>10</v>
      </c>
      <c r="E1199" t="str">
        <f>"1-61-10"</f>
        <v>1-61-10</v>
      </c>
      <c r="F1199" t="s">
        <v>15</v>
      </c>
      <c r="G1199" t="s">
        <v>18</v>
      </c>
      <c r="H1199" t="s">
        <v>19</v>
      </c>
      <c r="I1199">
        <v>1</v>
      </c>
      <c r="J1199">
        <v>0</v>
      </c>
      <c r="K1199">
        <v>0</v>
      </c>
    </row>
    <row r="1200" spans="1:11" x14ac:dyDescent="0.25">
      <c r="A1200" t="str">
        <f>"1510"</f>
        <v>1510</v>
      </c>
      <c r="B1200" t="str">
        <f t="shared" si="71"/>
        <v>1</v>
      </c>
      <c r="C1200" t="str">
        <f t="shared" si="70"/>
        <v>61</v>
      </c>
      <c r="D1200" t="str">
        <f>"9"</f>
        <v>9</v>
      </c>
      <c r="E1200" t="str">
        <f>"1-61-9"</f>
        <v>1-61-9</v>
      </c>
      <c r="F1200" t="s">
        <v>15</v>
      </c>
      <c r="G1200" t="s">
        <v>16</v>
      </c>
      <c r="H1200" t="s">
        <v>17</v>
      </c>
      <c r="I1200">
        <v>1</v>
      </c>
      <c r="J1200">
        <v>0</v>
      </c>
      <c r="K1200">
        <v>0</v>
      </c>
    </row>
    <row r="1201" spans="1:11" x14ac:dyDescent="0.25">
      <c r="A1201" t="str">
        <f>"1511"</f>
        <v>1511</v>
      </c>
      <c r="B1201" t="str">
        <f t="shared" si="71"/>
        <v>1</v>
      </c>
      <c r="C1201" t="str">
        <f t="shared" si="70"/>
        <v>61</v>
      </c>
      <c r="D1201" t="str">
        <f>"3"</f>
        <v>3</v>
      </c>
      <c r="E1201" t="str">
        <f>"1-61-3"</f>
        <v>1-61-3</v>
      </c>
      <c r="F1201" t="s">
        <v>15</v>
      </c>
      <c r="G1201" t="s">
        <v>18</v>
      </c>
      <c r="H1201" t="s">
        <v>19</v>
      </c>
      <c r="I1201">
        <v>0</v>
      </c>
      <c r="J1201">
        <v>1</v>
      </c>
      <c r="K1201">
        <v>0</v>
      </c>
    </row>
    <row r="1202" spans="1:11" x14ac:dyDescent="0.25">
      <c r="A1202" t="str">
        <f>"1512"</f>
        <v>1512</v>
      </c>
      <c r="B1202" t="str">
        <f t="shared" si="71"/>
        <v>1</v>
      </c>
      <c r="C1202" t="str">
        <f t="shared" si="70"/>
        <v>61</v>
      </c>
      <c r="D1202" t="str">
        <f>"8"</f>
        <v>8</v>
      </c>
      <c r="E1202" t="str">
        <f>"1-61-8"</f>
        <v>1-61-8</v>
      </c>
      <c r="F1202" t="s">
        <v>15</v>
      </c>
      <c r="G1202" t="s">
        <v>18</v>
      </c>
      <c r="H1202" t="s">
        <v>19</v>
      </c>
      <c r="I1202">
        <v>1</v>
      </c>
      <c r="J1202">
        <v>0</v>
      </c>
      <c r="K1202">
        <v>0</v>
      </c>
    </row>
    <row r="1203" spans="1:11" x14ac:dyDescent="0.25">
      <c r="A1203" t="str">
        <f>"1540"</f>
        <v>1540</v>
      </c>
      <c r="B1203" t="str">
        <f t="shared" si="71"/>
        <v>1</v>
      </c>
      <c r="C1203" t="str">
        <f t="shared" ref="C1203:C1226" si="72">"63"</f>
        <v>63</v>
      </c>
      <c r="D1203" t="str">
        <f>"15"</f>
        <v>15</v>
      </c>
      <c r="E1203" t="str">
        <f>"1-63-15"</f>
        <v>1-63-15</v>
      </c>
      <c r="F1203" t="s">
        <v>15</v>
      </c>
      <c r="G1203" t="s">
        <v>16</v>
      </c>
      <c r="H1203" t="s">
        <v>17</v>
      </c>
      <c r="I1203">
        <v>0</v>
      </c>
      <c r="J1203">
        <v>1</v>
      </c>
      <c r="K1203">
        <v>0</v>
      </c>
    </row>
    <row r="1204" spans="1:11" x14ac:dyDescent="0.25">
      <c r="A1204" t="str">
        <f>"1541"</f>
        <v>1541</v>
      </c>
      <c r="B1204" t="str">
        <f t="shared" si="71"/>
        <v>1</v>
      </c>
      <c r="C1204" t="str">
        <f t="shared" si="72"/>
        <v>63</v>
      </c>
      <c r="D1204" t="str">
        <f>"4"</f>
        <v>4</v>
      </c>
      <c r="E1204" t="str">
        <f>"1-63-4"</f>
        <v>1-63-4</v>
      </c>
      <c r="F1204" t="s">
        <v>15</v>
      </c>
      <c r="G1204" t="s">
        <v>16</v>
      </c>
      <c r="H1204" t="s">
        <v>17</v>
      </c>
      <c r="I1204">
        <v>0</v>
      </c>
      <c r="J1204">
        <v>0</v>
      </c>
      <c r="K1204">
        <v>1</v>
      </c>
    </row>
    <row r="1205" spans="1:11" x14ac:dyDescent="0.25">
      <c r="A1205" t="str">
        <f>"1542"</f>
        <v>1542</v>
      </c>
      <c r="B1205" t="str">
        <f t="shared" si="71"/>
        <v>1</v>
      </c>
      <c r="C1205" t="str">
        <f t="shared" si="72"/>
        <v>63</v>
      </c>
      <c r="D1205" t="str">
        <f>"22"</f>
        <v>22</v>
      </c>
      <c r="E1205" t="str">
        <f>"1-63-22"</f>
        <v>1-63-22</v>
      </c>
      <c r="F1205" t="s">
        <v>15</v>
      </c>
      <c r="G1205" t="s">
        <v>20</v>
      </c>
      <c r="H1205" t="s">
        <v>21</v>
      </c>
      <c r="I1205">
        <v>0</v>
      </c>
      <c r="J1205">
        <v>0</v>
      </c>
      <c r="K1205">
        <v>1</v>
      </c>
    </row>
    <row r="1206" spans="1:11" x14ac:dyDescent="0.25">
      <c r="A1206" t="str">
        <f>"1543"</f>
        <v>1543</v>
      </c>
      <c r="B1206" t="str">
        <f t="shared" si="71"/>
        <v>1</v>
      </c>
      <c r="C1206" t="str">
        <f t="shared" si="72"/>
        <v>63</v>
      </c>
      <c r="D1206" t="str">
        <f>"16"</f>
        <v>16</v>
      </c>
      <c r="E1206" t="str">
        <f>"1-63-16"</f>
        <v>1-63-16</v>
      </c>
      <c r="F1206" t="s">
        <v>15</v>
      </c>
      <c r="G1206" t="s">
        <v>16</v>
      </c>
      <c r="H1206" t="s">
        <v>17</v>
      </c>
      <c r="I1206">
        <v>1</v>
      </c>
      <c r="J1206">
        <v>0</v>
      </c>
      <c r="K1206">
        <v>0</v>
      </c>
    </row>
    <row r="1207" spans="1:11" x14ac:dyDescent="0.25">
      <c r="A1207" t="str">
        <f>"1544"</f>
        <v>1544</v>
      </c>
      <c r="B1207" t="str">
        <f t="shared" si="71"/>
        <v>1</v>
      </c>
      <c r="C1207" t="str">
        <f t="shared" si="72"/>
        <v>63</v>
      </c>
      <c r="D1207" t="str">
        <f>"17"</f>
        <v>17</v>
      </c>
      <c r="E1207" t="str">
        <f>"1-63-17"</f>
        <v>1-63-17</v>
      </c>
      <c r="F1207" t="s">
        <v>15</v>
      </c>
      <c r="G1207" t="s">
        <v>16</v>
      </c>
      <c r="H1207" t="s">
        <v>17</v>
      </c>
      <c r="I1207">
        <v>1</v>
      </c>
      <c r="J1207">
        <v>0</v>
      </c>
      <c r="K1207">
        <v>0</v>
      </c>
    </row>
    <row r="1208" spans="1:11" x14ac:dyDescent="0.25">
      <c r="A1208" t="str">
        <f>"1545"</f>
        <v>1545</v>
      </c>
      <c r="B1208" t="str">
        <f t="shared" si="71"/>
        <v>1</v>
      </c>
      <c r="C1208" t="str">
        <f t="shared" si="72"/>
        <v>63</v>
      </c>
      <c r="D1208" t="str">
        <f>"1"</f>
        <v>1</v>
      </c>
      <c r="E1208" t="str">
        <f>"1-63-1"</f>
        <v>1-63-1</v>
      </c>
      <c r="F1208" t="s">
        <v>15</v>
      </c>
      <c r="G1208" t="s">
        <v>18</v>
      </c>
      <c r="H1208" t="s">
        <v>19</v>
      </c>
      <c r="I1208">
        <v>1</v>
      </c>
      <c r="J1208">
        <v>0</v>
      </c>
      <c r="K1208">
        <v>0</v>
      </c>
    </row>
    <row r="1209" spans="1:11" x14ac:dyDescent="0.25">
      <c r="A1209" t="str">
        <f>"1546"</f>
        <v>1546</v>
      </c>
      <c r="B1209" t="str">
        <f t="shared" si="71"/>
        <v>1</v>
      </c>
      <c r="C1209" t="str">
        <f t="shared" si="72"/>
        <v>63</v>
      </c>
      <c r="D1209" t="str">
        <f>"8"</f>
        <v>8</v>
      </c>
      <c r="E1209" t="str">
        <f>"1-63-8"</f>
        <v>1-63-8</v>
      </c>
      <c r="F1209" t="s">
        <v>15</v>
      </c>
      <c r="G1209" t="s">
        <v>16</v>
      </c>
      <c r="H1209" t="s">
        <v>17</v>
      </c>
      <c r="I1209">
        <v>0</v>
      </c>
      <c r="J1209">
        <v>1</v>
      </c>
      <c r="K1209">
        <v>0</v>
      </c>
    </row>
    <row r="1210" spans="1:11" x14ac:dyDescent="0.25">
      <c r="A1210" t="str">
        <f>"1547"</f>
        <v>1547</v>
      </c>
      <c r="B1210" t="str">
        <f t="shared" si="71"/>
        <v>1</v>
      </c>
      <c r="C1210" t="str">
        <f t="shared" si="72"/>
        <v>63</v>
      </c>
      <c r="D1210" t="str">
        <f>"19"</f>
        <v>19</v>
      </c>
      <c r="E1210" t="str">
        <f>"1-63-19"</f>
        <v>1-63-19</v>
      </c>
      <c r="F1210" t="s">
        <v>15</v>
      </c>
      <c r="G1210" t="s">
        <v>16</v>
      </c>
      <c r="H1210" t="s">
        <v>17</v>
      </c>
      <c r="I1210">
        <v>0</v>
      </c>
      <c r="J1210">
        <v>1</v>
      </c>
      <c r="K1210">
        <v>0</v>
      </c>
    </row>
    <row r="1211" spans="1:11" x14ac:dyDescent="0.25">
      <c r="A1211" t="str">
        <f>"1548"</f>
        <v>1548</v>
      </c>
      <c r="B1211" t="str">
        <f t="shared" si="71"/>
        <v>1</v>
      </c>
      <c r="C1211" t="str">
        <f t="shared" si="72"/>
        <v>63</v>
      </c>
      <c r="D1211" t="str">
        <f>"20"</f>
        <v>20</v>
      </c>
      <c r="E1211" t="str">
        <f>"1-63-20"</f>
        <v>1-63-20</v>
      </c>
      <c r="F1211" t="s">
        <v>15</v>
      </c>
      <c r="G1211" t="s">
        <v>16</v>
      </c>
      <c r="H1211" t="s">
        <v>17</v>
      </c>
      <c r="I1211">
        <v>0</v>
      </c>
      <c r="J1211">
        <v>0</v>
      </c>
      <c r="K1211">
        <v>1</v>
      </c>
    </row>
    <row r="1212" spans="1:11" x14ac:dyDescent="0.25">
      <c r="A1212" t="str">
        <f>"1549"</f>
        <v>1549</v>
      </c>
      <c r="B1212" t="str">
        <f t="shared" si="71"/>
        <v>1</v>
      </c>
      <c r="C1212" t="str">
        <f t="shared" si="72"/>
        <v>63</v>
      </c>
      <c r="D1212" t="str">
        <f>"10"</f>
        <v>10</v>
      </c>
      <c r="E1212" t="str">
        <f>"1-63-10"</f>
        <v>1-63-10</v>
      </c>
      <c r="F1212" t="s">
        <v>15</v>
      </c>
      <c r="G1212" t="s">
        <v>20</v>
      </c>
      <c r="H1212" t="s">
        <v>21</v>
      </c>
      <c r="I1212">
        <v>0</v>
      </c>
      <c r="J1212">
        <v>1</v>
      </c>
      <c r="K1212">
        <v>0</v>
      </c>
    </row>
    <row r="1213" spans="1:11" x14ac:dyDescent="0.25">
      <c r="A1213" t="str">
        <f>"1550"</f>
        <v>1550</v>
      </c>
      <c r="B1213" t="str">
        <f t="shared" si="71"/>
        <v>1</v>
      </c>
      <c r="C1213" t="str">
        <f t="shared" si="72"/>
        <v>63</v>
      </c>
      <c r="D1213" t="str">
        <f>"21"</f>
        <v>21</v>
      </c>
      <c r="E1213" t="str">
        <f>"1-63-21"</f>
        <v>1-63-21</v>
      </c>
      <c r="F1213" t="s">
        <v>15</v>
      </c>
      <c r="G1213" t="s">
        <v>20</v>
      </c>
      <c r="H1213" t="s">
        <v>21</v>
      </c>
      <c r="I1213">
        <v>1</v>
      </c>
      <c r="J1213">
        <v>0</v>
      </c>
      <c r="K1213">
        <v>0</v>
      </c>
    </row>
    <row r="1214" spans="1:11" x14ac:dyDescent="0.25">
      <c r="A1214" t="str">
        <f>"1551"</f>
        <v>1551</v>
      </c>
      <c r="B1214" t="str">
        <f t="shared" si="71"/>
        <v>1</v>
      </c>
      <c r="C1214" t="str">
        <f t="shared" si="72"/>
        <v>63</v>
      </c>
      <c r="D1214" t="str">
        <f>"5"</f>
        <v>5</v>
      </c>
      <c r="E1214" t="str">
        <f>"1-63-5"</f>
        <v>1-63-5</v>
      </c>
      <c r="F1214" t="s">
        <v>15</v>
      </c>
      <c r="G1214" t="s">
        <v>16</v>
      </c>
      <c r="H1214" t="s">
        <v>17</v>
      </c>
      <c r="I1214">
        <v>0</v>
      </c>
      <c r="J1214">
        <v>0</v>
      </c>
      <c r="K1214">
        <v>1</v>
      </c>
    </row>
    <row r="1215" spans="1:11" x14ac:dyDescent="0.25">
      <c r="A1215" t="str">
        <f>"1552"</f>
        <v>1552</v>
      </c>
      <c r="B1215" t="str">
        <f t="shared" si="71"/>
        <v>1</v>
      </c>
      <c r="C1215" t="str">
        <f t="shared" si="72"/>
        <v>63</v>
      </c>
      <c r="D1215" t="str">
        <f>"24"</f>
        <v>24</v>
      </c>
      <c r="E1215" t="str">
        <f>"1-63-24"</f>
        <v>1-63-24</v>
      </c>
      <c r="F1215" t="s">
        <v>15</v>
      </c>
      <c r="G1215" t="s">
        <v>16</v>
      </c>
      <c r="H1215" t="s">
        <v>17</v>
      </c>
      <c r="I1215">
        <v>1</v>
      </c>
      <c r="J1215">
        <v>0</v>
      </c>
      <c r="K1215">
        <v>0</v>
      </c>
    </row>
    <row r="1216" spans="1:11" x14ac:dyDescent="0.25">
      <c r="A1216" t="str">
        <f>"1553"</f>
        <v>1553</v>
      </c>
      <c r="B1216" t="str">
        <f t="shared" si="71"/>
        <v>1</v>
      </c>
      <c r="C1216" t="str">
        <f t="shared" si="72"/>
        <v>63</v>
      </c>
      <c r="D1216" t="str">
        <f>"13"</f>
        <v>13</v>
      </c>
      <c r="E1216" t="str">
        <f>"1-63-13"</f>
        <v>1-63-13</v>
      </c>
      <c r="F1216" t="s">
        <v>15</v>
      </c>
      <c r="G1216" t="s">
        <v>20</v>
      </c>
      <c r="H1216" t="s">
        <v>21</v>
      </c>
      <c r="I1216">
        <v>1</v>
      </c>
      <c r="J1216">
        <v>0</v>
      </c>
      <c r="K1216">
        <v>0</v>
      </c>
    </row>
    <row r="1217" spans="1:11" x14ac:dyDescent="0.25">
      <c r="A1217" t="str">
        <f>"1554"</f>
        <v>1554</v>
      </c>
      <c r="B1217" t="str">
        <f t="shared" si="71"/>
        <v>1</v>
      </c>
      <c r="C1217" t="str">
        <f t="shared" si="72"/>
        <v>63</v>
      </c>
      <c r="D1217" t="str">
        <f>"12"</f>
        <v>12</v>
      </c>
      <c r="E1217" t="str">
        <f>"1-63-12"</f>
        <v>1-63-12</v>
      </c>
      <c r="F1217" t="s">
        <v>15</v>
      </c>
      <c r="G1217" t="s">
        <v>20</v>
      </c>
      <c r="H1217" t="s">
        <v>21</v>
      </c>
      <c r="I1217">
        <v>1</v>
      </c>
      <c r="J1217">
        <v>0</v>
      </c>
      <c r="K1217">
        <v>0</v>
      </c>
    </row>
    <row r="1218" spans="1:11" x14ac:dyDescent="0.25">
      <c r="A1218" t="str">
        <f>"1555"</f>
        <v>1555</v>
      </c>
      <c r="B1218" t="str">
        <f t="shared" si="71"/>
        <v>1</v>
      </c>
      <c r="C1218" t="str">
        <f t="shared" si="72"/>
        <v>63</v>
      </c>
      <c r="D1218" t="str">
        <f>"9"</f>
        <v>9</v>
      </c>
      <c r="E1218" t="str">
        <f>"1-63-9"</f>
        <v>1-63-9</v>
      </c>
      <c r="F1218" t="s">
        <v>15</v>
      </c>
      <c r="G1218" t="s">
        <v>20</v>
      </c>
      <c r="H1218" t="s">
        <v>21</v>
      </c>
      <c r="I1218">
        <v>1</v>
      </c>
      <c r="J1218">
        <v>0</v>
      </c>
      <c r="K1218">
        <v>0</v>
      </c>
    </row>
    <row r="1219" spans="1:11" x14ac:dyDescent="0.25">
      <c r="A1219" t="str">
        <f>"1556"</f>
        <v>1556</v>
      </c>
      <c r="B1219" t="str">
        <f t="shared" si="71"/>
        <v>1</v>
      </c>
      <c r="C1219" t="str">
        <f t="shared" si="72"/>
        <v>63</v>
      </c>
      <c r="D1219" t="str">
        <f>"3"</f>
        <v>3</v>
      </c>
      <c r="E1219" t="str">
        <f>"1-63-3"</f>
        <v>1-63-3</v>
      </c>
      <c r="F1219" t="s">
        <v>15</v>
      </c>
      <c r="G1219" t="s">
        <v>16</v>
      </c>
      <c r="H1219" t="s">
        <v>17</v>
      </c>
      <c r="I1219">
        <v>1</v>
      </c>
      <c r="J1219">
        <v>0</v>
      </c>
      <c r="K1219">
        <v>0</v>
      </c>
    </row>
    <row r="1220" spans="1:11" x14ac:dyDescent="0.25">
      <c r="A1220" t="str">
        <f>"1557"</f>
        <v>1557</v>
      </c>
      <c r="B1220" t="str">
        <f t="shared" si="71"/>
        <v>1</v>
      </c>
      <c r="C1220" t="str">
        <f t="shared" si="72"/>
        <v>63</v>
      </c>
      <c r="D1220" t="str">
        <f>"6"</f>
        <v>6</v>
      </c>
      <c r="E1220" t="str">
        <f>"1-63-6"</f>
        <v>1-63-6</v>
      </c>
      <c r="F1220" t="s">
        <v>15</v>
      </c>
      <c r="G1220" t="s">
        <v>16</v>
      </c>
      <c r="H1220" t="s">
        <v>17</v>
      </c>
      <c r="I1220">
        <v>0</v>
      </c>
      <c r="J1220">
        <v>1</v>
      </c>
      <c r="K1220">
        <v>0</v>
      </c>
    </row>
    <row r="1221" spans="1:11" x14ac:dyDescent="0.25">
      <c r="A1221" t="str">
        <f>"1558"</f>
        <v>1558</v>
      </c>
      <c r="B1221" t="str">
        <f t="shared" si="71"/>
        <v>1</v>
      </c>
      <c r="C1221" t="str">
        <f t="shared" si="72"/>
        <v>63</v>
      </c>
      <c r="D1221" t="str">
        <f>"11"</f>
        <v>11</v>
      </c>
      <c r="E1221" t="str">
        <f>"1-63-11"</f>
        <v>1-63-11</v>
      </c>
      <c r="F1221" t="s">
        <v>15</v>
      </c>
      <c r="G1221" t="s">
        <v>20</v>
      </c>
      <c r="H1221" t="s">
        <v>21</v>
      </c>
      <c r="I1221">
        <v>1</v>
      </c>
      <c r="J1221">
        <v>0</v>
      </c>
      <c r="K1221">
        <v>0</v>
      </c>
    </row>
    <row r="1222" spans="1:11" x14ac:dyDescent="0.25">
      <c r="A1222" t="str">
        <f>"1559"</f>
        <v>1559</v>
      </c>
      <c r="B1222" t="str">
        <f t="shared" si="71"/>
        <v>1</v>
      </c>
      <c r="C1222" t="str">
        <f t="shared" si="72"/>
        <v>63</v>
      </c>
      <c r="D1222" t="str">
        <f>"2"</f>
        <v>2</v>
      </c>
      <c r="E1222" t="str">
        <f>"1-63-2"</f>
        <v>1-63-2</v>
      </c>
      <c r="F1222" t="s">
        <v>15</v>
      </c>
      <c r="G1222" t="s">
        <v>20</v>
      </c>
      <c r="H1222" t="s">
        <v>21</v>
      </c>
      <c r="I1222">
        <v>0</v>
      </c>
      <c r="J1222">
        <v>0</v>
      </c>
      <c r="K1222">
        <v>0</v>
      </c>
    </row>
    <row r="1223" spans="1:11" x14ac:dyDescent="0.25">
      <c r="A1223" t="str">
        <f>"1560"</f>
        <v>1560</v>
      </c>
      <c r="B1223" t="str">
        <f t="shared" si="71"/>
        <v>1</v>
      </c>
      <c r="C1223" t="str">
        <f t="shared" si="72"/>
        <v>63</v>
      </c>
      <c r="D1223" t="str">
        <f>"23"</f>
        <v>23</v>
      </c>
      <c r="E1223" t="str">
        <f>"1-63-23"</f>
        <v>1-63-23</v>
      </c>
      <c r="F1223" t="s">
        <v>15</v>
      </c>
      <c r="G1223" t="s">
        <v>16</v>
      </c>
      <c r="H1223" t="s">
        <v>17</v>
      </c>
      <c r="I1223">
        <v>0</v>
      </c>
      <c r="J1223">
        <v>0</v>
      </c>
      <c r="K1223">
        <v>0</v>
      </c>
    </row>
    <row r="1224" spans="1:11" x14ac:dyDescent="0.25">
      <c r="A1224" t="str">
        <f>"1561"</f>
        <v>1561</v>
      </c>
      <c r="B1224" t="str">
        <f t="shared" si="71"/>
        <v>1</v>
      </c>
      <c r="C1224" t="str">
        <f t="shared" si="72"/>
        <v>63</v>
      </c>
      <c r="D1224" t="str">
        <f>"7"</f>
        <v>7</v>
      </c>
      <c r="E1224" t="str">
        <f>"1-63-7"</f>
        <v>1-63-7</v>
      </c>
      <c r="F1224" t="s">
        <v>15</v>
      </c>
      <c r="G1224" t="s">
        <v>18</v>
      </c>
      <c r="H1224" t="s">
        <v>19</v>
      </c>
      <c r="I1224">
        <v>0</v>
      </c>
      <c r="J1224">
        <v>0</v>
      </c>
      <c r="K1224">
        <v>0</v>
      </c>
    </row>
    <row r="1225" spans="1:11" x14ac:dyDescent="0.25">
      <c r="A1225" t="str">
        <f>"1562"</f>
        <v>1562</v>
      </c>
      <c r="B1225" t="str">
        <f t="shared" ref="B1225:B1249" si="73">"1"</f>
        <v>1</v>
      </c>
      <c r="C1225" t="str">
        <f t="shared" si="72"/>
        <v>63</v>
      </c>
      <c r="D1225" t="str">
        <f>"14"</f>
        <v>14</v>
      </c>
      <c r="E1225" t="str">
        <f>"1-63-14"</f>
        <v>1-63-14</v>
      </c>
      <c r="F1225" t="s">
        <v>15</v>
      </c>
      <c r="G1225" t="s">
        <v>18</v>
      </c>
      <c r="H1225" t="s">
        <v>19</v>
      </c>
      <c r="I1225">
        <v>0</v>
      </c>
      <c r="J1225">
        <v>0</v>
      </c>
      <c r="K1225">
        <v>0</v>
      </c>
    </row>
    <row r="1226" spans="1:11" x14ac:dyDescent="0.25">
      <c r="A1226" t="str">
        <f>"1563"</f>
        <v>1563</v>
      </c>
      <c r="B1226" t="str">
        <f t="shared" si="73"/>
        <v>1</v>
      </c>
      <c r="C1226" t="str">
        <f t="shared" si="72"/>
        <v>63</v>
      </c>
      <c r="D1226" t="str">
        <f>"18"</f>
        <v>18</v>
      </c>
      <c r="E1226" t="str">
        <f>"1-63-18"</f>
        <v>1-63-18</v>
      </c>
      <c r="F1226" t="s">
        <v>15</v>
      </c>
      <c r="G1226" t="s">
        <v>16</v>
      </c>
      <c r="H1226" t="s">
        <v>17</v>
      </c>
      <c r="I1226">
        <v>0</v>
      </c>
      <c r="J1226">
        <v>0</v>
      </c>
      <c r="K1226">
        <v>1</v>
      </c>
    </row>
    <row r="1227" spans="1:11" x14ac:dyDescent="0.25">
      <c r="A1227" t="str">
        <f>"1564"</f>
        <v>1564</v>
      </c>
      <c r="B1227" t="str">
        <f t="shared" si="73"/>
        <v>1</v>
      </c>
      <c r="C1227" t="str">
        <f t="shared" ref="C1227:C1249" si="74">"64"</f>
        <v>64</v>
      </c>
      <c r="D1227" t="str">
        <f>"17"</f>
        <v>17</v>
      </c>
      <c r="E1227" t="str">
        <f>"1-64-17"</f>
        <v>1-64-17</v>
      </c>
      <c r="F1227" t="s">
        <v>15</v>
      </c>
      <c r="G1227" t="s">
        <v>18</v>
      </c>
      <c r="H1227" t="s">
        <v>19</v>
      </c>
      <c r="I1227">
        <v>1</v>
      </c>
      <c r="J1227">
        <v>0</v>
      </c>
      <c r="K1227">
        <v>0</v>
      </c>
    </row>
    <row r="1228" spans="1:11" x14ac:dyDescent="0.25">
      <c r="A1228" t="str">
        <f>"1565"</f>
        <v>1565</v>
      </c>
      <c r="B1228" t="str">
        <f t="shared" si="73"/>
        <v>1</v>
      </c>
      <c r="C1228" t="str">
        <f t="shared" si="74"/>
        <v>64</v>
      </c>
      <c r="D1228" t="str">
        <f>"15"</f>
        <v>15</v>
      </c>
      <c r="E1228" t="str">
        <f>"1-64-15"</f>
        <v>1-64-15</v>
      </c>
      <c r="F1228" t="s">
        <v>15</v>
      </c>
      <c r="G1228" t="s">
        <v>18</v>
      </c>
      <c r="H1228" t="s">
        <v>19</v>
      </c>
      <c r="I1228">
        <v>0</v>
      </c>
      <c r="J1228">
        <v>1</v>
      </c>
      <c r="K1228">
        <v>0</v>
      </c>
    </row>
    <row r="1229" spans="1:11" x14ac:dyDescent="0.25">
      <c r="A1229" t="str">
        <f>"1566"</f>
        <v>1566</v>
      </c>
      <c r="B1229" t="str">
        <f t="shared" si="73"/>
        <v>1</v>
      </c>
      <c r="C1229" t="str">
        <f t="shared" si="74"/>
        <v>64</v>
      </c>
      <c r="D1229" t="str">
        <f>"1"</f>
        <v>1</v>
      </c>
      <c r="E1229" t="str">
        <f>"1-64-1"</f>
        <v>1-64-1</v>
      </c>
      <c r="F1229" t="s">
        <v>15</v>
      </c>
      <c r="G1229" t="s">
        <v>16</v>
      </c>
      <c r="H1229" t="s">
        <v>17</v>
      </c>
      <c r="I1229">
        <v>0</v>
      </c>
      <c r="J1229">
        <v>1</v>
      </c>
      <c r="K1229">
        <v>0</v>
      </c>
    </row>
    <row r="1230" spans="1:11" x14ac:dyDescent="0.25">
      <c r="A1230" t="str">
        <f>"1567"</f>
        <v>1567</v>
      </c>
      <c r="B1230" t="str">
        <f t="shared" si="73"/>
        <v>1</v>
      </c>
      <c r="C1230" t="str">
        <f t="shared" si="74"/>
        <v>64</v>
      </c>
      <c r="D1230" t="str">
        <f>"16"</f>
        <v>16</v>
      </c>
      <c r="E1230" t="str">
        <f>"1-64-16"</f>
        <v>1-64-16</v>
      </c>
      <c r="F1230" t="s">
        <v>15</v>
      </c>
      <c r="G1230" t="s">
        <v>18</v>
      </c>
      <c r="H1230" t="s">
        <v>19</v>
      </c>
      <c r="I1230">
        <v>1</v>
      </c>
      <c r="J1230">
        <v>0</v>
      </c>
      <c r="K1230">
        <v>0</v>
      </c>
    </row>
    <row r="1231" spans="1:11" x14ac:dyDescent="0.25">
      <c r="A1231" t="str">
        <f>"1568"</f>
        <v>1568</v>
      </c>
      <c r="B1231" t="str">
        <f t="shared" si="73"/>
        <v>1</v>
      </c>
      <c r="C1231" t="str">
        <f t="shared" si="74"/>
        <v>64</v>
      </c>
      <c r="D1231" t="str">
        <f>"18"</f>
        <v>18</v>
      </c>
      <c r="E1231" t="str">
        <f>"1-64-18"</f>
        <v>1-64-18</v>
      </c>
      <c r="F1231" t="s">
        <v>15</v>
      </c>
      <c r="G1231" t="s">
        <v>20</v>
      </c>
      <c r="H1231" t="s">
        <v>21</v>
      </c>
      <c r="I1231">
        <v>1</v>
      </c>
      <c r="J1231">
        <v>0</v>
      </c>
      <c r="K1231">
        <v>0</v>
      </c>
    </row>
    <row r="1232" spans="1:11" x14ac:dyDescent="0.25">
      <c r="A1232" t="str">
        <f>"1569"</f>
        <v>1569</v>
      </c>
      <c r="B1232" t="str">
        <f t="shared" si="73"/>
        <v>1</v>
      </c>
      <c r="C1232" t="str">
        <f t="shared" si="74"/>
        <v>64</v>
      </c>
      <c r="D1232" t="str">
        <f>"19"</f>
        <v>19</v>
      </c>
      <c r="E1232" t="str">
        <f>"1-64-19"</f>
        <v>1-64-19</v>
      </c>
      <c r="F1232" t="s">
        <v>15</v>
      </c>
      <c r="G1232" t="s">
        <v>16</v>
      </c>
      <c r="H1232" t="s">
        <v>17</v>
      </c>
      <c r="I1232">
        <v>0</v>
      </c>
      <c r="J1232">
        <v>1</v>
      </c>
      <c r="K1232">
        <v>0</v>
      </c>
    </row>
    <row r="1233" spans="1:11" x14ac:dyDescent="0.25">
      <c r="A1233" t="str">
        <f>"1570"</f>
        <v>1570</v>
      </c>
      <c r="B1233" t="str">
        <f t="shared" si="73"/>
        <v>1</v>
      </c>
      <c r="C1233" t="str">
        <f t="shared" si="74"/>
        <v>64</v>
      </c>
      <c r="D1233" t="str">
        <f>"8"</f>
        <v>8</v>
      </c>
      <c r="E1233" t="str">
        <f>"1-64-8"</f>
        <v>1-64-8</v>
      </c>
      <c r="F1233" t="s">
        <v>15</v>
      </c>
      <c r="G1233" t="s">
        <v>16</v>
      </c>
      <c r="H1233" t="s">
        <v>17</v>
      </c>
      <c r="I1233">
        <v>0</v>
      </c>
      <c r="J1233">
        <v>0</v>
      </c>
      <c r="K1233">
        <v>1</v>
      </c>
    </row>
    <row r="1234" spans="1:11" x14ac:dyDescent="0.25">
      <c r="A1234" t="str">
        <f>"1571"</f>
        <v>1571</v>
      </c>
      <c r="B1234" t="str">
        <f t="shared" si="73"/>
        <v>1</v>
      </c>
      <c r="C1234" t="str">
        <f t="shared" si="74"/>
        <v>64</v>
      </c>
      <c r="D1234" t="str">
        <f>"20"</f>
        <v>20</v>
      </c>
      <c r="E1234" t="str">
        <f>"1-64-20"</f>
        <v>1-64-20</v>
      </c>
      <c r="F1234" t="s">
        <v>15</v>
      </c>
      <c r="G1234" t="s">
        <v>16</v>
      </c>
      <c r="H1234" t="s">
        <v>17</v>
      </c>
      <c r="I1234">
        <v>0</v>
      </c>
      <c r="J1234">
        <v>1</v>
      </c>
      <c r="K1234">
        <v>0</v>
      </c>
    </row>
    <row r="1235" spans="1:11" x14ac:dyDescent="0.25">
      <c r="A1235" t="str">
        <f>"1572"</f>
        <v>1572</v>
      </c>
      <c r="B1235" t="str">
        <f t="shared" si="73"/>
        <v>1</v>
      </c>
      <c r="C1235" t="str">
        <f t="shared" si="74"/>
        <v>64</v>
      </c>
      <c r="D1235" t="str">
        <f>"13"</f>
        <v>13</v>
      </c>
      <c r="E1235" t="str">
        <f>"1-64-13"</f>
        <v>1-64-13</v>
      </c>
      <c r="F1235" t="s">
        <v>15</v>
      </c>
      <c r="G1235" t="s">
        <v>18</v>
      </c>
      <c r="H1235" t="s">
        <v>19</v>
      </c>
      <c r="I1235">
        <v>1</v>
      </c>
      <c r="J1235">
        <v>0</v>
      </c>
      <c r="K1235">
        <v>0</v>
      </c>
    </row>
    <row r="1236" spans="1:11" x14ac:dyDescent="0.25">
      <c r="A1236" t="str">
        <f>"1573"</f>
        <v>1573</v>
      </c>
      <c r="B1236" t="str">
        <f t="shared" si="73"/>
        <v>1</v>
      </c>
      <c r="C1236" t="str">
        <f t="shared" si="74"/>
        <v>64</v>
      </c>
      <c r="D1236" t="str">
        <f>"21"</f>
        <v>21</v>
      </c>
      <c r="E1236" t="str">
        <f>"1-64-21"</f>
        <v>1-64-21</v>
      </c>
      <c r="F1236" t="s">
        <v>15</v>
      </c>
      <c r="G1236" t="s">
        <v>16</v>
      </c>
      <c r="H1236" t="s">
        <v>17</v>
      </c>
      <c r="I1236">
        <v>1</v>
      </c>
      <c r="J1236">
        <v>0</v>
      </c>
      <c r="K1236">
        <v>0</v>
      </c>
    </row>
    <row r="1237" spans="1:11" x14ac:dyDescent="0.25">
      <c r="A1237" t="str">
        <f>"1574"</f>
        <v>1574</v>
      </c>
      <c r="B1237" t="str">
        <f t="shared" si="73"/>
        <v>1</v>
      </c>
      <c r="C1237" t="str">
        <f t="shared" si="74"/>
        <v>64</v>
      </c>
      <c r="D1237" t="str">
        <f>"7"</f>
        <v>7</v>
      </c>
      <c r="E1237" t="str">
        <f>"1-64-7"</f>
        <v>1-64-7</v>
      </c>
      <c r="F1237" t="s">
        <v>15</v>
      </c>
      <c r="G1237" t="s">
        <v>16</v>
      </c>
      <c r="H1237" t="s">
        <v>17</v>
      </c>
      <c r="I1237">
        <v>0</v>
      </c>
      <c r="J1237">
        <v>0</v>
      </c>
      <c r="K1237">
        <v>1</v>
      </c>
    </row>
    <row r="1238" spans="1:11" x14ac:dyDescent="0.25">
      <c r="A1238" t="str">
        <f>"1575"</f>
        <v>1575</v>
      </c>
      <c r="B1238" t="str">
        <f t="shared" si="73"/>
        <v>1</v>
      </c>
      <c r="C1238" t="str">
        <f t="shared" si="74"/>
        <v>64</v>
      </c>
      <c r="D1238" t="str">
        <f>"22"</f>
        <v>22</v>
      </c>
      <c r="E1238" t="str">
        <f>"1-64-22"</f>
        <v>1-64-22</v>
      </c>
      <c r="F1238" t="s">
        <v>15</v>
      </c>
      <c r="G1238" t="s">
        <v>16</v>
      </c>
      <c r="H1238" t="s">
        <v>17</v>
      </c>
      <c r="I1238">
        <v>1</v>
      </c>
      <c r="J1238">
        <v>0</v>
      </c>
      <c r="K1238">
        <v>0</v>
      </c>
    </row>
    <row r="1239" spans="1:11" x14ac:dyDescent="0.25">
      <c r="A1239" t="str">
        <f>"1576"</f>
        <v>1576</v>
      </c>
      <c r="B1239" t="str">
        <f t="shared" si="73"/>
        <v>1</v>
      </c>
      <c r="C1239" t="str">
        <f t="shared" si="74"/>
        <v>64</v>
      </c>
      <c r="D1239" t="str">
        <f>"5"</f>
        <v>5</v>
      </c>
      <c r="E1239" t="str">
        <f>"1-64-5"</f>
        <v>1-64-5</v>
      </c>
      <c r="F1239" t="s">
        <v>15</v>
      </c>
      <c r="G1239" t="s">
        <v>16</v>
      </c>
      <c r="H1239" t="s">
        <v>17</v>
      </c>
      <c r="I1239">
        <v>0</v>
      </c>
      <c r="J1239">
        <v>0</v>
      </c>
      <c r="K1239">
        <v>1</v>
      </c>
    </row>
    <row r="1240" spans="1:11" x14ac:dyDescent="0.25">
      <c r="A1240" t="str">
        <f>"1577"</f>
        <v>1577</v>
      </c>
      <c r="B1240" t="str">
        <f t="shared" si="73"/>
        <v>1</v>
      </c>
      <c r="C1240" t="str">
        <f t="shared" si="74"/>
        <v>64</v>
      </c>
      <c r="D1240" t="str">
        <f>"23"</f>
        <v>23</v>
      </c>
      <c r="E1240" t="str">
        <f>"1-64-23"</f>
        <v>1-64-23</v>
      </c>
      <c r="F1240" t="s">
        <v>15</v>
      </c>
      <c r="G1240" t="s">
        <v>16</v>
      </c>
      <c r="H1240" t="s">
        <v>17</v>
      </c>
      <c r="I1240">
        <v>1</v>
      </c>
      <c r="J1240">
        <v>0</v>
      </c>
      <c r="K1240">
        <v>0</v>
      </c>
    </row>
    <row r="1241" spans="1:11" x14ac:dyDescent="0.25">
      <c r="A1241" t="str">
        <f>"1578"</f>
        <v>1578</v>
      </c>
      <c r="B1241" t="str">
        <f t="shared" si="73"/>
        <v>1</v>
      </c>
      <c r="C1241" t="str">
        <f t="shared" si="74"/>
        <v>64</v>
      </c>
      <c r="D1241" t="str">
        <f>"10"</f>
        <v>10</v>
      </c>
      <c r="E1241" t="str">
        <f>"1-64-10"</f>
        <v>1-64-10</v>
      </c>
      <c r="F1241" t="s">
        <v>15</v>
      </c>
      <c r="G1241" t="s">
        <v>16</v>
      </c>
      <c r="H1241" t="s">
        <v>17</v>
      </c>
      <c r="I1241">
        <v>0</v>
      </c>
      <c r="J1241">
        <v>1</v>
      </c>
      <c r="K1241">
        <v>0</v>
      </c>
    </row>
    <row r="1242" spans="1:11" x14ac:dyDescent="0.25">
      <c r="A1242" t="str">
        <f>"1579"</f>
        <v>1579</v>
      </c>
      <c r="B1242" t="str">
        <f t="shared" si="73"/>
        <v>1</v>
      </c>
      <c r="C1242" t="str">
        <f t="shared" si="74"/>
        <v>64</v>
      </c>
      <c r="D1242" t="str">
        <f>"2"</f>
        <v>2</v>
      </c>
      <c r="E1242" t="str">
        <f>"1-64-2"</f>
        <v>1-64-2</v>
      </c>
      <c r="F1242" t="s">
        <v>15</v>
      </c>
      <c r="G1242" t="s">
        <v>16</v>
      </c>
      <c r="H1242" t="s">
        <v>17</v>
      </c>
      <c r="I1242">
        <v>0</v>
      </c>
      <c r="J1242">
        <v>1</v>
      </c>
      <c r="K1242">
        <v>0</v>
      </c>
    </row>
    <row r="1243" spans="1:11" x14ac:dyDescent="0.25">
      <c r="A1243" t="str">
        <f>"1580"</f>
        <v>1580</v>
      </c>
      <c r="B1243" t="str">
        <f t="shared" si="73"/>
        <v>1</v>
      </c>
      <c r="C1243" t="str">
        <f t="shared" si="74"/>
        <v>64</v>
      </c>
      <c r="D1243" t="str">
        <f>"4"</f>
        <v>4</v>
      </c>
      <c r="E1243" t="str">
        <f>"1-64-4"</f>
        <v>1-64-4</v>
      </c>
      <c r="F1243" t="s">
        <v>15</v>
      </c>
      <c r="G1243" t="s">
        <v>16</v>
      </c>
      <c r="H1243" t="s">
        <v>17</v>
      </c>
      <c r="I1243">
        <v>0</v>
      </c>
      <c r="J1243">
        <v>1</v>
      </c>
      <c r="K1243">
        <v>0</v>
      </c>
    </row>
    <row r="1244" spans="1:11" x14ac:dyDescent="0.25">
      <c r="A1244" t="str">
        <f>"1581"</f>
        <v>1581</v>
      </c>
      <c r="B1244" t="str">
        <f t="shared" si="73"/>
        <v>1</v>
      </c>
      <c r="C1244" t="str">
        <f t="shared" si="74"/>
        <v>64</v>
      </c>
      <c r="D1244" t="str">
        <f>"12"</f>
        <v>12</v>
      </c>
      <c r="E1244" t="str">
        <f>"1-64-12"</f>
        <v>1-64-12</v>
      </c>
      <c r="F1244" t="s">
        <v>15</v>
      </c>
      <c r="G1244" t="s">
        <v>16</v>
      </c>
      <c r="H1244" t="s">
        <v>17</v>
      </c>
      <c r="I1244">
        <v>0</v>
      </c>
      <c r="J1244">
        <v>0</v>
      </c>
      <c r="K1244">
        <v>1</v>
      </c>
    </row>
    <row r="1245" spans="1:11" x14ac:dyDescent="0.25">
      <c r="A1245" t="str">
        <f>"1582"</f>
        <v>1582</v>
      </c>
      <c r="B1245" t="str">
        <f t="shared" si="73"/>
        <v>1</v>
      </c>
      <c r="C1245" t="str">
        <f t="shared" si="74"/>
        <v>64</v>
      </c>
      <c r="D1245" t="str">
        <f>"11"</f>
        <v>11</v>
      </c>
      <c r="E1245" t="str">
        <f>"1-64-11"</f>
        <v>1-64-11</v>
      </c>
      <c r="F1245" t="s">
        <v>15</v>
      </c>
      <c r="G1245" t="s">
        <v>16</v>
      </c>
      <c r="H1245" t="s">
        <v>17</v>
      </c>
      <c r="I1245">
        <v>1</v>
      </c>
      <c r="J1245">
        <v>0</v>
      </c>
      <c r="K1245">
        <v>0</v>
      </c>
    </row>
    <row r="1246" spans="1:11" x14ac:dyDescent="0.25">
      <c r="A1246" t="str">
        <f>"1583"</f>
        <v>1583</v>
      </c>
      <c r="B1246" t="str">
        <f t="shared" si="73"/>
        <v>1</v>
      </c>
      <c r="C1246" t="str">
        <f t="shared" si="74"/>
        <v>64</v>
      </c>
      <c r="D1246" t="str">
        <f>"9"</f>
        <v>9</v>
      </c>
      <c r="E1246" t="str">
        <f>"1-64-9"</f>
        <v>1-64-9</v>
      </c>
      <c r="F1246" t="s">
        <v>15</v>
      </c>
      <c r="G1246" t="s">
        <v>18</v>
      </c>
      <c r="H1246" t="s">
        <v>19</v>
      </c>
      <c r="I1246">
        <v>0</v>
      </c>
      <c r="J1246">
        <v>0</v>
      </c>
      <c r="K1246">
        <v>1</v>
      </c>
    </row>
    <row r="1247" spans="1:11" x14ac:dyDescent="0.25">
      <c r="A1247" t="str">
        <f>"1584"</f>
        <v>1584</v>
      </c>
      <c r="B1247" t="str">
        <f t="shared" si="73"/>
        <v>1</v>
      </c>
      <c r="C1247" t="str">
        <f t="shared" si="74"/>
        <v>64</v>
      </c>
      <c r="D1247" t="str">
        <f>"14"</f>
        <v>14</v>
      </c>
      <c r="E1247" t="str">
        <f>"1-64-14"</f>
        <v>1-64-14</v>
      </c>
      <c r="F1247" t="s">
        <v>15</v>
      </c>
      <c r="G1247" t="s">
        <v>20</v>
      </c>
      <c r="H1247" t="s">
        <v>21</v>
      </c>
      <c r="I1247">
        <v>1</v>
      </c>
      <c r="J1247">
        <v>0</v>
      </c>
      <c r="K1247">
        <v>0</v>
      </c>
    </row>
    <row r="1248" spans="1:11" x14ac:dyDescent="0.25">
      <c r="A1248" t="str">
        <f>"1585"</f>
        <v>1585</v>
      </c>
      <c r="B1248" t="str">
        <f t="shared" si="73"/>
        <v>1</v>
      </c>
      <c r="C1248" t="str">
        <f t="shared" si="74"/>
        <v>64</v>
      </c>
      <c r="D1248" t="str">
        <f>"3"</f>
        <v>3</v>
      </c>
      <c r="E1248" t="str">
        <f>"1-64-3"</f>
        <v>1-64-3</v>
      </c>
      <c r="F1248" t="s">
        <v>15</v>
      </c>
      <c r="G1248" t="s">
        <v>16</v>
      </c>
      <c r="H1248" t="s">
        <v>17</v>
      </c>
      <c r="I1248">
        <v>0</v>
      </c>
      <c r="J1248">
        <v>0</v>
      </c>
      <c r="K1248">
        <v>1</v>
      </c>
    </row>
    <row r="1249" spans="1:11" x14ac:dyDescent="0.25">
      <c r="A1249" t="str">
        <f>"1586"</f>
        <v>1586</v>
      </c>
      <c r="B1249" t="str">
        <f t="shared" si="73"/>
        <v>1</v>
      </c>
      <c r="C1249" t="str">
        <f t="shared" si="74"/>
        <v>64</v>
      </c>
      <c r="D1249" t="str">
        <f>"6"</f>
        <v>6</v>
      </c>
      <c r="E1249" t="str">
        <f>"1-64-6"</f>
        <v>1-64-6</v>
      </c>
      <c r="F1249" t="s">
        <v>15</v>
      </c>
      <c r="G1249" t="s">
        <v>20</v>
      </c>
      <c r="H1249" t="s">
        <v>21</v>
      </c>
      <c r="I1249">
        <v>0</v>
      </c>
      <c r="J1249">
        <v>0</v>
      </c>
      <c r="K1249">
        <v>0</v>
      </c>
    </row>
    <row r="1250" spans="1:11" x14ac:dyDescent="0.25">
      <c r="A1250" t="str">
        <f>"1640"</f>
        <v>1640</v>
      </c>
      <c r="B1250" t="str">
        <f t="shared" ref="B1250:B1299" si="75">"1"</f>
        <v>1</v>
      </c>
      <c r="C1250" t="str">
        <f t="shared" ref="C1250:C1274" si="76">"68"</f>
        <v>68</v>
      </c>
      <c r="D1250" t="str">
        <f>"22"</f>
        <v>22</v>
      </c>
      <c r="E1250" t="str">
        <f>"1-68-22"</f>
        <v>1-68-22</v>
      </c>
      <c r="F1250" t="s">
        <v>15</v>
      </c>
      <c r="G1250" t="s">
        <v>18</v>
      </c>
      <c r="H1250" t="s">
        <v>19</v>
      </c>
      <c r="I1250">
        <v>1</v>
      </c>
      <c r="J1250">
        <v>0</v>
      </c>
      <c r="K1250">
        <v>0</v>
      </c>
    </row>
    <row r="1251" spans="1:11" x14ac:dyDescent="0.25">
      <c r="A1251" t="str">
        <f>"1641"</f>
        <v>1641</v>
      </c>
      <c r="B1251" t="str">
        <f t="shared" si="75"/>
        <v>1</v>
      </c>
      <c r="C1251" t="str">
        <f t="shared" si="76"/>
        <v>68</v>
      </c>
      <c r="D1251" t="str">
        <f>"15"</f>
        <v>15</v>
      </c>
      <c r="E1251" t="str">
        <f>"1-68-15"</f>
        <v>1-68-15</v>
      </c>
      <c r="F1251" t="s">
        <v>15</v>
      </c>
      <c r="G1251" t="s">
        <v>16</v>
      </c>
      <c r="H1251" t="s">
        <v>17</v>
      </c>
      <c r="I1251">
        <v>1</v>
      </c>
      <c r="J1251">
        <v>0</v>
      </c>
      <c r="K1251">
        <v>0</v>
      </c>
    </row>
    <row r="1252" spans="1:11" x14ac:dyDescent="0.25">
      <c r="A1252" t="str">
        <f>"1642"</f>
        <v>1642</v>
      </c>
      <c r="B1252" t="str">
        <f t="shared" si="75"/>
        <v>1</v>
      </c>
      <c r="C1252" t="str">
        <f t="shared" si="76"/>
        <v>68</v>
      </c>
      <c r="D1252" t="str">
        <f>"8"</f>
        <v>8</v>
      </c>
      <c r="E1252" t="str">
        <f>"1-68-8"</f>
        <v>1-68-8</v>
      </c>
      <c r="F1252" t="s">
        <v>15</v>
      </c>
      <c r="G1252" t="s">
        <v>16</v>
      </c>
      <c r="H1252" t="s">
        <v>17</v>
      </c>
      <c r="I1252">
        <v>1</v>
      </c>
      <c r="J1252">
        <v>0</v>
      </c>
      <c r="K1252">
        <v>0</v>
      </c>
    </row>
    <row r="1253" spans="1:11" x14ac:dyDescent="0.25">
      <c r="A1253" t="str">
        <f>"1643"</f>
        <v>1643</v>
      </c>
      <c r="B1253" t="str">
        <f t="shared" si="75"/>
        <v>1</v>
      </c>
      <c r="C1253" t="str">
        <f t="shared" si="76"/>
        <v>68</v>
      </c>
      <c r="D1253" t="str">
        <f>"16"</f>
        <v>16</v>
      </c>
      <c r="E1253" t="str">
        <f>"1-68-16"</f>
        <v>1-68-16</v>
      </c>
      <c r="F1253" t="s">
        <v>15</v>
      </c>
      <c r="G1253" t="s">
        <v>16</v>
      </c>
      <c r="H1253" t="s">
        <v>17</v>
      </c>
      <c r="I1253">
        <v>1</v>
      </c>
      <c r="J1253">
        <v>0</v>
      </c>
      <c r="K1253">
        <v>0</v>
      </c>
    </row>
    <row r="1254" spans="1:11" x14ac:dyDescent="0.25">
      <c r="A1254" t="str">
        <f>"1644"</f>
        <v>1644</v>
      </c>
      <c r="B1254" t="str">
        <f t="shared" si="75"/>
        <v>1</v>
      </c>
      <c r="C1254" t="str">
        <f t="shared" si="76"/>
        <v>68</v>
      </c>
      <c r="D1254" t="str">
        <f>"3"</f>
        <v>3</v>
      </c>
      <c r="E1254" t="str">
        <f>"1-68-3"</f>
        <v>1-68-3</v>
      </c>
      <c r="F1254" t="s">
        <v>15</v>
      </c>
      <c r="G1254" t="s">
        <v>16</v>
      </c>
      <c r="H1254" t="s">
        <v>17</v>
      </c>
      <c r="I1254">
        <v>0</v>
      </c>
      <c r="J1254">
        <v>1</v>
      </c>
      <c r="K1254">
        <v>0</v>
      </c>
    </row>
    <row r="1255" spans="1:11" x14ac:dyDescent="0.25">
      <c r="A1255" t="str">
        <f>"1645"</f>
        <v>1645</v>
      </c>
      <c r="B1255" t="str">
        <f t="shared" si="75"/>
        <v>1</v>
      </c>
      <c r="C1255" t="str">
        <f t="shared" si="76"/>
        <v>68</v>
      </c>
      <c r="D1255" t="str">
        <f>"17"</f>
        <v>17</v>
      </c>
      <c r="E1255" t="str">
        <f>"1-68-17"</f>
        <v>1-68-17</v>
      </c>
      <c r="F1255" t="s">
        <v>15</v>
      </c>
      <c r="G1255" t="s">
        <v>16</v>
      </c>
      <c r="H1255" t="s">
        <v>17</v>
      </c>
      <c r="I1255">
        <v>0</v>
      </c>
      <c r="J1255">
        <v>1</v>
      </c>
      <c r="K1255">
        <v>0</v>
      </c>
    </row>
    <row r="1256" spans="1:11" x14ac:dyDescent="0.25">
      <c r="A1256" t="str">
        <f>"1646"</f>
        <v>1646</v>
      </c>
      <c r="B1256" t="str">
        <f t="shared" si="75"/>
        <v>1</v>
      </c>
      <c r="C1256" t="str">
        <f t="shared" si="76"/>
        <v>68</v>
      </c>
      <c r="D1256" t="str">
        <f>"1"</f>
        <v>1</v>
      </c>
      <c r="E1256" t="str">
        <f>"1-68-1"</f>
        <v>1-68-1</v>
      </c>
      <c r="F1256" t="s">
        <v>15</v>
      </c>
      <c r="G1256" t="s">
        <v>16</v>
      </c>
      <c r="H1256" t="s">
        <v>17</v>
      </c>
      <c r="I1256">
        <v>0</v>
      </c>
      <c r="J1256">
        <v>0</v>
      </c>
      <c r="K1256">
        <v>1</v>
      </c>
    </row>
    <row r="1257" spans="1:11" x14ac:dyDescent="0.25">
      <c r="A1257" t="str">
        <f>"1647"</f>
        <v>1647</v>
      </c>
      <c r="B1257" t="str">
        <f t="shared" si="75"/>
        <v>1</v>
      </c>
      <c r="C1257" t="str">
        <f t="shared" si="76"/>
        <v>68</v>
      </c>
      <c r="D1257" t="str">
        <f>"18"</f>
        <v>18</v>
      </c>
      <c r="E1257" t="str">
        <f>"1-68-18"</f>
        <v>1-68-18</v>
      </c>
      <c r="F1257" t="s">
        <v>15</v>
      </c>
      <c r="G1257" t="s">
        <v>18</v>
      </c>
      <c r="H1257" t="s">
        <v>19</v>
      </c>
      <c r="I1257">
        <v>0</v>
      </c>
      <c r="J1257">
        <v>0</v>
      </c>
      <c r="K1257">
        <v>1</v>
      </c>
    </row>
    <row r="1258" spans="1:11" x14ac:dyDescent="0.25">
      <c r="A1258" t="str">
        <f>"1648"</f>
        <v>1648</v>
      </c>
      <c r="B1258" t="str">
        <f t="shared" si="75"/>
        <v>1</v>
      </c>
      <c r="C1258" t="str">
        <f t="shared" si="76"/>
        <v>68</v>
      </c>
      <c r="D1258" t="str">
        <f>"11"</f>
        <v>11</v>
      </c>
      <c r="E1258" t="str">
        <f>"1-68-11"</f>
        <v>1-68-11</v>
      </c>
      <c r="F1258" t="s">
        <v>15</v>
      </c>
      <c r="G1258" t="s">
        <v>16</v>
      </c>
      <c r="H1258" t="s">
        <v>17</v>
      </c>
      <c r="I1258">
        <v>0</v>
      </c>
      <c r="J1258">
        <v>1</v>
      </c>
      <c r="K1258">
        <v>0</v>
      </c>
    </row>
    <row r="1259" spans="1:11" x14ac:dyDescent="0.25">
      <c r="A1259" t="str">
        <f>"1649"</f>
        <v>1649</v>
      </c>
      <c r="B1259" t="str">
        <f t="shared" si="75"/>
        <v>1</v>
      </c>
      <c r="C1259" t="str">
        <f t="shared" si="76"/>
        <v>68</v>
      </c>
      <c r="D1259" t="str">
        <f>"19"</f>
        <v>19</v>
      </c>
      <c r="E1259" t="str">
        <f>"1-68-19"</f>
        <v>1-68-19</v>
      </c>
      <c r="F1259" t="s">
        <v>15</v>
      </c>
      <c r="G1259" t="s">
        <v>16</v>
      </c>
      <c r="H1259" t="s">
        <v>17</v>
      </c>
      <c r="I1259">
        <v>1</v>
      </c>
      <c r="J1259">
        <v>0</v>
      </c>
      <c r="K1259">
        <v>0</v>
      </c>
    </row>
    <row r="1260" spans="1:11" x14ac:dyDescent="0.25">
      <c r="A1260" t="str">
        <f>"1650"</f>
        <v>1650</v>
      </c>
      <c r="B1260" t="str">
        <f t="shared" si="75"/>
        <v>1</v>
      </c>
      <c r="C1260" t="str">
        <f t="shared" si="76"/>
        <v>68</v>
      </c>
      <c r="D1260" t="str">
        <f>"5"</f>
        <v>5</v>
      </c>
      <c r="E1260" t="str">
        <f>"1-68-5"</f>
        <v>1-68-5</v>
      </c>
      <c r="F1260" t="s">
        <v>15</v>
      </c>
      <c r="G1260" t="s">
        <v>16</v>
      </c>
      <c r="H1260" t="s">
        <v>17</v>
      </c>
      <c r="I1260">
        <v>0</v>
      </c>
      <c r="J1260">
        <v>0</v>
      </c>
      <c r="K1260">
        <v>1</v>
      </c>
    </row>
    <row r="1261" spans="1:11" x14ac:dyDescent="0.25">
      <c r="A1261" t="str">
        <f>"1651"</f>
        <v>1651</v>
      </c>
      <c r="B1261" t="str">
        <f t="shared" si="75"/>
        <v>1</v>
      </c>
      <c r="C1261" t="str">
        <f t="shared" si="76"/>
        <v>68</v>
      </c>
      <c r="D1261" t="str">
        <f>"20"</f>
        <v>20</v>
      </c>
      <c r="E1261" t="str">
        <f>"1-68-20"</f>
        <v>1-68-20</v>
      </c>
      <c r="F1261" t="s">
        <v>15</v>
      </c>
      <c r="G1261" t="s">
        <v>18</v>
      </c>
      <c r="H1261" t="s">
        <v>19</v>
      </c>
      <c r="I1261">
        <v>1</v>
      </c>
      <c r="J1261">
        <v>0</v>
      </c>
      <c r="K1261">
        <v>0</v>
      </c>
    </row>
    <row r="1262" spans="1:11" x14ac:dyDescent="0.25">
      <c r="A1262" t="str">
        <f>"1652"</f>
        <v>1652</v>
      </c>
      <c r="B1262" t="str">
        <f t="shared" si="75"/>
        <v>1</v>
      </c>
      <c r="C1262" t="str">
        <f t="shared" si="76"/>
        <v>68</v>
      </c>
      <c r="D1262" t="str">
        <f>"4"</f>
        <v>4</v>
      </c>
      <c r="E1262" t="str">
        <f>"1-68-4"</f>
        <v>1-68-4</v>
      </c>
      <c r="F1262" t="s">
        <v>15</v>
      </c>
      <c r="G1262" t="s">
        <v>16</v>
      </c>
      <c r="H1262" t="s">
        <v>17</v>
      </c>
      <c r="I1262">
        <v>0</v>
      </c>
      <c r="J1262">
        <v>1</v>
      </c>
      <c r="K1262">
        <v>0</v>
      </c>
    </row>
    <row r="1263" spans="1:11" x14ac:dyDescent="0.25">
      <c r="A1263" t="str">
        <f>"1653"</f>
        <v>1653</v>
      </c>
      <c r="B1263" t="str">
        <f t="shared" si="75"/>
        <v>1</v>
      </c>
      <c r="C1263" t="str">
        <f t="shared" si="76"/>
        <v>68</v>
      </c>
      <c r="D1263" t="str">
        <f>"21"</f>
        <v>21</v>
      </c>
      <c r="E1263" t="str">
        <f>"1-68-21"</f>
        <v>1-68-21</v>
      </c>
      <c r="F1263" t="s">
        <v>15</v>
      </c>
      <c r="G1263" t="s">
        <v>16</v>
      </c>
      <c r="H1263" t="s">
        <v>17</v>
      </c>
      <c r="I1263">
        <v>0</v>
      </c>
      <c r="J1263">
        <v>1</v>
      </c>
      <c r="K1263">
        <v>0</v>
      </c>
    </row>
    <row r="1264" spans="1:11" x14ac:dyDescent="0.25">
      <c r="A1264" t="str">
        <f>"1654"</f>
        <v>1654</v>
      </c>
      <c r="B1264" t="str">
        <f t="shared" si="75"/>
        <v>1</v>
      </c>
      <c r="C1264" t="str">
        <f t="shared" si="76"/>
        <v>68</v>
      </c>
      <c r="D1264" t="str">
        <f>"2"</f>
        <v>2</v>
      </c>
      <c r="E1264" t="str">
        <f>"1-68-2"</f>
        <v>1-68-2</v>
      </c>
      <c r="F1264" t="s">
        <v>15</v>
      </c>
      <c r="G1264" t="s">
        <v>16</v>
      </c>
      <c r="H1264" t="s">
        <v>17</v>
      </c>
      <c r="I1264">
        <v>0</v>
      </c>
      <c r="J1264">
        <v>1</v>
      </c>
      <c r="K1264">
        <v>0</v>
      </c>
    </row>
    <row r="1265" spans="1:11" x14ac:dyDescent="0.25">
      <c r="A1265" t="str">
        <f>"1655"</f>
        <v>1655</v>
      </c>
      <c r="B1265" t="str">
        <f t="shared" si="75"/>
        <v>1</v>
      </c>
      <c r="C1265" t="str">
        <f t="shared" si="76"/>
        <v>68</v>
      </c>
      <c r="D1265" t="str">
        <f>"23"</f>
        <v>23</v>
      </c>
      <c r="E1265" t="str">
        <f>"1-68-23"</f>
        <v>1-68-23</v>
      </c>
      <c r="F1265" t="s">
        <v>15</v>
      </c>
      <c r="G1265" t="s">
        <v>16</v>
      </c>
      <c r="H1265" t="s">
        <v>17</v>
      </c>
      <c r="I1265">
        <v>0</v>
      </c>
      <c r="J1265">
        <v>1</v>
      </c>
      <c r="K1265">
        <v>0</v>
      </c>
    </row>
    <row r="1266" spans="1:11" x14ac:dyDescent="0.25">
      <c r="A1266" t="str">
        <f>"1656"</f>
        <v>1656</v>
      </c>
      <c r="B1266" t="str">
        <f t="shared" si="75"/>
        <v>1</v>
      </c>
      <c r="C1266" t="str">
        <f t="shared" si="76"/>
        <v>68</v>
      </c>
      <c r="D1266" t="str">
        <f>"14"</f>
        <v>14</v>
      </c>
      <c r="E1266" t="str">
        <f>"1-68-14"</f>
        <v>1-68-14</v>
      </c>
      <c r="F1266" t="s">
        <v>15</v>
      </c>
      <c r="G1266" t="s">
        <v>16</v>
      </c>
      <c r="H1266" t="s">
        <v>17</v>
      </c>
      <c r="I1266">
        <v>1</v>
      </c>
      <c r="J1266">
        <v>0</v>
      </c>
      <c r="K1266">
        <v>0</v>
      </c>
    </row>
    <row r="1267" spans="1:11" x14ac:dyDescent="0.25">
      <c r="A1267" t="str">
        <f>"1657"</f>
        <v>1657</v>
      </c>
      <c r="B1267" t="str">
        <f t="shared" si="75"/>
        <v>1</v>
      </c>
      <c r="C1267" t="str">
        <f t="shared" si="76"/>
        <v>68</v>
      </c>
      <c r="D1267" t="str">
        <f>"13"</f>
        <v>13</v>
      </c>
      <c r="E1267" t="str">
        <f>"1-68-13"</f>
        <v>1-68-13</v>
      </c>
      <c r="F1267" t="s">
        <v>15</v>
      </c>
      <c r="G1267" t="s">
        <v>16</v>
      </c>
      <c r="H1267" t="s">
        <v>17</v>
      </c>
      <c r="I1267">
        <v>0</v>
      </c>
      <c r="J1267">
        <v>0</v>
      </c>
      <c r="K1267">
        <v>1</v>
      </c>
    </row>
    <row r="1268" spans="1:11" x14ac:dyDescent="0.25">
      <c r="A1268" t="str">
        <f>"1658"</f>
        <v>1658</v>
      </c>
      <c r="B1268" t="str">
        <f t="shared" si="75"/>
        <v>1</v>
      </c>
      <c r="C1268" t="str">
        <f t="shared" si="76"/>
        <v>68</v>
      </c>
      <c r="D1268" t="str">
        <f>"25"</f>
        <v>25</v>
      </c>
      <c r="E1268" t="str">
        <f>"1-68-25"</f>
        <v>1-68-25</v>
      </c>
      <c r="F1268" t="s">
        <v>15</v>
      </c>
      <c r="G1268" t="s">
        <v>16</v>
      </c>
      <c r="H1268" t="s">
        <v>17</v>
      </c>
      <c r="I1268">
        <v>0</v>
      </c>
      <c r="J1268">
        <v>0</v>
      </c>
      <c r="K1268">
        <v>1</v>
      </c>
    </row>
    <row r="1269" spans="1:11" x14ac:dyDescent="0.25">
      <c r="A1269" t="str">
        <f>"1659"</f>
        <v>1659</v>
      </c>
      <c r="B1269" t="str">
        <f t="shared" si="75"/>
        <v>1</v>
      </c>
      <c r="C1269" t="str">
        <f t="shared" si="76"/>
        <v>68</v>
      </c>
      <c r="D1269" t="str">
        <f>"9"</f>
        <v>9</v>
      </c>
      <c r="E1269" t="str">
        <f>"1-68-9"</f>
        <v>1-68-9</v>
      </c>
      <c r="F1269" t="s">
        <v>15</v>
      </c>
      <c r="G1269" t="s">
        <v>16</v>
      </c>
      <c r="H1269" t="s">
        <v>17</v>
      </c>
      <c r="I1269">
        <v>1</v>
      </c>
      <c r="J1269">
        <v>0</v>
      </c>
      <c r="K1269">
        <v>0</v>
      </c>
    </row>
    <row r="1270" spans="1:11" x14ac:dyDescent="0.25">
      <c r="A1270" t="str">
        <f>"1660"</f>
        <v>1660</v>
      </c>
      <c r="B1270" t="str">
        <f t="shared" si="75"/>
        <v>1</v>
      </c>
      <c r="C1270" t="str">
        <f t="shared" si="76"/>
        <v>68</v>
      </c>
      <c r="D1270" t="str">
        <f>"12"</f>
        <v>12</v>
      </c>
      <c r="E1270" t="str">
        <f>"1-68-12"</f>
        <v>1-68-12</v>
      </c>
      <c r="F1270" t="s">
        <v>15</v>
      </c>
      <c r="G1270" t="s">
        <v>16</v>
      </c>
      <c r="H1270" t="s">
        <v>17</v>
      </c>
      <c r="I1270">
        <v>1</v>
      </c>
      <c r="J1270">
        <v>0</v>
      </c>
      <c r="K1270">
        <v>0</v>
      </c>
    </row>
    <row r="1271" spans="1:11" x14ac:dyDescent="0.25">
      <c r="A1271" t="str">
        <f>"1661"</f>
        <v>1661</v>
      </c>
      <c r="B1271" t="str">
        <f t="shared" si="75"/>
        <v>1</v>
      </c>
      <c r="C1271" t="str">
        <f t="shared" si="76"/>
        <v>68</v>
      </c>
      <c r="D1271" t="str">
        <f>"7"</f>
        <v>7</v>
      </c>
      <c r="E1271" t="str">
        <f>"1-68-7"</f>
        <v>1-68-7</v>
      </c>
      <c r="F1271" t="s">
        <v>15</v>
      </c>
      <c r="G1271" t="s">
        <v>16</v>
      </c>
      <c r="H1271" t="s">
        <v>17</v>
      </c>
      <c r="I1271">
        <v>0</v>
      </c>
      <c r="J1271">
        <v>0</v>
      </c>
      <c r="K1271">
        <v>1</v>
      </c>
    </row>
    <row r="1272" spans="1:11" x14ac:dyDescent="0.25">
      <c r="A1272" t="str">
        <f>"1662"</f>
        <v>1662</v>
      </c>
      <c r="B1272" t="str">
        <f t="shared" si="75"/>
        <v>1</v>
      </c>
      <c r="C1272" t="str">
        <f t="shared" si="76"/>
        <v>68</v>
      </c>
      <c r="D1272" t="str">
        <f>"6"</f>
        <v>6</v>
      </c>
      <c r="E1272" t="str">
        <f>"1-68-6"</f>
        <v>1-68-6</v>
      </c>
      <c r="F1272" t="s">
        <v>15</v>
      </c>
      <c r="G1272" t="s">
        <v>16</v>
      </c>
      <c r="H1272" t="s">
        <v>17</v>
      </c>
      <c r="I1272">
        <v>0</v>
      </c>
      <c r="J1272">
        <v>1</v>
      </c>
      <c r="K1272">
        <v>0</v>
      </c>
    </row>
    <row r="1273" spans="1:11" x14ac:dyDescent="0.25">
      <c r="A1273" t="str">
        <f>"1663"</f>
        <v>1663</v>
      </c>
      <c r="B1273" t="str">
        <f t="shared" si="75"/>
        <v>1</v>
      </c>
      <c r="C1273" t="str">
        <f t="shared" si="76"/>
        <v>68</v>
      </c>
      <c r="D1273" t="str">
        <f>"10"</f>
        <v>10</v>
      </c>
      <c r="E1273" t="str">
        <f>"1-68-10"</f>
        <v>1-68-10</v>
      </c>
      <c r="F1273" t="s">
        <v>15</v>
      </c>
      <c r="G1273" t="s">
        <v>16</v>
      </c>
      <c r="H1273" t="s">
        <v>17</v>
      </c>
      <c r="I1273">
        <v>1</v>
      </c>
      <c r="J1273">
        <v>0</v>
      </c>
      <c r="K1273">
        <v>0</v>
      </c>
    </row>
    <row r="1274" spans="1:11" x14ac:dyDescent="0.25">
      <c r="A1274" t="str">
        <f>"1664"</f>
        <v>1664</v>
      </c>
      <c r="B1274" t="str">
        <f t="shared" si="75"/>
        <v>1</v>
      </c>
      <c r="C1274" t="str">
        <f t="shared" si="76"/>
        <v>68</v>
      </c>
      <c r="D1274" t="str">
        <f>"24"</f>
        <v>24</v>
      </c>
      <c r="E1274" t="str">
        <f>"1-68-24"</f>
        <v>1-68-24</v>
      </c>
      <c r="F1274" t="s">
        <v>15</v>
      </c>
      <c r="G1274" t="s">
        <v>16</v>
      </c>
      <c r="H1274" t="s">
        <v>17</v>
      </c>
      <c r="I1274">
        <v>0</v>
      </c>
      <c r="J1274">
        <v>0</v>
      </c>
      <c r="K1274">
        <v>1</v>
      </c>
    </row>
    <row r="1275" spans="1:11" x14ac:dyDescent="0.25">
      <c r="A1275" t="str">
        <f>"1665"</f>
        <v>1665</v>
      </c>
      <c r="B1275" t="str">
        <f t="shared" si="75"/>
        <v>1</v>
      </c>
      <c r="C1275" t="str">
        <f t="shared" ref="C1275:C1301" si="77">"69"</f>
        <v>69</v>
      </c>
      <c r="D1275" t="str">
        <f>"26"</f>
        <v>26</v>
      </c>
      <c r="E1275" t="str">
        <f>"1-69-26"</f>
        <v>1-69-26</v>
      </c>
      <c r="F1275" t="s">
        <v>15</v>
      </c>
      <c r="G1275" t="s">
        <v>18</v>
      </c>
      <c r="H1275" t="s">
        <v>19</v>
      </c>
      <c r="I1275">
        <v>0</v>
      </c>
      <c r="J1275">
        <v>0</v>
      </c>
      <c r="K1275">
        <v>1</v>
      </c>
    </row>
    <row r="1276" spans="1:11" x14ac:dyDescent="0.25">
      <c r="A1276" t="str">
        <f>"1666"</f>
        <v>1666</v>
      </c>
      <c r="B1276" t="str">
        <f t="shared" si="75"/>
        <v>1</v>
      </c>
      <c r="C1276" t="str">
        <f t="shared" si="77"/>
        <v>69</v>
      </c>
      <c r="D1276" t="str">
        <f>"25"</f>
        <v>25</v>
      </c>
      <c r="E1276" t="str">
        <f>"1-69-25"</f>
        <v>1-69-25</v>
      </c>
      <c r="F1276" t="s">
        <v>15</v>
      </c>
      <c r="G1276" t="s">
        <v>18</v>
      </c>
      <c r="H1276" t="s">
        <v>19</v>
      </c>
      <c r="I1276">
        <v>0</v>
      </c>
      <c r="J1276">
        <v>1</v>
      </c>
      <c r="K1276">
        <v>0</v>
      </c>
    </row>
    <row r="1277" spans="1:11" x14ac:dyDescent="0.25">
      <c r="A1277" t="str">
        <f>"1667"</f>
        <v>1667</v>
      </c>
      <c r="B1277" t="str">
        <f t="shared" si="75"/>
        <v>1</v>
      </c>
      <c r="C1277" t="str">
        <f t="shared" si="77"/>
        <v>69</v>
      </c>
      <c r="D1277" t="str">
        <f>"17"</f>
        <v>17</v>
      </c>
      <c r="E1277" t="str">
        <f>"1-69-17"</f>
        <v>1-69-17</v>
      </c>
      <c r="F1277" t="s">
        <v>15</v>
      </c>
      <c r="G1277" t="s">
        <v>18</v>
      </c>
      <c r="H1277" t="s">
        <v>19</v>
      </c>
      <c r="I1277">
        <v>0</v>
      </c>
      <c r="J1277">
        <v>1</v>
      </c>
      <c r="K1277">
        <v>0</v>
      </c>
    </row>
    <row r="1278" spans="1:11" x14ac:dyDescent="0.25">
      <c r="A1278" t="str">
        <f>"1668"</f>
        <v>1668</v>
      </c>
      <c r="B1278" t="str">
        <f t="shared" si="75"/>
        <v>1</v>
      </c>
      <c r="C1278" t="str">
        <f t="shared" si="77"/>
        <v>69</v>
      </c>
      <c r="D1278" t="str">
        <f>"15"</f>
        <v>15</v>
      </c>
      <c r="E1278" t="str">
        <f>"1-69-15"</f>
        <v>1-69-15</v>
      </c>
      <c r="F1278" t="s">
        <v>15</v>
      </c>
      <c r="G1278" t="s">
        <v>18</v>
      </c>
      <c r="H1278" t="s">
        <v>19</v>
      </c>
      <c r="I1278">
        <v>0</v>
      </c>
      <c r="J1278">
        <v>1</v>
      </c>
      <c r="K1278">
        <v>0</v>
      </c>
    </row>
    <row r="1279" spans="1:11" x14ac:dyDescent="0.25">
      <c r="A1279" t="str">
        <f>"1669"</f>
        <v>1669</v>
      </c>
      <c r="B1279" t="str">
        <f t="shared" si="75"/>
        <v>1</v>
      </c>
      <c r="C1279" t="str">
        <f t="shared" si="77"/>
        <v>69</v>
      </c>
      <c r="D1279" t="str">
        <f>"1"</f>
        <v>1</v>
      </c>
      <c r="E1279" t="str">
        <f>"1-69-1"</f>
        <v>1-69-1</v>
      </c>
      <c r="F1279" t="s">
        <v>15</v>
      </c>
      <c r="G1279" t="s">
        <v>16</v>
      </c>
      <c r="H1279" t="s">
        <v>17</v>
      </c>
      <c r="I1279">
        <v>0</v>
      </c>
      <c r="J1279">
        <v>1</v>
      </c>
      <c r="K1279">
        <v>0</v>
      </c>
    </row>
    <row r="1280" spans="1:11" x14ac:dyDescent="0.25">
      <c r="A1280" t="str">
        <f>"1670"</f>
        <v>1670</v>
      </c>
      <c r="B1280" t="str">
        <f t="shared" si="75"/>
        <v>1</v>
      </c>
      <c r="C1280" t="str">
        <f t="shared" si="77"/>
        <v>69</v>
      </c>
      <c r="D1280" t="str">
        <f>"27"</f>
        <v>27</v>
      </c>
      <c r="E1280" t="str">
        <f>"1-69-27"</f>
        <v>1-69-27</v>
      </c>
      <c r="F1280" t="s">
        <v>15</v>
      </c>
      <c r="G1280" t="s">
        <v>18</v>
      </c>
      <c r="H1280" t="s">
        <v>19</v>
      </c>
      <c r="I1280">
        <v>0</v>
      </c>
      <c r="J1280">
        <v>0</v>
      </c>
      <c r="K1280">
        <v>1</v>
      </c>
    </row>
    <row r="1281" spans="1:11" x14ac:dyDescent="0.25">
      <c r="A1281" t="str">
        <f>"1671"</f>
        <v>1671</v>
      </c>
      <c r="B1281" t="str">
        <f t="shared" si="75"/>
        <v>1</v>
      </c>
      <c r="C1281" t="str">
        <f t="shared" si="77"/>
        <v>69</v>
      </c>
      <c r="D1281" t="str">
        <f>"16"</f>
        <v>16</v>
      </c>
      <c r="E1281" t="str">
        <f>"1-69-16"</f>
        <v>1-69-16</v>
      </c>
      <c r="F1281" t="s">
        <v>15</v>
      </c>
      <c r="G1281" t="s">
        <v>18</v>
      </c>
      <c r="H1281" t="s">
        <v>19</v>
      </c>
      <c r="I1281">
        <v>0</v>
      </c>
      <c r="J1281">
        <v>1</v>
      </c>
      <c r="K1281">
        <v>0</v>
      </c>
    </row>
    <row r="1282" spans="1:11" x14ac:dyDescent="0.25">
      <c r="A1282" t="str">
        <f>"1672"</f>
        <v>1672</v>
      </c>
      <c r="B1282" t="str">
        <f t="shared" si="75"/>
        <v>1</v>
      </c>
      <c r="C1282" t="str">
        <f t="shared" si="77"/>
        <v>69</v>
      </c>
      <c r="D1282" t="str">
        <f>"4"</f>
        <v>4</v>
      </c>
      <c r="E1282" t="str">
        <f>"1-69-4"</f>
        <v>1-69-4</v>
      </c>
      <c r="F1282" t="s">
        <v>15</v>
      </c>
      <c r="G1282" t="s">
        <v>16</v>
      </c>
      <c r="H1282" t="s">
        <v>17</v>
      </c>
      <c r="I1282">
        <v>0</v>
      </c>
      <c r="J1282">
        <v>1</v>
      </c>
      <c r="K1282">
        <v>0</v>
      </c>
    </row>
    <row r="1283" spans="1:11" x14ac:dyDescent="0.25">
      <c r="A1283" t="str">
        <f>"1673"</f>
        <v>1673</v>
      </c>
      <c r="B1283" t="str">
        <f t="shared" si="75"/>
        <v>1</v>
      </c>
      <c r="C1283" t="str">
        <f t="shared" si="77"/>
        <v>69</v>
      </c>
      <c r="D1283" t="str">
        <f>"18"</f>
        <v>18</v>
      </c>
      <c r="E1283" t="str">
        <f>"1-69-18"</f>
        <v>1-69-18</v>
      </c>
      <c r="F1283" t="s">
        <v>15</v>
      </c>
      <c r="G1283" t="s">
        <v>18</v>
      </c>
      <c r="H1283" t="s">
        <v>19</v>
      </c>
      <c r="I1283">
        <v>0</v>
      </c>
      <c r="J1283">
        <v>1</v>
      </c>
      <c r="K1283">
        <v>0</v>
      </c>
    </row>
    <row r="1284" spans="1:11" x14ac:dyDescent="0.25">
      <c r="A1284" t="str">
        <f>"1674"</f>
        <v>1674</v>
      </c>
      <c r="B1284" t="str">
        <f t="shared" si="75"/>
        <v>1</v>
      </c>
      <c r="C1284" t="str">
        <f t="shared" si="77"/>
        <v>69</v>
      </c>
      <c r="D1284" t="str">
        <f>"13"</f>
        <v>13</v>
      </c>
      <c r="E1284" t="str">
        <f>"1-69-13"</f>
        <v>1-69-13</v>
      </c>
      <c r="F1284" t="s">
        <v>15</v>
      </c>
      <c r="G1284" t="s">
        <v>20</v>
      </c>
      <c r="H1284" t="s">
        <v>21</v>
      </c>
      <c r="I1284">
        <v>0</v>
      </c>
      <c r="J1284">
        <v>1</v>
      </c>
      <c r="K1284">
        <v>0</v>
      </c>
    </row>
    <row r="1285" spans="1:11" x14ac:dyDescent="0.25">
      <c r="A1285" t="str">
        <f>"1675"</f>
        <v>1675</v>
      </c>
      <c r="B1285" t="str">
        <f t="shared" si="75"/>
        <v>1</v>
      </c>
      <c r="C1285" t="str">
        <f t="shared" si="77"/>
        <v>69</v>
      </c>
      <c r="D1285" t="str">
        <f>"19"</f>
        <v>19</v>
      </c>
      <c r="E1285" t="str">
        <f>"1-69-19"</f>
        <v>1-69-19</v>
      </c>
      <c r="F1285" t="s">
        <v>15</v>
      </c>
      <c r="G1285" t="s">
        <v>16</v>
      </c>
      <c r="H1285" t="s">
        <v>17</v>
      </c>
      <c r="I1285">
        <v>1</v>
      </c>
      <c r="J1285">
        <v>0</v>
      </c>
      <c r="K1285">
        <v>0</v>
      </c>
    </row>
    <row r="1286" spans="1:11" x14ac:dyDescent="0.25">
      <c r="A1286" t="str">
        <f>"1676"</f>
        <v>1676</v>
      </c>
      <c r="B1286" t="str">
        <f t="shared" si="75"/>
        <v>1</v>
      </c>
      <c r="C1286" t="str">
        <f t="shared" si="77"/>
        <v>69</v>
      </c>
      <c r="D1286" t="str">
        <f>"8"</f>
        <v>8</v>
      </c>
      <c r="E1286" t="str">
        <f>"1-69-8"</f>
        <v>1-69-8</v>
      </c>
      <c r="F1286" t="s">
        <v>15</v>
      </c>
      <c r="G1286" t="s">
        <v>16</v>
      </c>
      <c r="H1286" t="s">
        <v>17</v>
      </c>
      <c r="I1286">
        <v>0</v>
      </c>
      <c r="J1286">
        <v>0</v>
      </c>
      <c r="K1286">
        <v>1</v>
      </c>
    </row>
    <row r="1287" spans="1:11" x14ac:dyDescent="0.25">
      <c r="A1287" t="str">
        <f>"1677"</f>
        <v>1677</v>
      </c>
      <c r="B1287" t="str">
        <f t="shared" si="75"/>
        <v>1</v>
      </c>
      <c r="C1287" t="str">
        <f t="shared" si="77"/>
        <v>69</v>
      </c>
      <c r="D1287" t="str">
        <f>"14"</f>
        <v>14</v>
      </c>
      <c r="E1287" t="str">
        <f>"1-69-14"</f>
        <v>1-69-14</v>
      </c>
      <c r="F1287" t="s">
        <v>15</v>
      </c>
      <c r="G1287" t="s">
        <v>18</v>
      </c>
      <c r="H1287" t="s">
        <v>19</v>
      </c>
      <c r="I1287">
        <v>0</v>
      </c>
      <c r="J1287">
        <v>1</v>
      </c>
      <c r="K1287">
        <v>0</v>
      </c>
    </row>
    <row r="1288" spans="1:11" x14ac:dyDescent="0.25">
      <c r="A1288" t="str">
        <f>"1678"</f>
        <v>1678</v>
      </c>
      <c r="B1288" t="str">
        <f t="shared" si="75"/>
        <v>1</v>
      </c>
      <c r="C1288" t="str">
        <f t="shared" si="77"/>
        <v>69</v>
      </c>
      <c r="D1288" t="str">
        <f>"21"</f>
        <v>21</v>
      </c>
      <c r="E1288" t="str">
        <f>"1-69-21"</f>
        <v>1-69-21</v>
      </c>
      <c r="F1288" t="s">
        <v>15</v>
      </c>
      <c r="G1288" t="s">
        <v>18</v>
      </c>
      <c r="H1288" t="s">
        <v>19</v>
      </c>
      <c r="I1288">
        <v>1</v>
      </c>
      <c r="J1288">
        <v>0</v>
      </c>
      <c r="K1288">
        <v>0</v>
      </c>
    </row>
    <row r="1289" spans="1:11" x14ac:dyDescent="0.25">
      <c r="A1289" t="str">
        <f>"1679"</f>
        <v>1679</v>
      </c>
      <c r="B1289" t="str">
        <f t="shared" si="75"/>
        <v>1</v>
      </c>
      <c r="C1289" t="str">
        <f t="shared" si="77"/>
        <v>69</v>
      </c>
      <c r="D1289" t="str">
        <f>"5"</f>
        <v>5</v>
      </c>
      <c r="E1289" t="str">
        <f>"1-69-5"</f>
        <v>1-69-5</v>
      </c>
      <c r="F1289" t="s">
        <v>15</v>
      </c>
      <c r="G1289" t="s">
        <v>16</v>
      </c>
      <c r="H1289" t="s">
        <v>17</v>
      </c>
      <c r="I1289">
        <v>0</v>
      </c>
      <c r="J1289">
        <v>0</v>
      </c>
      <c r="K1289">
        <v>1</v>
      </c>
    </row>
    <row r="1290" spans="1:11" x14ac:dyDescent="0.25">
      <c r="A1290" t="str">
        <f>"1680"</f>
        <v>1680</v>
      </c>
      <c r="B1290" t="str">
        <f t="shared" si="75"/>
        <v>1</v>
      </c>
      <c r="C1290" t="str">
        <f t="shared" si="77"/>
        <v>69</v>
      </c>
      <c r="D1290" t="str">
        <f>"11"</f>
        <v>11</v>
      </c>
      <c r="E1290" t="str">
        <f>"1-69-11"</f>
        <v>1-69-11</v>
      </c>
      <c r="F1290" t="s">
        <v>15</v>
      </c>
      <c r="G1290" t="s">
        <v>20</v>
      </c>
      <c r="H1290" t="s">
        <v>21</v>
      </c>
      <c r="I1290">
        <v>0</v>
      </c>
      <c r="J1290">
        <v>0</v>
      </c>
      <c r="K1290">
        <v>1</v>
      </c>
    </row>
    <row r="1291" spans="1:11" x14ac:dyDescent="0.25">
      <c r="A1291" t="str">
        <f>"1681"</f>
        <v>1681</v>
      </c>
      <c r="B1291" t="str">
        <f t="shared" si="75"/>
        <v>1</v>
      </c>
      <c r="C1291" t="str">
        <f t="shared" si="77"/>
        <v>69</v>
      </c>
      <c r="D1291" t="str">
        <f>"23"</f>
        <v>23</v>
      </c>
      <c r="E1291" t="str">
        <f>"1-69-23"</f>
        <v>1-69-23</v>
      </c>
      <c r="F1291" t="s">
        <v>15</v>
      </c>
      <c r="G1291" t="s">
        <v>16</v>
      </c>
      <c r="H1291" t="s">
        <v>17</v>
      </c>
      <c r="I1291">
        <v>1</v>
      </c>
      <c r="J1291">
        <v>0</v>
      </c>
      <c r="K1291">
        <v>0</v>
      </c>
    </row>
    <row r="1292" spans="1:11" x14ac:dyDescent="0.25">
      <c r="A1292" t="str">
        <f>"1682"</f>
        <v>1682</v>
      </c>
      <c r="B1292" t="str">
        <f t="shared" si="75"/>
        <v>1</v>
      </c>
      <c r="C1292" t="str">
        <f t="shared" si="77"/>
        <v>69</v>
      </c>
      <c r="D1292" t="str">
        <f>"24"</f>
        <v>24</v>
      </c>
      <c r="E1292" t="str">
        <f>"1-69-24"</f>
        <v>1-69-24</v>
      </c>
      <c r="F1292" t="s">
        <v>15</v>
      </c>
      <c r="G1292" t="s">
        <v>18</v>
      </c>
      <c r="H1292" t="s">
        <v>19</v>
      </c>
      <c r="I1292">
        <v>0</v>
      </c>
      <c r="J1292">
        <v>0</v>
      </c>
      <c r="K1292">
        <v>1</v>
      </c>
    </row>
    <row r="1293" spans="1:11" x14ac:dyDescent="0.25">
      <c r="A1293" t="str">
        <f>"1683"</f>
        <v>1683</v>
      </c>
      <c r="B1293" t="str">
        <f t="shared" si="75"/>
        <v>1</v>
      </c>
      <c r="C1293" t="str">
        <f t="shared" si="77"/>
        <v>69</v>
      </c>
      <c r="D1293" t="str">
        <f>"10"</f>
        <v>10</v>
      </c>
      <c r="E1293" t="str">
        <f>"1-69-10"</f>
        <v>1-69-10</v>
      </c>
      <c r="F1293" t="s">
        <v>15</v>
      </c>
      <c r="G1293" t="s">
        <v>20</v>
      </c>
      <c r="H1293" t="s">
        <v>21</v>
      </c>
      <c r="I1293">
        <v>0</v>
      </c>
      <c r="J1293">
        <v>1</v>
      </c>
      <c r="K1293">
        <v>0</v>
      </c>
    </row>
    <row r="1294" spans="1:11" x14ac:dyDescent="0.25">
      <c r="A1294" t="str">
        <f>"1684"</f>
        <v>1684</v>
      </c>
      <c r="B1294" t="str">
        <f t="shared" si="75"/>
        <v>1</v>
      </c>
      <c r="C1294" t="str">
        <f t="shared" si="77"/>
        <v>69</v>
      </c>
      <c r="D1294" t="str">
        <f>"6"</f>
        <v>6</v>
      </c>
      <c r="E1294" t="str">
        <f>"1-69-6"</f>
        <v>1-69-6</v>
      </c>
      <c r="F1294" t="s">
        <v>15</v>
      </c>
      <c r="G1294" t="s">
        <v>20</v>
      </c>
      <c r="H1294" t="s">
        <v>21</v>
      </c>
      <c r="I1294">
        <v>0</v>
      </c>
      <c r="J1294">
        <v>1</v>
      </c>
      <c r="K1294">
        <v>0</v>
      </c>
    </row>
    <row r="1295" spans="1:11" x14ac:dyDescent="0.25">
      <c r="A1295" t="str">
        <f>"1685"</f>
        <v>1685</v>
      </c>
      <c r="B1295" t="str">
        <f t="shared" si="75"/>
        <v>1</v>
      </c>
      <c r="C1295" t="str">
        <f t="shared" si="77"/>
        <v>69</v>
      </c>
      <c r="D1295" t="str">
        <f>"7"</f>
        <v>7</v>
      </c>
      <c r="E1295" t="str">
        <f>"1-69-7"</f>
        <v>1-69-7</v>
      </c>
      <c r="F1295" t="s">
        <v>15</v>
      </c>
      <c r="G1295" t="s">
        <v>20</v>
      </c>
      <c r="H1295" t="s">
        <v>21</v>
      </c>
      <c r="I1295">
        <v>0</v>
      </c>
      <c r="J1295">
        <v>1</v>
      </c>
      <c r="K1295">
        <v>0</v>
      </c>
    </row>
    <row r="1296" spans="1:11" x14ac:dyDescent="0.25">
      <c r="A1296" t="str">
        <f>"1686"</f>
        <v>1686</v>
      </c>
      <c r="B1296" t="str">
        <f t="shared" si="75"/>
        <v>1</v>
      </c>
      <c r="C1296" t="str">
        <f t="shared" si="77"/>
        <v>69</v>
      </c>
      <c r="D1296" t="str">
        <f>"9"</f>
        <v>9</v>
      </c>
      <c r="E1296" t="str">
        <f>"1-69-9"</f>
        <v>1-69-9</v>
      </c>
      <c r="F1296" t="s">
        <v>15</v>
      </c>
      <c r="G1296" t="s">
        <v>16</v>
      </c>
      <c r="H1296" t="s">
        <v>17</v>
      </c>
      <c r="I1296">
        <v>1</v>
      </c>
      <c r="J1296">
        <v>0</v>
      </c>
      <c r="K1296">
        <v>0</v>
      </c>
    </row>
    <row r="1297" spans="1:11" x14ac:dyDescent="0.25">
      <c r="A1297" t="str">
        <f>"1687"</f>
        <v>1687</v>
      </c>
      <c r="B1297" t="str">
        <f t="shared" si="75"/>
        <v>1</v>
      </c>
      <c r="C1297" t="str">
        <f t="shared" si="77"/>
        <v>69</v>
      </c>
      <c r="D1297" t="str">
        <f>"12"</f>
        <v>12</v>
      </c>
      <c r="E1297" t="str">
        <f>"1-69-12"</f>
        <v>1-69-12</v>
      </c>
      <c r="F1297" t="s">
        <v>15</v>
      </c>
      <c r="G1297" t="s">
        <v>16</v>
      </c>
      <c r="H1297" t="s">
        <v>17</v>
      </c>
      <c r="I1297">
        <v>0</v>
      </c>
      <c r="J1297">
        <v>0</v>
      </c>
      <c r="K1297">
        <v>1</v>
      </c>
    </row>
    <row r="1298" spans="1:11" x14ac:dyDescent="0.25">
      <c r="A1298" t="str">
        <f>"1688"</f>
        <v>1688</v>
      </c>
      <c r="B1298" t="str">
        <f t="shared" si="75"/>
        <v>1</v>
      </c>
      <c r="C1298" t="str">
        <f t="shared" si="77"/>
        <v>69</v>
      </c>
      <c r="D1298" t="str">
        <f>"2"</f>
        <v>2</v>
      </c>
      <c r="E1298" t="str">
        <f>"1-69-2"</f>
        <v>1-69-2</v>
      </c>
      <c r="F1298" t="s">
        <v>15</v>
      </c>
      <c r="G1298" t="s">
        <v>18</v>
      </c>
      <c r="H1298" t="s">
        <v>19</v>
      </c>
      <c r="I1298">
        <v>0</v>
      </c>
      <c r="J1298">
        <v>1</v>
      </c>
      <c r="K1298">
        <v>0</v>
      </c>
    </row>
    <row r="1299" spans="1:11" x14ac:dyDescent="0.25">
      <c r="A1299" t="str">
        <f>"1689"</f>
        <v>1689</v>
      </c>
      <c r="B1299" t="str">
        <f t="shared" si="75"/>
        <v>1</v>
      </c>
      <c r="C1299" t="str">
        <f t="shared" si="77"/>
        <v>69</v>
      </c>
      <c r="D1299" t="str">
        <f>"3"</f>
        <v>3</v>
      </c>
      <c r="E1299" t="str">
        <f>"1-69-3"</f>
        <v>1-69-3</v>
      </c>
      <c r="F1299" t="s">
        <v>15</v>
      </c>
      <c r="G1299" t="s">
        <v>18</v>
      </c>
      <c r="H1299" t="s">
        <v>19</v>
      </c>
      <c r="I1299">
        <v>0</v>
      </c>
      <c r="J1299">
        <v>0</v>
      </c>
      <c r="K1299">
        <v>0</v>
      </c>
    </row>
    <row r="1300" spans="1:11" x14ac:dyDescent="0.25">
      <c r="A1300" t="str">
        <f>"1690"</f>
        <v>1690</v>
      </c>
      <c r="B1300" t="str">
        <f t="shared" ref="B1300:B1363" si="78">"1"</f>
        <v>1</v>
      </c>
      <c r="C1300" t="str">
        <f t="shared" si="77"/>
        <v>69</v>
      </c>
      <c r="D1300" t="str">
        <f>"20"</f>
        <v>20</v>
      </c>
      <c r="E1300" t="str">
        <f>"1-69-20"</f>
        <v>1-69-20</v>
      </c>
      <c r="F1300" t="s">
        <v>15</v>
      </c>
      <c r="G1300" t="s">
        <v>20</v>
      </c>
      <c r="H1300" t="s">
        <v>21</v>
      </c>
      <c r="I1300">
        <v>0</v>
      </c>
      <c r="J1300">
        <v>0</v>
      </c>
      <c r="K1300">
        <v>0</v>
      </c>
    </row>
    <row r="1301" spans="1:11" x14ac:dyDescent="0.25">
      <c r="A1301" t="str">
        <f>"1691"</f>
        <v>1691</v>
      </c>
      <c r="B1301" t="str">
        <f t="shared" si="78"/>
        <v>1</v>
      </c>
      <c r="C1301" t="str">
        <f t="shared" si="77"/>
        <v>69</v>
      </c>
      <c r="D1301" t="str">
        <f>"22"</f>
        <v>22</v>
      </c>
      <c r="E1301" t="str">
        <f>"1-69-22"</f>
        <v>1-69-22</v>
      </c>
      <c r="F1301" t="s">
        <v>15</v>
      </c>
      <c r="G1301" t="s">
        <v>18</v>
      </c>
      <c r="H1301" t="s">
        <v>19</v>
      </c>
      <c r="I1301">
        <v>0</v>
      </c>
      <c r="J1301">
        <v>0</v>
      </c>
      <c r="K1301">
        <v>0</v>
      </c>
    </row>
    <row r="1302" spans="1:11" x14ac:dyDescent="0.25">
      <c r="A1302" t="str">
        <f>"1692"</f>
        <v>1692</v>
      </c>
      <c r="B1302" t="str">
        <f t="shared" si="78"/>
        <v>1</v>
      </c>
      <c r="C1302" t="str">
        <f t="shared" ref="C1302:C1326" si="79">"70"</f>
        <v>70</v>
      </c>
      <c r="D1302" t="str">
        <f>"15"</f>
        <v>15</v>
      </c>
      <c r="E1302" t="str">
        <f>"1-70-15"</f>
        <v>1-70-15</v>
      </c>
      <c r="F1302" t="s">
        <v>15</v>
      </c>
      <c r="G1302" t="s">
        <v>20</v>
      </c>
      <c r="H1302" t="s">
        <v>21</v>
      </c>
      <c r="I1302">
        <v>0</v>
      </c>
      <c r="J1302">
        <v>0</v>
      </c>
      <c r="K1302">
        <v>1</v>
      </c>
    </row>
    <row r="1303" spans="1:11" x14ac:dyDescent="0.25">
      <c r="A1303" t="str">
        <f>"1693"</f>
        <v>1693</v>
      </c>
      <c r="B1303" t="str">
        <f t="shared" si="78"/>
        <v>1</v>
      </c>
      <c r="C1303" t="str">
        <f t="shared" si="79"/>
        <v>70</v>
      </c>
      <c r="D1303" t="str">
        <f>"4"</f>
        <v>4</v>
      </c>
      <c r="E1303" t="str">
        <f>"1-70-4"</f>
        <v>1-70-4</v>
      </c>
      <c r="F1303" t="s">
        <v>15</v>
      </c>
      <c r="G1303" t="s">
        <v>20</v>
      </c>
      <c r="H1303" t="s">
        <v>21</v>
      </c>
      <c r="I1303">
        <v>0</v>
      </c>
      <c r="J1303">
        <v>0</v>
      </c>
      <c r="K1303">
        <v>1</v>
      </c>
    </row>
    <row r="1304" spans="1:11" x14ac:dyDescent="0.25">
      <c r="A1304" t="str">
        <f>"1694"</f>
        <v>1694</v>
      </c>
      <c r="B1304" t="str">
        <f t="shared" si="78"/>
        <v>1</v>
      </c>
      <c r="C1304" t="str">
        <f t="shared" si="79"/>
        <v>70</v>
      </c>
      <c r="D1304" t="str">
        <f>"21"</f>
        <v>21</v>
      </c>
      <c r="E1304" t="str">
        <f>"1-70-21"</f>
        <v>1-70-21</v>
      </c>
      <c r="F1304" t="s">
        <v>15</v>
      </c>
      <c r="G1304" t="s">
        <v>20</v>
      </c>
      <c r="H1304" t="s">
        <v>21</v>
      </c>
      <c r="I1304">
        <v>1</v>
      </c>
      <c r="J1304">
        <v>0</v>
      </c>
      <c r="K1304">
        <v>0</v>
      </c>
    </row>
    <row r="1305" spans="1:11" x14ac:dyDescent="0.25">
      <c r="A1305" t="str">
        <f>"1695"</f>
        <v>1695</v>
      </c>
      <c r="B1305" t="str">
        <f t="shared" si="78"/>
        <v>1</v>
      </c>
      <c r="C1305" t="str">
        <f t="shared" si="79"/>
        <v>70</v>
      </c>
      <c r="D1305" t="str">
        <f>"16"</f>
        <v>16</v>
      </c>
      <c r="E1305" t="str">
        <f>"1-70-16"</f>
        <v>1-70-16</v>
      </c>
      <c r="F1305" t="s">
        <v>15</v>
      </c>
      <c r="G1305" t="s">
        <v>20</v>
      </c>
      <c r="H1305" t="s">
        <v>21</v>
      </c>
      <c r="I1305">
        <v>0</v>
      </c>
      <c r="J1305">
        <v>0</v>
      </c>
      <c r="K1305">
        <v>1</v>
      </c>
    </row>
    <row r="1306" spans="1:11" x14ac:dyDescent="0.25">
      <c r="A1306" t="str">
        <f>"1696"</f>
        <v>1696</v>
      </c>
      <c r="B1306" t="str">
        <f t="shared" si="78"/>
        <v>1</v>
      </c>
      <c r="C1306" t="str">
        <f t="shared" si="79"/>
        <v>70</v>
      </c>
      <c r="D1306" t="str">
        <f>"5"</f>
        <v>5</v>
      </c>
      <c r="E1306" t="str">
        <f>"1-70-5"</f>
        <v>1-70-5</v>
      </c>
      <c r="F1306" t="s">
        <v>15</v>
      </c>
      <c r="G1306" t="s">
        <v>20</v>
      </c>
      <c r="H1306" t="s">
        <v>21</v>
      </c>
      <c r="I1306">
        <v>0</v>
      </c>
      <c r="J1306">
        <v>0</v>
      </c>
      <c r="K1306">
        <v>1</v>
      </c>
    </row>
    <row r="1307" spans="1:11" x14ac:dyDescent="0.25">
      <c r="A1307" t="str">
        <f>"1697"</f>
        <v>1697</v>
      </c>
      <c r="B1307" t="str">
        <f t="shared" si="78"/>
        <v>1</v>
      </c>
      <c r="C1307" t="str">
        <f t="shared" si="79"/>
        <v>70</v>
      </c>
      <c r="D1307" t="str">
        <f>"17"</f>
        <v>17</v>
      </c>
      <c r="E1307" t="str">
        <f>"1-70-17"</f>
        <v>1-70-17</v>
      </c>
      <c r="F1307" t="s">
        <v>15</v>
      </c>
      <c r="G1307" t="s">
        <v>20</v>
      </c>
      <c r="H1307" t="s">
        <v>21</v>
      </c>
      <c r="I1307">
        <v>0</v>
      </c>
      <c r="J1307">
        <v>0</v>
      </c>
      <c r="K1307">
        <v>1</v>
      </c>
    </row>
    <row r="1308" spans="1:11" x14ac:dyDescent="0.25">
      <c r="A1308" t="str">
        <f>"1698"</f>
        <v>1698</v>
      </c>
      <c r="B1308" t="str">
        <f t="shared" si="78"/>
        <v>1</v>
      </c>
      <c r="C1308" t="str">
        <f t="shared" si="79"/>
        <v>70</v>
      </c>
      <c r="D1308" t="str">
        <f>"18"</f>
        <v>18</v>
      </c>
      <c r="E1308" t="str">
        <f>"1-70-18"</f>
        <v>1-70-18</v>
      </c>
      <c r="F1308" t="s">
        <v>15</v>
      </c>
      <c r="G1308" t="s">
        <v>20</v>
      </c>
      <c r="H1308" t="s">
        <v>21</v>
      </c>
      <c r="I1308">
        <v>1</v>
      </c>
      <c r="J1308">
        <v>0</v>
      </c>
      <c r="K1308">
        <v>0</v>
      </c>
    </row>
    <row r="1309" spans="1:11" x14ac:dyDescent="0.25">
      <c r="A1309" t="str">
        <f>"1699"</f>
        <v>1699</v>
      </c>
      <c r="B1309" t="str">
        <f t="shared" si="78"/>
        <v>1</v>
      </c>
      <c r="C1309" t="str">
        <f t="shared" si="79"/>
        <v>70</v>
      </c>
      <c r="D1309" t="str">
        <f>"9"</f>
        <v>9</v>
      </c>
      <c r="E1309" t="str">
        <f>"1-70-9"</f>
        <v>1-70-9</v>
      </c>
      <c r="F1309" t="s">
        <v>15</v>
      </c>
      <c r="G1309" t="s">
        <v>20</v>
      </c>
      <c r="H1309" t="s">
        <v>21</v>
      </c>
      <c r="I1309">
        <v>0</v>
      </c>
      <c r="J1309">
        <v>0</v>
      </c>
      <c r="K1309">
        <v>1</v>
      </c>
    </row>
    <row r="1310" spans="1:11" x14ac:dyDescent="0.25">
      <c r="A1310" t="str">
        <f>"1700"</f>
        <v>1700</v>
      </c>
      <c r="B1310" t="str">
        <f t="shared" si="78"/>
        <v>1</v>
      </c>
      <c r="C1310" t="str">
        <f t="shared" si="79"/>
        <v>70</v>
      </c>
      <c r="D1310" t="str">
        <f>"19"</f>
        <v>19</v>
      </c>
      <c r="E1310" t="str">
        <f>"1-70-19"</f>
        <v>1-70-19</v>
      </c>
      <c r="F1310" t="s">
        <v>15</v>
      </c>
      <c r="G1310" t="s">
        <v>20</v>
      </c>
      <c r="H1310" t="s">
        <v>21</v>
      </c>
      <c r="I1310">
        <v>0</v>
      </c>
      <c r="J1310">
        <v>0</v>
      </c>
      <c r="K1310">
        <v>1</v>
      </c>
    </row>
    <row r="1311" spans="1:11" x14ac:dyDescent="0.25">
      <c r="A1311" t="str">
        <f>"1701"</f>
        <v>1701</v>
      </c>
      <c r="B1311" t="str">
        <f t="shared" si="78"/>
        <v>1</v>
      </c>
      <c r="C1311" t="str">
        <f t="shared" si="79"/>
        <v>70</v>
      </c>
      <c r="D1311" t="str">
        <f>"2"</f>
        <v>2</v>
      </c>
      <c r="E1311" t="str">
        <f>"1-70-2"</f>
        <v>1-70-2</v>
      </c>
      <c r="F1311" t="s">
        <v>15</v>
      </c>
      <c r="G1311" t="s">
        <v>20</v>
      </c>
      <c r="H1311" t="s">
        <v>21</v>
      </c>
      <c r="I1311">
        <v>1</v>
      </c>
      <c r="J1311">
        <v>0</v>
      </c>
      <c r="K1311">
        <v>0</v>
      </c>
    </row>
    <row r="1312" spans="1:11" x14ac:dyDescent="0.25">
      <c r="A1312" t="str">
        <f>"1702"</f>
        <v>1702</v>
      </c>
      <c r="B1312" t="str">
        <f t="shared" si="78"/>
        <v>1</v>
      </c>
      <c r="C1312" t="str">
        <f t="shared" si="79"/>
        <v>70</v>
      </c>
      <c r="D1312" t="str">
        <f>"20"</f>
        <v>20</v>
      </c>
      <c r="E1312" t="str">
        <f>"1-70-20"</f>
        <v>1-70-20</v>
      </c>
      <c r="F1312" t="s">
        <v>15</v>
      </c>
      <c r="G1312" t="s">
        <v>20</v>
      </c>
      <c r="H1312" t="s">
        <v>21</v>
      </c>
      <c r="I1312">
        <v>1</v>
      </c>
      <c r="J1312">
        <v>0</v>
      </c>
      <c r="K1312">
        <v>0</v>
      </c>
    </row>
    <row r="1313" spans="1:11" x14ac:dyDescent="0.25">
      <c r="A1313" t="str">
        <f>"1703"</f>
        <v>1703</v>
      </c>
      <c r="B1313" t="str">
        <f t="shared" si="78"/>
        <v>1</v>
      </c>
      <c r="C1313" t="str">
        <f t="shared" si="79"/>
        <v>70</v>
      </c>
      <c r="D1313" t="str">
        <f>"12"</f>
        <v>12</v>
      </c>
      <c r="E1313" t="str">
        <f>"1-70-12"</f>
        <v>1-70-12</v>
      </c>
      <c r="F1313" t="s">
        <v>15</v>
      </c>
      <c r="G1313" t="s">
        <v>20</v>
      </c>
      <c r="H1313" t="s">
        <v>21</v>
      </c>
      <c r="I1313">
        <v>0</v>
      </c>
      <c r="J1313">
        <v>0</v>
      </c>
      <c r="K1313">
        <v>1</v>
      </c>
    </row>
    <row r="1314" spans="1:11" x14ac:dyDescent="0.25">
      <c r="A1314" t="str">
        <f>"1704"</f>
        <v>1704</v>
      </c>
      <c r="B1314" t="str">
        <f t="shared" si="78"/>
        <v>1</v>
      </c>
      <c r="C1314" t="str">
        <f t="shared" si="79"/>
        <v>70</v>
      </c>
      <c r="D1314" t="str">
        <f>"22"</f>
        <v>22</v>
      </c>
      <c r="E1314" t="str">
        <f>"1-70-22"</f>
        <v>1-70-22</v>
      </c>
      <c r="F1314" t="s">
        <v>15</v>
      </c>
      <c r="G1314" t="s">
        <v>16</v>
      </c>
      <c r="H1314" t="s">
        <v>17</v>
      </c>
      <c r="I1314">
        <v>0</v>
      </c>
      <c r="J1314">
        <v>0</v>
      </c>
      <c r="K1314">
        <v>1</v>
      </c>
    </row>
    <row r="1315" spans="1:11" x14ac:dyDescent="0.25">
      <c r="A1315" t="str">
        <f>"1705"</f>
        <v>1705</v>
      </c>
      <c r="B1315" t="str">
        <f t="shared" si="78"/>
        <v>1</v>
      </c>
      <c r="C1315" t="str">
        <f t="shared" si="79"/>
        <v>70</v>
      </c>
      <c r="D1315" t="str">
        <f>"13"</f>
        <v>13</v>
      </c>
      <c r="E1315" t="str">
        <f>"1-70-13"</f>
        <v>1-70-13</v>
      </c>
      <c r="F1315" t="s">
        <v>15</v>
      </c>
      <c r="G1315" t="s">
        <v>20</v>
      </c>
      <c r="H1315" t="s">
        <v>21</v>
      </c>
      <c r="I1315">
        <v>0</v>
      </c>
      <c r="J1315">
        <v>0</v>
      </c>
      <c r="K1315">
        <v>1</v>
      </c>
    </row>
    <row r="1316" spans="1:11" x14ac:dyDescent="0.25">
      <c r="A1316" t="str">
        <f>"1706"</f>
        <v>1706</v>
      </c>
      <c r="B1316" t="str">
        <f t="shared" si="78"/>
        <v>1</v>
      </c>
      <c r="C1316" t="str">
        <f t="shared" si="79"/>
        <v>70</v>
      </c>
      <c r="D1316" t="str">
        <f>"3"</f>
        <v>3</v>
      </c>
      <c r="E1316" t="str">
        <f>"1-70-3"</f>
        <v>1-70-3</v>
      </c>
      <c r="F1316" t="s">
        <v>15</v>
      </c>
      <c r="G1316" t="s">
        <v>20</v>
      </c>
      <c r="H1316" t="s">
        <v>21</v>
      </c>
      <c r="I1316">
        <v>0</v>
      </c>
      <c r="J1316">
        <v>1</v>
      </c>
      <c r="K1316">
        <v>0</v>
      </c>
    </row>
    <row r="1317" spans="1:11" x14ac:dyDescent="0.25">
      <c r="A1317" t="str">
        <f>"1707"</f>
        <v>1707</v>
      </c>
      <c r="B1317" t="str">
        <f t="shared" si="78"/>
        <v>1</v>
      </c>
      <c r="C1317" t="str">
        <f t="shared" si="79"/>
        <v>70</v>
      </c>
      <c r="D1317" t="str">
        <f>"24"</f>
        <v>24</v>
      </c>
      <c r="E1317" t="str">
        <f>"1-70-24"</f>
        <v>1-70-24</v>
      </c>
      <c r="F1317" t="s">
        <v>15</v>
      </c>
      <c r="G1317" t="s">
        <v>20</v>
      </c>
      <c r="H1317" t="s">
        <v>21</v>
      </c>
      <c r="I1317">
        <v>0</v>
      </c>
      <c r="J1317">
        <v>0</v>
      </c>
      <c r="K1317">
        <v>1</v>
      </c>
    </row>
    <row r="1318" spans="1:11" x14ac:dyDescent="0.25">
      <c r="A1318" t="str">
        <f>"1708"</f>
        <v>1708</v>
      </c>
      <c r="B1318" t="str">
        <f t="shared" si="78"/>
        <v>1</v>
      </c>
      <c r="C1318" t="str">
        <f t="shared" si="79"/>
        <v>70</v>
      </c>
      <c r="D1318" t="str">
        <f>"7"</f>
        <v>7</v>
      </c>
      <c r="E1318" t="str">
        <f>"1-70-7"</f>
        <v>1-70-7</v>
      </c>
      <c r="F1318" t="s">
        <v>15</v>
      </c>
      <c r="G1318" t="s">
        <v>20</v>
      </c>
      <c r="H1318" t="s">
        <v>21</v>
      </c>
      <c r="I1318">
        <v>0</v>
      </c>
      <c r="J1318">
        <v>1</v>
      </c>
      <c r="K1318">
        <v>0</v>
      </c>
    </row>
    <row r="1319" spans="1:11" x14ac:dyDescent="0.25">
      <c r="A1319" t="str">
        <f>"1709"</f>
        <v>1709</v>
      </c>
      <c r="B1319" t="str">
        <f t="shared" si="78"/>
        <v>1</v>
      </c>
      <c r="C1319" t="str">
        <f t="shared" si="79"/>
        <v>70</v>
      </c>
      <c r="D1319" t="str">
        <f>"25"</f>
        <v>25</v>
      </c>
      <c r="E1319" t="str">
        <f>"1-70-25"</f>
        <v>1-70-25</v>
      </c>
      <c r="F1319" t="s">
        <v>15</v>
      </c>
      <c r="G1319" t="s">
        <v>16</v>
      </c>
      <c r="H1319" t="s">
        <v>17</v>
      </c>
      <c r="I1319">
        <v>0</v>
      </c>
      <c r="J1319">
        <v>0</v>
      </c>
      <c r="K1319">
        <v>1</v>
      </c>
    </row>
    <row r="1320" spans="1:11" x14ac:dyDescent="0.25">
      <c r="A1320" t="str">
        <f>"1710"</f>
        <v>1710</v>
      </c>
      <c r="B1320" t="str">
        <f t="shared" si="78"/>
        <v>1</v>
      </c>
      <c r="C1320" t="str">
        <f t="shared" si="79"/>
        <v>70</v>
      </c>
      <c r="D1320" t="str">
        <f>"6"</f>
        <v>6</v>
      </c>
      <c r="E1320" t="str">
        <f>"1-70-6"</f>
        <v>1-70-6</v>
      </c>
      <c r="F1320" t="s">
        <v>15</v>
      </c>
      <c r="G1320" t="s">
        <v>20</v>
      </c>
      <c r="H1320" t="s">
        <v>21</v>
      </c>
      <c r="I1320">
        <v>0</v>
      </c>
      <c r="J1320">
        <v>1</v>
      </c>
      <c r="K1320">
        <v>0</v>
      </c>
    </row>
    <row r="1321" spans="1:11" x14ac:dyDescent="0.25">
      <c r="A1321" t="str">
        <f>"1711"</f>
        <v>1711</v>
      </c>
      <c r="B1321" t="str">
        <f t="shared" si="78"/>
        <v>1</v>
      </c>
      <c r="C1321" t="str">
        <f t="shared" si="79"/>
        <v>70</v>
      </c>
      <c r="D1321" t="str">
        <f>"11"</f>
        <v>11</v>
      </c>
      <c r="E1321" t="str">
        <f>"1-70-11"</f>
        <v>1-70-11</v>
      </c>
      <c r="F1321" t="s">
        <v>15</v>
      </c>
      <c r="G1321" t="s">
        <v>20</v>
      </c>
      <c r="H1321" t="s">
        <v>21</v>
      </c>
      <c r="I1321">
        <v>1</v>
      </c>
      <c r="J1321">
        <v>0</v>
      </c>
      <c r="K1321">
        <v>0</v>
      </c>
    </row>
    <row r="1322" spans="1:11" x14ac:dyDescent="0.25">
      <c r="A1322" t="str">
        <f>"1712"</f>
        <v>1712</v>
      </c>
      <c r="B1322" t="str">
        <f t="shared" si="78"/>
        <v>1</v>
      </c>
      <c r="C1322" t="str">
        <f t="shared" si="79"/>
        <v>70</v>
      </c>
      <c r="D1322" t="str">
        <f>"14"</f>
        <v>14</v>
      </c>
      <c r="E1322" t="str">
        <f>"1-70-14"</f>
        <v>1-70-14</v>
      </c>
      <c r="F1322" t="s">
        <v>15</v>
      </c>
      <c r="G1322" t="s">
        <v>20</v>
      </c>
      <c r="H1322" t="s">
        <v>21</v>
      </c>
      <c r="I1322">
        <v>0</v>
      </c>
      <c r="J1322">
        <v>0</v>
      </c>
      <c r="K1322">
        <v>1</v>
      </c>
    </row>
    <row r="1323" spans="1:11" x14ac:dyDescent="0.25">
      <c r="A1323" t="str">
        <f>"1713"</f>
        <v>1713</v>
      </c>
      <c r="B1323" t="str">
        <f t="shared" si="78"/>
        <v>1</v>
      </c>
      <c r="C1323" t="str">
        <f t="shared" si="79"/>
        <v>70</v>
      </c>
      <c r="D1323" t="str">
        <f>"8"</f>
        <v>8</v>
      </c>
      <c r="E1323" t="str">
        <f>"1-70-8"</f>
        <v>1-70-8</v>
      </c>
      <c r="F1323" t="s">
        <v>15</v>
      </c>
      <c r="G1323" t="s">
        <v>20</v>
      </c>
      <c r="H1323" t="s">
        <v>21</v>
      </c>
      <c r="I1323">
        <v>1</v>
      </c>
      <c r="J1323">
        <v>0</v>
      </c>
      <c r="K1323">
        <v>0</v>
      </c>
    </row>
    <row r="1324" spans="1:11" x14ac:dyDescent="0.25">
      <c r="A1324" t="str">
        <f>"1714"</f>
        <v>1714</v>
      </c>
      <c r="B1324" t="str">
        <f t="shared" si="78"/>
        <v>1</v>
      </c>
      <c r="C1324" t="str">
        <f t="shared" si="79"/>
        <v>70</v>
      </c>
      <c r="D1324" t="str">
        <f>"1"</f>
        <v>1</v>
      </c>
      <c r="E1324" t="str">
        <f>"1-70-1"</f>
        <v>1-70-1</v>
      </c>
      <c r="F1324" t="s">
        <v>15</v>
      </c>
      <c r="G1324" t="s">
        <v>20</v>
      </c>
      <c r="H1324" t="s">
        <v>21</v>
      </c>
      <c r="I1324">
        <v>0</v>
      </c>
      <c r="J1324">
        <v>0</v>
      </c>
      <c r="K1324">
        <v>0</v>
      </c>
    </row>
    <row r="1325" spans="1:11" x14ac:dyDescent="0.25">
      <c r="A1325" t="str">
        <f>"1715"</f>
        <v>1715</v>
      </c>
      <c r="B1325" t="str">
        <f t="shared" si="78"/>
        <v>1</v>
      </c>
      <c r="C1325" t="str">
        <f t="shared" si="79"/>
        <v>70</v>
      </c>
      <c r="D1325" t="str">
        <f>"10"</f>
        <v>10</v>
      </c>
      <c r="E1325" t="str">
        <f>"1-70-10"</f>
        <v>1-70-10</v>
      </c>
      <c r="F1325" t="s">
        <v>15</v>
      </c>
      <c r="G1325" t="s">
        <v>20</v>
      </c>
      <c r="H1325" t="s">
        <v>21</v>
      </c>
      <c r="I1325">
        <v>0</v>
      </c>
      <c r="J1325">
        <v>0</v>
      </c>
      <c r="K1325">
        <v>0</v>
      </c>
    </row>
    <row r="1326" spans="1:11" x14ac:dyDescent="0.25">
      <c r="A1326" t="str">
        <f>"1716"</f>
        <v>1716</v>
      </c>
      <c r="B1326" t="str">
        <f t="shared" si="78"/>
        <v>1</v>
      </c>
      <c r="C1326" t="str">
        <f t="shared" si="79"/>
        <v>70</v>
      </c>
      <c r="D1326" t="str">
        <f>"23"</f>
        <v>23</v>
      </c>
      <c r="E1326" t="str">
        <f>"1-70-23"</f>
        <v>1-70-23</v>
      </c>
      <c r="F1326" t="s">
        <v>15</v>
      </c>
      <c r="G1326" t="s">
        <v>20</v>
      </c>
      <c r="H1326" t="s">
        <v>21</v>
      </c>
      <c r="I1326">
        <v>0</v>
      </c>
      <c r="J1326">
        <v>0</v>
      </c>
      <c r="K1326">
        <v>1</v>
      </c>
    </row>
    <row r="1327" spans="1:11" x14ac:dyDescent="0.25">
      <c r="A1327" t="str">
        <f>"1717"</f>
        <v>1717</v>
      </c>
      <c r="B1327" t="str">
        <f t="shared" si="78"/>
        <v>1</v>
      </c>
      <c r="C1327" t="str">
        <f t="shared" ref="C1327:C1351" si="80">"71"</f>
        <v>71</v>
      </c>
      <c r="D1327" t="str">
        <f>"17"</f>
        <v>17</v>
      </c>
      <c r="E1327" t="str">
        <f>"1-71-17"</f>
        <v>1-71-17</v>
      </c>
      <c r="F1327" t="s">
        <v>15</v>
      </c>
      <c r="G1327" t="s">
        <v>16</v>
      </c>
      <c r="H1327" t="s">
        <v>17</v>
      </c>
      <c r="I1327">
        <v>1</v>
      </c>
      <c r="J1327">
        <v>0</v>
      </c>
      <c r="K1327">
        <v>0</v>
      </c>
    </row>
    <row r="1328" spans="1:11" x14ac:dyDescent="0.25">
      <c r="A1328" t="str">
        <f>"1718"</f>
        <v>1718</v>
      </c>
      <c r="B1328" t="str">
        <f t="shared" si="78"/>
        <v>1</v>
      </c>
      <c r="C1328" t="str">
        <f t="shared" si="80"/>
        <v>71</v>
      </c>
      <c r="D1328" t="str">
        <f>"15"</f>
        <v>15</v>
      </c>
      <c r="E1328" t="str">
        <f>"1-71-15"</f>
        <v>1-71-15</v>
      </c>
      <c r="F1328" t="s">
        <v>15</v>
      </c>
      <c r="G1328" t="s">
        <v>16</v>
      </c>
      <c r="H1328" t="s">
        <v>17</v>
      </c>
      <c r="I1328">
        <v>0</v>
      </c>
      <c r="J1328">
        <v>0</v>
      </c>
      <c r="K1328">
        <v>1</v>
      </c>
    </row>
    <row r="1329" spans="1:11" x14ac:dyDescent="0.25">
      <c r="A1329" t="str">
        <f>"1719"</f>
        <v>1719</v>
      </c>
      <c r="B1329" t="str">
        <f t="shared" si="78"/>
        <v>1</v>
      </c>
      <c r="C1329" t="str">
        <f t="shared" si="80"/>
        <v>71</v>
      </c>
      <c r="D1329" t="str">
        <f>"1"</f>
        <v>1</v>
      </c>
      <c r="E1329" t="str">
        <f>"1-71-1"</f>
        <v>1-71-1</v>
      </c>
      <c r="F1329" t="s">
        <v>15</v>
      </c>
      <c r="G1329" t="s">
        <v>16</v>
      </c>
      <c r="H1329" t="s">
        <v>17</v>
      </c>
      <c r="I1329">
        <v>1</v>
      </c>
      <c r="J1329">
        <v>0</v>
      </c>
      <c r="K1329">
        <v>0</v>
      </c>
    </row>
    <row r="1330" spans="1:11" x14ac:dyDescent="0.25">
      <c r="A1330" t="str">
        <f>"1720"</f>
        <v>1720</v>
      </c>
      <c r="B1330" t="str">
        <f t="shared" si="78"/>
        <v>1</v>
      </c>
      <c r="C1330" t="str">
        <f t="shared" si="80"/>
        <v>71</v>
      </c>
      <c r="D1330" t="str">
        <f>"16"</f>
        <v>16</v>
      </c>
      <c r="E1330" t="str">
        <f>"1-71-16"</f>
        <v>1-71-16</v>
      </c>
      <c r="F1330" t="s">
        <v>15</v>
      </c>
      <c r="G1330" t="s">
        <v>18</v>
      </c>
      <c r="H1330" t="s">
        <v>19</v>
      </c>
      <c r="I1330">
        <v>1</v>
      </c>
      <c r="J1330">
        <v>0</v>
      </c>
      <c r="K1330">
        <v>0</v>
      </c>
    </row>
    <row r="1331" spans="1:11" x14ac:dyDescent="0.25">
      <c r="A1331" t="str">
        <f>"1721"</f>
        <v>1721</v>
      </c>
      <c r="B1331" t="str">
        <f t="shared" si="78"/>
        <v>1</v>
      </c>
      <c r="C1331" t="str">
        <f t="shared" si="80"/>
        <v>71</v>
      </c>
      <c r="D1331" t="str">
        <f>"9"</f>
        <v>9</v>
      </c>
      <c r="E1331" t="str">
        <f>"1-71-9"</f>
        <v>1-71-9</v>
      </c>
      <c r="F1331" t="s">
        <v>15</v>
      </c>
      <c r="G1331" t="s">
        <v>20</v>
      </c>
      <c r="H1331" t="s">
        <v>21</v>
      </c>
      <c r="I1331">
        <v>1</v>
      </c>
      <c r="J1331">
        <v>0</v>
      </c>
      <c r="K1331">
        <v>0</v>
      </c>
    </row>
    <row r="1332" spans="1:11" x14ac:dyDescent="0.25">
      <c r="A1332" t="str">
        <f>"1722"</f>
        <v>1722</v>
      </c>
      <c r="B1332" t="str">
        <f t="shared" si="78"/>
        <v>1</v>
      </c>
      <c r="C1332" t="str">
        <f t="shared" si="80"/>
        <v>71</v>
      </c>
      <c r="D1332" t="str">
        <f>"18"</f>
        <v>18</v>
      </c>
      <c r="E1332" t="str">
        <f>"1-71-18"</f>
        <v>1-71-18</v>
      </c>
      <c r="F1332" t="s">
        <v>15</v>
      </c>
      <c r="G1332" t="s">
        <v>18</v>
      </c>
      <c r="H1332" t="s">
        <v>19</v>
      </c>
      <c r="I1332">
        <v>1</v>
      </c>
      <c r="J1332">
        <v>0</v>
      </c>
      <c r="K1332">
        <v>0</v>
      </c>
    </row>
    <row r="1333" spans="1:11" x14ac:dyDescent="0.25">
      <c r="A1333" t="str">
        <f>"1723"</f>
        <v>1723</v>
      </c>
      <c r="B1333" t="str">
        <f t="shared" si="78"/>
        <v>1</v>
      </c>
      <c r="C1333" t="str">
        <f t="shared" si="80"/>
        <v>71</v>
      </c>
      <c r="D1333" t="str">
        <f>"5"</f>
        <v>5</v>
      </c>
      <c r="E1333" t="str">
        <f>"1-71-5"</f>
        <v>1-71-5</v>
      </c>
      <c r="F1333" t="s">
        <v>15</v>
      </c>
      <c r="G1333" t="s">
        <v>16</v>
      </c>
      <c r="H1333" t="s">
        <v>17</v>
      </c>
      <c r="I1333">
        <v>1</v>
      </c>
      <c r="J1333">
        <v>0</v>
      </c>
      <c r="K1333">
        <v>0</v>
      </c>
    </row>
    <row r="1334" spans="1:11" x14ac:dyDescent="0.25">
      <c r="A1334" t="str">
        <f>"1724"</f>
        <v>1724</v>
      </c>
      <c r="B1334" t="str">
        <f t="shared" si="78"/>
        <v>1</v>
      </c>
      <c r="C1334" t="str">
        <f t="shared" si="80"/>
        <v>71</v>
      </c>
      <c r="D1334" t="str">
        <f>"19"</f>
        <v>19</v>
      </c>
      <c r="E1334" t="str">
        <f>"1-71-19"</f>
        <v>1-71-19</v>
      </c>
      <c r="F1334" t="s">
        <v>15</v>
      </c>
      <c r="G1334" t="s">
        <v>16</v>
      </c>
      <c r="H1334" t="s">
        <v>17</v>
      </c>
      <c r="I1334">
        <v>0</v>
      </c>
      <c r="J1334">
        <v>1</v>
      </c>
      <c r="K1334">
        <v>0</v>
      </c>
    </row>
    <row r="1335" spans="1:11" x14ac:dyDescent="0.25">
      <c r="A1335" t="str">
        <f>"1725"</f>
        <v>1725</v>
      </c>
      <c r="B1335" t="str">
        <f t="shared" si="78"/>
        <v>1</v>
      </c>
      <c r="C1335" t="str">
        <f t="shared" si="80"/>
        <v>71</v>
      </c>
      <c r="D1335" t="str">
        <f>"7"</f>
        <v>7</v>
      </c>
      <c r="E1335" t="str">
        <f>"1-71-7"</f>
        <v>1-71-7</v>
      </c>
      <c r="F1335" t="s">
        <v>15</v>
      </c>
      <c r="G1335" t="s">
        <v>16</v>
      </c>
      <c r="H1335" t="s">
        <v>17</v>
      </c>
      <c r="I1335">
        <v>1</v>
      </c>
      <c r="J1335">
        <v>0</v>
      </c>
      <c r="K1335">
        <v>0</v>
      </c>
    </row>
    <row r="1336" spans="1:11" x14ac:dyDescent="0.25">
      <c r="A1336" t="str">
        <f>"1726"</f>
        <v>1726</v>
      </c>
      <c r="B1336" t="str">
        <f t="shared" si="78"/>
        <v>1</v>
      </c>
      <c r="C1336" t="str">
        <f t="shared" si="80"/>
        <v>71</v>
      </c>
      <c r="D1336" t="str">
        <f>"20"</f>
        <v>20</v>
      </c>
      <c r="E1336" t="str">
        <f>"1-71-20"</f>
        <v>1-71-20</v>
      </c>
      <c r="F1336" t="s">
        <v>15</v>
      </c>
      <c r="G1336" t="s">
        <v>18</v>
      </c>
      <c r="H1336" t="s">
        <v>19</v>
      </c>
      <c r="I1336">
        <v>0</v>
      </c>
      <c r="J1336">
        <v>0</v>
      </c>
      <c r="K1336">
        <v>1</v>
      </c>
    </row>
    <row r="1337" spans="1:11" x14ac:dyDescent="0.25">
      <c r="A1337" t="str">
        <f>"1727"</f>
        <v>1727</v>
      </c>
      <c r="B1337" t="str">
        <f t="shared" si="78"/>
        <v>1</v>
      </c>
      <c r="C1337" t="str">
        <f t="shared" si="80"/>
        <v>71</v>
      </c>
      <c r="D1337" t="str">
        <f>"8"</f>
        <v>8</v>
      </c>
      <c r="E1337" t="str">
        <f>"1-71-8"</f>
        <v>1-71-8</v>
      </c>
      <c r="F1337" t="s">
        <v>15</v>
      </c>
      <c r="G1337" t="s">
        <v>16</v>
      </c>
      <c r="H1337" t="s">
        <v>17</v>
      </c>
      <c r="I1337">
        <v>1</v>
      </c>
      <c r="J1337">
        <v>0</v>
      </c>
      <c r="K1337">
        <v>0</v>
      </c>
    </row>
    <row r="1338" spans="1:11" x14ac:dyDescent="0.25">
      <c r="A1338" t="str">
        <f>"1728"</f>
        <v>1728</v>
      </c>
      <c r="B1338" t="str">
        <f t="shared" si="78"/>
        <v>1</v>
      </c>
      <c r="C1338" t="str">
        <f t="shared" si="80"/>
        <v>71</v>
      </c>
      <c r="D1338" t="str">
        <f>"21"</f>
        <v>21</v>
      </c>
      <c r="E1338" t="str">
        <f>"1-71-21"</f>
        <v>1-71-21</v>
      </c>
      <c r="F1338" t="s">
        <v>15</v>
      </c>
      <c r="G1338" t="s">
        <v>18</v>
      </c>
      <c r="H1338" t="s">
        <v>19</v>
      </c>
      <c r="I1338">
        <v>0</v>
      </c>
      <c r="J1338">
        <v>0</v>
      </c>
      <c r="K1338">
        <v>1</v>
      </c>
    </row>
    <row r="1339" spans="1:11" x14ac:dyDescent="0.25">
      <c r="A1339" t="str">
        <f>"1729"</f>
        <v>1729</v>
      </c>
      <c r="B1339" t="str">
        <f t="shared" si="78"/>
        <v>1</v>
      </c>
      <c r="C1339" t="str">
        <f t="shared" si="80"/>
        <v>71</v>
      </c>
      <c r="D1339" t="str">
        <f>"3"</f>
        <v>3</v>
      </c>
      <c r="E1339" t="str">
        <f>"1-71-3"</f>
        <v>1-71-3</v>
      </c>
      <c r="F1339" t="s">
        <v>15</v>
      </c>
      <c r="G1339" t="s">
        <v>16</v>
      </c>
      <c r="H1339" t="s">
        <v>17</v>
      </c>
      <c r="I1339">
        <v>0</v>
      </c>
      <c r="J1339">
        <v>1</v>
      </c>
      <c r="K1339">
        <v>0</v>
      </c>
    </row>
    <row r="1340" spans="1:11" x14ac:dyDescent="0.25">
      <c r="A1340" t="str">
        <f>"1730"</f>
        <v>1730</v>
      </c>
      <c r="B1340" t="str">
        <f t="shared" si="78"/>
        <v>1</v>
      </c>
      <c r="C1340" t="str">
        <f t="shared" si="80"/>
        <v>71</v>
      </c>
      <c r="D1340" t="str">
        <f>"22"</f>
        <v>22</v>
      </c>
      <c r="E1340" t="str">
        <f>"1-71-22"</f>
        <v>1-71-22</v>
      </c>
      <c r="F1340" t="s">
        <v>15</v>
      </c>
      <c r="G1340" t="s">
        <v>16</v>
      </c>
      <c r="H1340" t="s">
        <v>17</v>
      </c>
      <c r="I1340">
        <v>1</v>
      </c>
      <c r="J1340">
        <v>0</v>
      </c>
      <c r="K1340">
        <v>0</v>
      </c>
    </row>
    <row r="1341" spans="1:11" x14ac:dyDescent="0.25">
      <c r="A1341" t="str">
        <f>"1731"</f>
        <v>1731</v>
      </c>
      <c r="B1341" t="str">
        <f t="shared" si="78"/>
        <v>1</v>
      </c>
      <c r="C1341" t="str">
        <f t="shared" si="80"/>
        <v>71</v>
      </c>
      <c r="D1341" t="str">
        <f>"12"</f>
        <v>12</v>
      </c>
      <c r="E1341" t="str">
        <f>"1-71-12"</f>
        <v>1-71-12</v>
      </c>
      <c r="F1341" t="s">
        <v>15</v>
      </c>
      <c r="G1341" t="s">
        <v>18</v>
      </c>
      <c r="H1341" t="s">
        <v>19</v>
      </c>
      <c r="I1341">
        <v>1</v>
      </c>
      <c r="J1341">
        <v>0</v>
      </c>
      <c r="K1341">
        <v>0</v>
      </c>
    </row>
    <row r="1342" spans="1:11" x14ac:dyDescent="0.25">
      <c r="A1342" t="str">
        <f>"1732"</f>
        <v>1732</v>
      </c>
      <c r="B1342" t="str">
        <f t="shared" si="78"/>
        <v>1</v>
      </c>
      <c r="C1342" t="str">
        <f t="shared" si="80"/>
        <v>71</v>
      </c>
      <c r="D1342" t="str">
        <f>"23"</f>
        <v>23</v>
      </c>
      <c r="E1342" t="str">
        <f>"1-71-23"</f>
        <v>1-71-23</v>
      </c>
      <c r="F1342" t="s">
        <v>15</v>
      </c>
      <c r="G1342" t="s">
        <v>16</v>
      </c>
      <c r="H1342" t="s">
        <v>17</v>
      </c>
      <c r="I1342">
        <v>1</v>
      </c>
      <c r="J1342">
        <v>0</v>
      </c>
      <c r="K1342">
        <v>0</v>
      </c>
    </row>
    <row r="1343" spans="1:11" x14ac:dyDescent="0.25">
      <c r="A1343" t="str">
        <f>"1733"</f>
        <v>1733</v>
      </c>
      <c r="B1343" t="str">
        <f t="shared" si="78"/>
        <v>1</v>
      </c>
      <c r="C1343" t="str">
        <f t="shared" si="80"/>
        <v>71</v>
      </c>
      <c r="D1343" t="str">
        <f>"2"</f>
        <v>2</v>
      </c>
      <c r="E1343" t="str">
        <f>"1-71-2"</f>
        <v>1-71-2</v>
      </c>
      <c r="F1343" t="s">
        <v>15</v>
      </c>
      <c r="G1343" t="s">
        <v>16</v>
      </c>
      <c r="H1343" t="s">
        <v>17</v>
      </c>
      <c r="I1343">
        <v>0</v>
      </c>
      <c r="J1343">
        <v>0</v>
      </c>
      <c r="K1343">
        <v>1</v>
      </c>
    </row>
    <row r="1344" spans="1:11" x14ac:dyDescent="0.25">
      <c r="A1344" t="str">
        <f>"1734"</f>
        <v>1734</v>
      </c>
      <c r="B1344" t="str">
        <f t="shared" si="78"/>
        <v>1</v>
      </c>
      <c r="C1344" t="str">
        <f t="shared" si="80"/>
        <v>71</v>
      </c>
      <c r="D1344" t="str">
        <f>"24"</f>
        <v>24</v>
      </c>
      <c r="E1344" t="str">
        <f>"1-71-24"</f>
        <v>1-71-24</v>
      </c>
      <c r="F1344" t="s">
        <v>15</v>
      </c>
      <c r="G1344" t="s">
        <v>20</v>
      </c>
      <c r="H1344" t="s">
        <v>21</v>
      </c>
      <c r="I1344">
        <v>0</v>
      </c>
      <c r="J1344">
        <v>0</v>
      </c>
      <c r="K1344">
        <v>1</v>
      </c>
    </row>
    <row r="1345" spans="1:11" x14ac:dyDescent="0.25">
      <c r="A1345" t="str">
        <f>"1735"</f>
        <v>1735</v>
      </c>
      <c r="B1345" t="str">
        <f t="shared" si="78"/>
        <v>1</v>
      </c>
      <c r="C1345" t="str">
        <f t="shared" si="80"/>
        <v>71</v>
      </c>
      <c r="D1345" t="str">
        <f>"11"</f>
        <v>11</v>
      </c>
      <c r="E1345" t="str">
        <f>"1-71-11"</f>
        <v>1-71-11</v>
      </c>
      <c r="F1345" t="s">
        <v>15</v>
      </c>
      <c r="G1345" t="s">
        <v>18</v>
      </c>
      <c r="H1345" t="s">
        <v>19</v>
      </c>
      <c r="I1345">
        <v>1</v>
      </c>
      <c r="J1345">
        <v>0</v>
      </c>
      <c r="K1345">
        <v>0</v>
      </c>
    </row>
    <row r="1346" spans="1:11" x14ac:dyDescent="0.25">
      <c r="A1346" t="str">
        <f>"1736"</f>
        <v>1736</v>
      </c>
      <c r="B1346" t="str">
        <f t="shared" si="78"/>
        <v>1</v>
      </c>
      <c r="C1346" t="str">
        <f t="shared" si="80"/>
        <v>71</v>
      </c>
      <c r="D1346" t="str">
        <f>"25"</f>
        <v>25</v>
      </c>
      <c r="E1346" t="str">
        <f>"1-71-25"</f>
        <v>1-71-25</v>
      </c>
      <c r="F1346" t="s">
        <v>15</v>
      </c>
      <c r="G1346" t="s">
        <v>20</v>
      </c>
      <c r="H1346" t="s">
        <v>21</v>
      </c>
      <c r="I1346">
        <v>1</v>
      </c>
      <c r="J1346">
        <v>0</v>
      </c>
      <c r="K1346">
        <v>0</v>
      </c>
    </row>
    <row r="1347" spans="1:11" x14ac:dyDescent="0.25">
      <c r="A1347" t="str">
        <f>"1737"</f>
        <v>1737</v>
      </c>
      <c r="B1347" t="str">
        <f t="shared" si="78"/>
        <v>1</v>
      </c>
      <c r="C1347" t="str">
        <f t="shared" si="80"/>
        <v>71</v>
      </c>
      <c r="D1347" t="str">
        <f>"6"</f>
        <v>6</v>
      </c>
      <c r="E1347" t="str">
        <f>"1-71-6"</f>
        <v>1-71-6</v>
      </c>
      <c r="F1347" t="s">
        <v>15</v>
      </c>
      <c r="G1347" t="s">
        <v>16</v>
      </c>
      <c r="H1347" t="s">
        <v>17</v>
      </c>
      <c r="I1347">
        <v>0</v>
      </c>
      <c r="J1347">
        <v>0</v>
      </c>
      <c r="K1347">
        <v>1</v>
      </c>
    </row>
    <row r="1348" spans="1:11" x14ac:dyDescent="0.25">
      <c r="A1348" t="str">
        <f>"1738"</f>
        <v>1738</v>
      </c>
      <c r="B1348" t="str">
        <f t="shared" si="78"/>
        <v>1</v>
      </c>
      <c r="C1348" t="str">
        <f t="shared" si="80"/>
        <v>71</v>
      </c>
      <c r="D1348" t="str">
        <f>"14"</f>
        <v>14</v>
      </c>
      <c r="E1348" t="str">
        <f>"1-71-14"</f>
        <v>1-71-14</v>
      </c>
      <c r="F1348" t="s">
        <v>15</v>
      </c>
      <c r="G1348" t="s">
        <v>16</v>
      </c>
      <c r="H1348" t="s">
        <v>17</v>
      </c>
      <c r="I1348">
        <v>0</v>
      </c>
      <c r="J1348">
        <v>0</v>
      </c>
      <c r="K1348">
        <v>1</v>
      </c>
    </row>
    <row r="1349" spans="1:11" x14ac:dyDescent="0.25">
      <c r="A1349" t="str">
        <f>"1739"</f>
        <v>1739</v>
      </c>
      <c r="B1349" t="str">
        <f t="shared" si="78"/>
        <v>1</v>
      </c>
      <c r="C1349" t="str">
        <f t="shared" si="80"/>
        <v>71</v>
      </c>
      <c r="D1349" t="str">
        <f>"4"</f>
        <v>4</v>
      </c>
      <c r="E1349" t="str">
        <f>"1-71-4"</f>
        <v>1-71-4</v>
      </c>
      <c r="F1349" t="s">
        <v>15</v>
      </c>
      <c r="G1349" t="s">
        <v>16</v>
      </c>
      <c r="H1349" t="s">
        <v>17</v>
      </c>
      <c r="I1349">
        <v>1</v>
      </c>
      <c r="J1349">
        <v>0</v>
      </c>
      <c r="K1349">
        <v>0</v>
      </c>
    </row>
    <row r="1350" spans="1:11" x14ac:dyDescent="0.25">
      <c r="A1350" t="str">
        <f>"1740"</f>
        <v>1740</v>
      </c>
      <c r="B1350" t="str">
        <f t="shared" si="78"/>
        <v>1</v>
      </c>
      <c r="C1350" t="str">
        <f t="shared" si="80"/>
        <v>71</v>
      </c>
      <c r="D1350" t="str">
        <f>"13"</f>
        <v>13</v>
      </c>
      <c r="E1350" t="str">
        <f>"1-71-13"</f>
        <v>1-71-13</v>
      </c>
      <c r="F1350" t="s">
        <v>15</v>
      </c>
      <c r="G1350" t="s">
        <v>16</v>
      </c>
      <c r="H1350" t="s">
        <v>17</v>
      </c>
      <c r="I1350">
        <v>0</v>
      </c>
      <c r="J1350">
        <v>1</v>
      </c>
      <c r="K1350">
        <v>0</v>
      </c>
    </row>
    <row r="1351" spans="1:11" x14ac:dyDescent="0.25">
      <c r="A1351" t="str">
        <f>"1741"</f>
        <v>1741</v>
      </c>
      <c r="B1351" t="str">
        <f t="shared" si="78"/>
        <v>1</v>
      </c>
      <c r="C1351" t="str">
        <f t="shared" si="80"/>
        <v>71</v>
      </c>
      <c r="D1351" t="str">
        <f>"10"</f>
        <v>10</v>
      </c>
      <c r="E1351" t="str">
        <f>"1-71-10"</f>
        <v>1-71-10</v>
      </c>
      <c r="F1351" t="s">
        <v>15</v>
      </c>
      <c r="G1351" t="s">
        <v>20</v>
      </c>
      <c r="H1351" t="s">
        <v>21</v>
      </c>
      <c r="I1351">
        <v>1</v>
      </c>
      <c r="J1351">
        <v>0</v>
      </c>
      <c r="K1351">
        <v>0</v>
      </c>
    </row>
    <row r="1352" spans="1:11" x14ac:dyDescent="0.25">
      <c r="A1352" t="str">
        <f>"1742"</f>
        <v>1742</v>
      </c>
      <c r="B1352" t="str">
        <f t="shared" si="78"/>
        <v>1</v>
      </c>
      <c r="C1352" t="str">
        <f t="shared" ref="C1352:C1377" si="81">"72"</f>
        <v>72</v>
      </c>
      <c r="D1352" t="str">
        <f>"20"</f>
        <v>20</v>
      </c>
      <c r="E1352" t="str">
        <f>"1-72-20"</f>
        <v>1-72-20</v>
      </c>
      <c r="F1352" t="s">
        <v>15</v>
      </c>
      <c r="G1352" t="s">
        <v>20</v>
      </c>
      <c r="H1352" t="s">
        <v>21</v>
      </c>
      <c r="I1352">
        <v>1</v>
      </c>
      <c r="J1352">
        <v>0</v>
      </c>
      <c r="K1352">
        <v>0</v>
      </c>
    </row>
    <row r="1353" spans="1:11" x14ac:dyDescent="0.25">
      <c r="A1353" t="str">
        <f>"1743"</f>
        <v>1743</v>
      </c>
      <c r="B1353" t="str">
        <f t="shared" si="78"/>
        <v>1</v>
      </c>
      <c r="C1353" t="str">
        <f t="shared" si="81"/>
        <v>72</v>
      </c>
      <c r="D1353" t="str">
        <f>"15"</f>
        <v>15</v>
      </c>
      <c r="E1353" t="str">
        <f>"1-72-15"</f>
        <v>1-72-15</v>
      </c>
      <c r="F1353" t="s">
        <v>15</v>
      </c>
      <c r="G1353" t="s">
        <v>20</v>
      </c>
      <c r="H1353" t="s">
        <v>21</v>
      </c>
      <c r="I1353">
        <v>1</v>
      </c>
      <c r="J1353">
        <v>0</v>
      </c>
      <c r="K1353">
        <v>0</v>
      </c>
    </row>
    <row r="1354" spans="1:11" x14ac:dyDescent="0.25">
      <c r="A1354" t="str">
        <f>"1744"</f>
        <v>1744</v>
      </c>
      <c r="B1354" t="str">
        <f t="shared" si="78"/>
        <v>1</v>
      </c>
      <c r="C1354" t="str">
        <f t="shared" si="81"/>
        <v>72</v>
      </c>
      <c r="D1354" t="str">
        <f>"5"</f>
        <v>5</v>
      </c>
      <c r="E1354" t="str">
        <f>"1-72-5"</f>
        <v>1-72-5</v>
      </c>
      <c r="F1354" t="s">
        <v>15</v>
      </c>
      <c r="G1354" t="s">
        <v>20</v>
      </c>
      <c r="H1354" t="s">
        <v>21</v>
      </c>
      <c r="I1354">
        <v>0</v>
      </c>
      <c r="J1354">
        <v>0</v>
      </c>
      <c r="K1354">
        <v>1</v>
      </c>
    </row>
    <row r="1355" spans="1:11" x14ac:dyDescent="0.25">
      <c r="A1355" t="str">
        <f>"1745"</f>
        <v>1745</v>
      </c>
      <c r="B1355" t="str">
        <f t="shared" si="78"/>
        <v>1</v>
      </c>
      <c r="C1355" t="str">
        <f t="shared" si="81"/>
        <v>72</v>
      </c>
      <c r="D1355" t="str">
        <f>"22"</f>
        <v>22</v>
      </c>
      <c r="E1355" t="str">
        <f>"1-72-22"</f>
        <v>1-72-22</v>
      </c>
      <c r="F1355" t="s">
        <v>15</v>
      </c>
      <c r="G1355" t="s">
        <v>20</v>
      </c>
      <c r="H1355" t="s">
        <v>21</v>
      </c>
      <c r="I1355">
        <v>1</v>
      </c>
      <c r="J1355">
        <v>0</v>
      </c>
      <c r="K1355">
        <v>0</v>
      </c>
    </row>
    <row r="1356" spans="1:11" x14ac:dyDescent="0.25">
      <c r="A1356" t="str">
        <f>"1746"</f>
        <v>1746</v>
      </c>
      <c r="B1356" t="str">
        <f t="shared" si="78"/>
        <v>1</v>
      </c>
      <c r="C1356" t="str">
        <f t="shared" si="81"/>
        <v>72</v>
      </c>
      <c r="D1356" t="str">
        <f>"16"</f>
        <v>16</v>
      </c>
      <c r="E1356" t="str">
        <f>"1-72-16"</f>
        <v>1-72-16</v>
      </c>
      <c r="F1356" t="s">
        <v>15</v>
      </c>
      <c r="G1356" t="s">
        <v>20</v>
      </c>
      <c r="H1356" t="s">
        <v>21</v>
      </c>
      <c r="I1356">
        <v>1</v>
      </c>
      <c r="J1356">
        <v>0</v>
      </c>
      <c r="K1356">
        <v>0</v>
      </c>
    </row>
    <row r="1357" spans="1:11" x14ac:dyDescent="0.25">
      <c r="A1357" t="str">
        <f>"1747"</f>
        <v>1747</v>
      </c>
      <c r="B1357" t="str">
        <f t="shared" si="78"/>
        <v>1</v>
      </c>
      <c r="C1357" t="str">
        <f t="shared" si="81"/>
        <v>72</v>
      </c>
      <c r="D1357" t="str">
        <f>"6"</f>
        <v>6</v>
      </c>
      <c r="E1357" t="str">
        <f>"1-72-6"</f>
        <v>1-72-6</v>
      </c>
      <c r="F1357" t="s">
        <v>15</v>
      </c>
      <c r="G1357" t="s">
        <v>20</v>
      </c>
      <c r="H1357" t="s">
        <v>21</v>
      </c>
      <c r="I1357">
        <v>0</v>
      </c>
      <c r="J1357">
        <v>1</v>
      </c>
      <c r="K1357">
        <v>0</v>
      </c>
    </row>
    <row r="1358" spans="1:11" x14ac:dyDescent="0.25">
      <c r="A1358" t="str">
        <f>"1748"</f>
        <v>1748</v>
      </c>
      <c r="B1358" t="str">
        <f t="shared" si="78"/>
        <v>1</v>
      </c>
      <c r="C1358" t="str">
        <f t="shared" si="81"/>
        <v>72</v>
      </c>
      <c r="D1358" t="str">
        <f>"17"</f>
        <v>17</v>
      </c>
      <c r="E1358" t="str">
        <f>"1-72-17"</f>
        <v>1-72-17</v>
      </c>
      <c r="F1358" t="s">
        <v>15</v>
      </c>
      <c r="G1358" t="s">
        <v>20</v>
      </c>
      <c r="H1358" t="s">
        <v>21</v>
      </c>
      <c r="I1358">
        <v>0</v>
      </c>
      <c r="J1358">
        <v>1</v>
      </c>
      <c r="K1358">
        <v>0</v>
      </c>
    </row>
    <row r="1359" spans="1:11" x14ac:dyDescent="0.25">
      <c r="A1359" t="str">
        <f>"1749"</f>
        <v>1749</v>
      </c>
      <c r="B1359" t="str">
        <f t="shared" si="78"/>
        <v>1</v>
      </c>
      <c r="C1359" t="str">
        <f t="shared" si="81"/>
        <v>72</v>
      </c>
      <c r="D1359" t="str">
        <f>"1"</f>
        <v>1</v>
      </c>
      <c r="E1359" t="str">
        <f>"1-72-1"</f>
        <v>1-72-1</v>
      </c>
      <c r="F1359" t="s">
        <v>15</v>
      </c>
      <c r="G1359" t="s">
        <v>18</v>
      </c>
      <c r="H1359" t="s">
        <v>19</v>
      </c>
      <c r="I1359">
        <v>0</v>
      </c>
      <c r="J1359">
        <v>0</v>
      </c>
      <c r="K1359">
        <v>1</v>
      </c>
    </row>
    <row r="1360" spans="1:11" x14ac:dyDescent="0.25">
      <c r="A1360" t="str">
        <f>"1750"</f>
        <v>1750</v>
      </c>
      <c r="B1360" t="str">
        <f t="shared" si="78"/>
        <v>1</v>
      </c>
      <c r="C1360" t="str">
        <f t="shared" si="81"/>
        <v>72</v>
      </c>
      <c r="D1360" t="str">
        <f>"18"</f>
        <v>18</v>
      </c>
      <c r="E1360" t="str">
        <f>"1-72-18"</f>
        <v>1-72-18</v>
      </c>
      <c r="F1360" t="s">
        <v>15</v>
      </c>
      <c r="G1360" t="s">
        <v>20</v>
      </c>
      <c r="H1360" t="s">
        <v>21</v>
      </c>
      <c r="I1360">
        <v>0</v>
      </c>
      <c r="J1360">
        <v>1</v>
      </c>
      <c r="K1360">
        <v>0</v>
      </c>
    </row>
    <row r="1361" spans="1:11" x14ac:dyDescent="0.25">
      <c r="A1361" t="str">
        <f>"1751"</f>
        <v>1751</v>
      </c>
      <c r="B1361" t="str">
        <f t="shared" si="78"/>
        <v>1</v>
      </c>
      <c r="C1361" t="str">
        <f t="shared" si="81"/>
        <v>72</v>
      </c>
      <c r="D1361" t="str">
        <f>"9"</f>
        <v>9</v>
      </c>
      <c r="E1361" t="str">
        <f>"1-72-9"</f>
        <v>1-72-9</v>
      </c>
      <c r="F1361" t="s">
        <v>15</v>
      </c>
      <c r="G1361" t="s">
        <v>20</v>
      </c>
      <c r="H1361" t="s">
        <v>21</v>
      </c>
      <c r="I1361">
        <v>0</v>
      </c>
      <c r="J1361">
        <v>0</v>
      </c>
      <c r="K1361">
        <v>1</v>
      </c>
    </row>
    <row r="1362" spans="1:11" x14ac:dyDescent="0.25">
      <c r="A1362" t="str">
        <f>"1752"</f>
        <v>1752</v>
      </c>
      <c r="B1362" t="str">
        <f t="shared" si="78"/>
        <v>1</v>
      </c>
      <c r="C1362" t="str">
        <f t="shared" si="81"/>
        <v>72</v>
      </c>
      <c r="D1362" t="str">
        <f>"14"</f>
        <v>14</v>
      </c>
      <c r="E1362" t="str">
        <f>"1-72-14"</f>
        <v>1-72-14</v>
      </c>
      <c r="F1362" t="s">
        <v>15</v>
      </c>
      <c r="G1362" t="s">
        <v>20</v>
      </c>
      <c r="H1362" t="s">
        <v>21</v>
      </c>
      <c r="I1362">
        <v>1</v>
      </c>
      <c r="J1362">
        <v>0</v>
      </c>
      <c r="K1362">
        <v>0</v>
      </c>
    </row>
    <row r="1363" spans="1:11" x14ac:dyDescent="0.25">
      <c r="A1363" t="str">
        <f>"1753"</f>
        <v>1753</v>
      </c>
      <c r="B1363" t="str">
        <f t="shared" si="78"/>
        <v>1</v>
      </c>
      <c r="C1363" t="str">
        <f t="shared" si="81"/>
        <v>72</v>
      </c>
      <c r="D1363" t="str">
        <f>"21"</f>
        <v>21</v>
      </c>
      <c r="E1363" t="str">
        <f>"1-72-21"</f>
        <v>1-72-21</v>
      </c>
      <c r="F1363" t="s">
        <v>15</v>
      </c>
      <c r="G1363" t="s">
        <v>20</v>
      </c>
      <c r="H1363" t="s">
        <v>21</v>
      </c>
      <c r="I1363">
        <v>1</v>
      </c>
      <c r="J1363">
        <v>0</v>
      </c>
      <c r="K1363">
        <v>0</v>
      </c>
    </row>
    <row r="1364" spans="1:11" x14ac:dyDescent="0.25">
      <c r="A1364" t="str">
        <f>"1754"</f>
        <v>1754</v>
      </c>
      <c r="B1364" t="str">
        <f t="shared" ref="B1364:B1408" si="82">"1"</f>
        <v>1</v>
      </c>
      <c r="C1364" t="str">
        <f t="shared" si="81"/>
        <v>72</v>
      </c>
      <c r="D1364" t="str">
        <f>"12"</f>
        <v>12</v>
      </c>
      <c r="E1364" t="str">
        <f>"1-72-12"</f>
        <v>1-72-12</v>
      </c>
      <c r="F1364" t="s">
        <v>15</v>
      </c>
      <c r="G1364" t="s">
        <v>20</v>
      </c>
      <c r="H1364" t="s">
        <v>21</v>
      </c>
      <c r="I1364">
        <v>0</v>
      </c>
      <c r="J1364">
        <v>1</v>
      </c>
      <c r="K1364">
        <v>0</v>
      </c>
    </row>
    <row r="1365" spans="1:11" x14ac:dyDescent="0.25">
      <c r="A1365" t="str">
        <f>"1755"</f>
        <v>1755</v>
      </c>
      <c r="B1365" t="str">
        <f t="shared" si="82"/>
        <v>1</v>
      </c>
      <c r="C1365" t="str">
        <f t="shared" si="81"/>
        <v>72</v>
      </c>
      <c r="D1365" t="str">
        <f>"23"</f>
        <v>23</v>
      </c>
      <c r="E1365" t="str">
        <f>"1-72-23"</f>
        <v>1-72-23</v>
      </c>
      <c r="F1365" t="s">
        <v>15</v>
      </c>
      <c r="G1365" t="s">
        <v>20</v>
      </c>
      <c r="H1365" t="s">
        <v>21</v>
      </c>
      <c r="I1365">
        <v>0</v>
      </c>
      <c r="J1365">
        <v>0</v>
      </c>
      <c r="K1365">
        <v>1</v>
      </c>
    </row>
    <row r="1366" spans="1:11" x14ac:dyDescent="0.25">
      <c r="A1366" t="str">
        <f>"1756"</f>
        <v>1756</v>
      </c>
      <c r="B1366" t="str">
        <f t="shared" si="82"/>
        <v>1</v>
      </c>
      <c r="C1366" t="str">
        <f t="shared" si="81"/>
        <v>72</v>
      </c>
      <c r="D1366" t="str">
        <f>"4"</f>
        <v>4</v>
      </c>
      <c r="E1366" t="str">
        <f>"1-72-4"</f>
        <v>1-72-4</v>
      </c>
      <c r="F1366" t="s">
        <v>15</v>
      </c>
      <c r="G1366" t="s">
        <v>20</v>
      </c>
      <c r="H1366" t="s">
        <v>21</v>
      </c>
      <c r="I1366">
        <v>1</v>
      </c>
      <c r="J1366">
        <v>0</v>
      </c>
      <c r="K1366">
        <v>0</v>
      </c>
    </row>
    <row r="1367" spans="1:11" x14ac:dyDescent="0.25">
      <c r="A1367" t="str">
        <f>"1757"</f>
        <v>1757</v>
      </c>
      <c r="B1367" t="str">
        <f t="shared" si="82"/>
        <v>1</v>
      </c>
      <c r="C1367" t="str">
        <f t="shared" si="81"/>
        <v>72</v>
      </c>
      <c r="D1367" t="str">
        <f>"24"</f>
        <v>24</v>
      </c>
      <c r="E1367" t="str">
        <f>"1-72-24"</f>
        <v>1-72-24</v>
      </c>
      <c r="F1367" t="s">
        <v>15</v>
      </c>
      <c r="G1367" t="s">
        <v>20</v>
      </c>
      <c r="H1367" t="s">
        <v>21</v>
      </c>
      <c r="I1367">
        <v>0</v>
      </c>
      <c r="J1367">
        <v>0</v>
      </c>
      <c r="K1367">
        <v>1</v>
      </c>
    </row>
    <row r="1368" spans="1:11" x14ac:dyDescent="0.25">
      <c r="A1368" t="str">
        <f>"1758"</f>
        <v>1758</v>
      </c>
      <c r="B1368" t="str">
        <f t="shared" si="82"/>
        <v>1</v>
      </c>
      <c r="C1368" t="str">
        <f t="shared" si="81"/>
        <v>72</v>
      </c>
      <c r="D1368" t="str">
        <f>"10"</f>
        <v>10</v>
      </c>
      <c r="E1368" t="str">
        <f>"1-72-10"</f>
        <v>1-72-10</v>
      </c>
      <c r="F1368" t="s">
        <v>15</v>
      </c>
      <c r="G1368" t="s">
        <v>20</v>
      </c>
      <c r="H1368" t="s">
        <v>21</v>
      </c>
      <c r="I1368">
        <v>1</v>
      </c>
      <c r="J1368">
        <v>0</v>
      </c>
      <c r="K1368">
        <v>0</v>
      </c>
    </row>
    <row r="1369" spans="1:11" x14ac:dyDescent="0.25">
      <c r="A1369" t="str">
        <f>"1759"</f>
        <v>1759</v>
      </c>
      <c r="B1369" t="str">
        <f t="shared" si="82"/>
        <v>1</v>
      </c>
      <c r="C1369" t="str">
        <f t="shared" si="81"/>
        <v>72</v>
      </c>
      <c r="D1369" t="str">
        <f>"25"</f>
        <v>25</v>
      </c>
      <c r="E1369" t="str">
        <f>"1-72-25"</f>
        <v>1-72-25</v>
      </c>
      <c r="F1369" t="s">
        <v>15</v>
      </c>
      <c r="G1369" t="s">
        <v>20</v>
      </c>
      <c r="H1369" t="s">
        <v>21</v>
      </c>
      <c r="I1369">
        <v>1</v>
      </c>
      <c r="J1369">
        <v>0</v>
      </c>
      <c r="K1369">
        <v>0</v>
      </c>
    </row>
    <row r="1370" spans="1:11" x14ac:dyDescent="0.25">
      <c r="A1370" t="str">
        <f>"1760"</f>
        <v>1760</v>
      </c>
      <c r="B1370" t="str">
        <f t="shared" si="82"/>
        <v>1</v>
      </c>
      <c r="C1370" t="str">
        <f t="shared" si="81"/>
        <v>72</v>
      </c>
      <c r="D1370" t="str">
        <f>"8"</f>
        <v>8</v>
      </c>
      <c r="E1370" t="str">
        <f>"1-72-8"</f>
        <v>1-72-8</v>
      </c>
      <c r="F1370" t="s">
        <v>15</v>
      </c>
      <c r="G1370" t="s">
        <v>20</v>
      </c>
      <c r="H1370" t="s">
        <v>21</v>
      </c>
      <c r="I1370">
        <v>0</v>
      </c>
      <c r="J1370">
        <v>1</v>
      </c>
      <c r="K1370">
        <v>0</v>
      </c>
    </row>
    <row r="1371" spans="1:11" x14ac:dyDescent="0.25">
      <c r="A1371" t="str">
        <f>"1761"</f>
        <v>1761</v>
      </c>
      <c r="B1371" t="str">
        <f t="shared" si="82"/>
        <v>1</v>
      </c>
      <c r="C1371" t="str">
        <f t="shared" si="81"/>
        <v>72</v>
      </c>
      <c r="D1371" t="str">
        <f>"26"</f>
        <v>26</v>
      </c>
      <c r="E1371" t="str">
        <f>"1-72-26"</f>
        <v>1-72-26</v>
      </c>
      <c r="F1371" t="s">
        <v>15</v>
      </c>
      <c r="G1371" t="s">
        <v>20</v>
      </c>
      <c r="H1371" t="s">
        <v>21</v>
      </c>
      <c r="I1371">
        <v>1</v>
      </c>
      <c r="J1371">
        <v>0</v>
      </c>
      <c r="K1371">
        <v>0</v>
      </c>
    </row>
    <row r="1372" spans="1:11" x14ac:dyDescent="0.25">
      <c r="A1372" t="str">
        <f>"1762"</f>
        <v>1762</v>
      </c>
      <c r="B1372" t="str">
        <f t="shared" si="82"/>
        <v>1</v>
      </c>
      <c r="C1372" t="str">
        <f t="shared" si="81"/>
        <v>72</v>
      </c>
      <c r="D1372" t="str">
        <f>"7"</f>
        <v>7</v>
      </c>
      <c r="E1372" t="str">
        <f>"1-72-7"</f>
        <v>1-72-7</v>
      </c>
      <c r="F1372" t="s">
        <v>15</v>
      </c>
      <c r="G1372" t="s">
        <v>20</v>
      </c>
      <c r="H1372" t="s">
        <v>21</v>
      </c>
      <c r="I1372">
        <v>0</v>
      </c>
      <c r="J1372">
        <v>1</v>
      </c>
      <c r="K1372">
        <v>0</v>
      </c>
    </row>
    <row r="1373" spans="1:11" x14ac:dyDescent="0.25">
      <c r="A1373" t="str">
        <f>"1763"</f>
        <v>1763</v>
      </c>
      <c r="B1373" t="str">
        <f t="shared" si="82"/>
        <v>1</v>
      </c>
      <c r="C1373" t="str">
        <f t="shared" si="81"/>
        <v>72</v>
      </c>
      <c r="D1373" t="str">
        <f>"2"</f>
        <v>2</v>
      </c>
      <c r="E1373" t="str">
        <f>"1-72-2"</f>
        <v>1-72-2</v>
      </c>
      <c r="F1373" t="s">
        <v>15</v>
      </c>
      <c r="G1373" t="s">
        <v>20</v>
      </c>
      <c r="H1373" t="s">
        <v>21</v>
      </c>
      <c r="I1373">
        <v>0</v>
      </c>
      <c r="J1373">
        <v>1</v>
      </c>
      <c r="K1373">
        <v>0</v>
      </c>
    </row>
    <row r="1374" spans="1:11" x14ac:dyDescent="0.25">
      <c r="A1374" t="str">
        <f>"1764"</f>
        <v>1764</v>
      </c>
      <c r="B1374" t="str">
        <f t="shared" si="82"/>
        <v>1</v>
      </c>
      <c r="C1374" t="str">
        <f t="shared" si="81"/>
        <v>72</v>
      </c>
      <c r="D1374" t="str">
        <f>"11"</f>
        <v>11</v>
      </c>
      <c r="E1374" t="str">
        <f>"1-72-11"</f>
        <v>1-72-11</v>
      </c>
      <c r="F1374" t="s">
        <v>15</v>
      </c>
      <c r="G1374" t="s">
        <v>20</v>
      </c>
      <c r="H1374" t="s">
        <v>21</v>
      </c>
      <c r="I1374">
        <v>0</v>
      </c>
      <c r="J1374">
        <v>1</v>
      </c>
      <c r="K1374">
        <v>0</v>
      </c>
    </row>
    <row r="1375" spans="1:11" x14ac:dyDescent="0.25">
      <c r="A1375" t="str">
        <f>"1765"</f>
        <v>1765</v>
      </c>
      <c r="B1375" t="str">
        <f t="shared" si="82"/>
        <v>1</v>
      </c>
      <c r="C1375" t="str">
        <f t="shared" si="81"/>
        <v>72</v>
      </c>
      <c r="D1375" t="str">
        <f>"13"</f>
        <v>13</v>
      </c>
      <c r="E1375" t="str">
        <f>"1-72-13"</f>
        <v>1-72-13</v>
      </c>
      <c r="F1375" t="s">
        <v>15</v>
      </c>
      <c r="G1375" t="s">
        <v>20</v>
      </c>
      <c r="H1375" t="s">
        <v>21</v>
      </c>
      <c r="I1375">
        <v>1</v>
      </c>
      <c r="J1375">
        <v>0</v>
      </c>
      <c r="K1375">
        <v>0</v>
      </c>
    </row>
    <row r="1376" spans="1:11" x14ac:dyDescent="0.25">
      <c r="A1376" t="str">
        <f>"1766"</f>
        <v>1766</v>
      </c>
      <c r="B1376" t="str">
        <f t="shared" si="82"/>
        <v>1</v>
      </c>
      <c r="C1376" t="str">
        <f t="shared" si="81"/>
        <v>72</v>
      </c>
      <c r="D1376" t="str">
        <f>"3"</f>
        <v>3</v>
      </c>
      <c r="E1376" t="str">
        <f>"1-72-3"</f>
        <v>1-72-3</v>
      </c>
      <c r="F1376" t="s">
        <v>15</v>
      </c>
      <c r="G1376" t="s">
        <v>20</v>
      </c>
      <c r="H1376" t="s">
        <v>21</v>
      </c>
      <c r="I1376">
        <v>0</v>
      </c>
      <c r="J1376">
        <v>1</v>
      </c>
      <c r="K1376">
        <v>0</v>
      </c>
    </row>
    <row r="1377" spans="1:11" x14ac:dyDescent="0.25">
      <c r="A1377" t="str">
        <f>"1767"</f>
        <v>1767</v>
      </c>
      <c r="B1377" t="str">
        <f t="shared" si="82"/>
        <v>1</v>
      </c>
      <c r="C1377" t="str">
        <f t="shared" si="81"/>
        <v>72</v>
      </c>
      <c r="D1377" t="str">
        <f>"19"</f>
        <v>19</v>
      </c>
      <c r="E1377" t="str">
        <f>"1-72-19"</f>
        <v>1-72-19</v>
      </c>
      <c r="F1377" t="s">
        <v>15</v>
      </c>
      <c r="G1377" t="s">
        <v>20</v>
      </c>
      <c r="H1377" t="s">
        <v>21</v>
      </c>
      <c r="I1377">
        <v>0</v>
      </c>
      <c r="J1377">
        <v>0</v>
      </c>
      <c r="K1377">
        <v>0</v>
      </c>
    </row>
    <row r="1378" spans="1:11" x14ac:dyDescent="0.25">
      <c r="A1378" t="str">
        <f>"1787"</f>
        <v>1787</v>
      </c>
      <c r="B1378" t="str">
        <f t="shared" si="82"/>
        <v>1</v>
      </c>
      <c r="C1378" t="str">
        <f t="shared" ref="C1378:C1403" si="83">"74"</f>
        <v>74</v>
      </c>
      <c r="D1378" t="str">
        <f>"19"</f>
        <v>19</v>
      </c>
      <c r="E1378" t="str">
        <f>"1-74-19"</f>
        <v>1-74-19</v>
      </c>
      <c r="F1378" t="s">
        <v>15</v>
      </c>
      <c r="G1378" t="s">
        <v>20</v>
      </c>
      <c r="H1378" t="s">
        <v>21</v>
      </c>
      <c r="I1378">
        <v>1</v>
      </c>
      <c r="J1378">
        <v>0</v>
      </c>
      <c r="K1378">
        <v>0</v>
      </c>
    </row>
    <row r="1379" spans="1:11" x14ac:dyDescent="0.25">
      <c r="A1379" t="str">
        <f>"1788"</f>
        <v>1788</v>
      </c>
      <c r="B1379" t="str">
        <f t="shared" si="82"/>
        <v>1</v>
      </c>
      <c r="C1379" t="str">
        <f t="shared" si="83"/>
        <v>74</v>
      </c>
      <c r="D1379" t="str">
        <f>"15"</f>
        <v>15</v>
      </c>
      <c r="E1379" t="str">
        <f>"1-74-15"</f>
        <v>1-74-15</v>
      </c>
      <c r="F1379" t="s">
        <v>15</v>
      </c>
      <c r="G1379" t="s">
        <v>20</v>
      </c>
      <c r="H1379" t="s">
        <v>21</v>
      </c>
      <c r="I1379">
        <v>1</v>
      </c>
      <c r="J1379">
        <v>0</v>
      </c>
      <c r="K1379">
        <v>0</v>
      </c>
    </row>
    <row r="1380" spans="1:11" x14ac:dyDescent="0.25">
      <c r="A1380" t="str">
        <f>"1789"</f>
        <v>1789</v>
      </c>
      <c r="B1380" t="str">
        <f t="shared" si="82"/>
        <v>1</v>
      </c>
      <c r="C1380" t="str">
        <f t="shared" si="83"/>
        <v>74</v>
      </c>
      <c r="D1380" t="str">
        <f>"4"</f>
        <v>4</v>
      </c>
      <c r="E1380" t="str">
        <f>"1-74-4"</f>
        <v>1-74-4</v>
      </c>
      <c r="F1380" t="s">
        <v>15</v>
      </c>
      <c r="G1380" t="s">
        <v>20</v>
      </c>
      <c r="H1380" t="s">
        <v>21</v>
      </c>
      <c r="I1380">
        <v>0</v>
      </c>
      <c r="J1380">
        <v>0</v>
      </c>
      <c r="K1380">
        <v>1</v>
      </c>
    </row>
    <row r="1381" spans="1:11" x14ac:dyDescent="0.25">
      <c r="A1381" t="str">
        <f>"1790"</f>
        <v>1790</v>
      </c>
      <c r="B1381" t="str">
        <f t="shared" si="82"/>
        <v>1</v>
      </c>
      <c r="C1381" t="str">
        <f t="shared" si="83"/>
        <v>74</v>
      </c>
      <c r="D1381" t="str">
        <f>"23"</f>
        <v>23</v>
      </c>
      <c r="E1381" t="str">
        <f>"1-74-23"</f>
        <v>1-74-23</v>
      </c>
      <c r="F1381" t="s">
        <v>15</v>
      </c>
      <c r="G1381" t="s">
        <v>20</v>
      </c>
      <c r="H1381" t="s">
        <v>21</v>
      </c>
      <c r="I1381">
        <v>1</v>
      </c>
      <c r="J1381">
        <v>0</v>
      </c>
      <c r="K1381">
        <v>0</v>
      </c>
    </row>
    <row r="1382" spans="1:11" x14ac:dyDescent="0.25">
      <c r="A1382" t="str">
        <f>"1791"</f>
        <v>1791</v>
      </c>
      <c r="B1382" t="str">
        <f t="shared" si="82"/>
        <v>1</v>
      </c>
      <c r="C1382" t="str">
        <f t="shared" si="83"/>
        <v>74</v>
      </c>
      <c r="D1382" t="str">
        <f>"16"</f>
        <v>16</v>
      </c>
      <c r="E1382" t="str">
        <f>"1-74-16"</f>
        <v>1-74-16</v>
      </c>
      <c r="F1382" t="s">
        <v>15</v>
      </c>
      <c r="G1382" t="s">
        <v>20</v>
      </c>
      <c r="H1382" t="s">
        <v>21</v>
      </c>
      <c r="I1382">
        <v>1</v>
      </c>
      <c r="J1382">
        <v>0</v>
      </c>
      <c r="K1382">
        <v>0</v>
      </c>
    </row>
    <row r="1383" spans="1:11" x14ac:dyDescent="0.25">
      <c r="A1383" t="str">
        <f>"1792"</f>
        <v>1792</v>
      </c>
      <c r="B1383" t="str">
        <f t="shared" si="82"/>
        <v>1</v>
      </c>
      <c r="C1383" t="str">
        <f t="shared" si="83"/>
        <v>74</v>
      </c>
      <c r="D1383" t="str">
        <f>"11"</f>
        <v>11</v>
      </c>
      <c r="E1383" t="str">
        <f>"1-74-11"</f>
        <v>1-74-11</v>
      </c>
      <c r="F1383" t="s">
        <v>15</v>
      </c>
      <c r="G1383" t="s">
        <v>20</v>
      </c>
      <c r="H1383" t="s">
        <v>21</v>
      </c>
      <c r="I1383">
        <v>0</v>
      </c>
      <c r="J1383">
        <v>0</v>
      </c>
      <c r="K1383">
        <v>1</v>
      </c>
    </row>
    <row r="1384" spans="1:11" x14ac:dyDescent="0.25">
      <c r="A1384" t="str">
        <f>"1793"</f>
        <v>1793</v>
      </c>
      <c r="B1384" t="str">
        <f t="shared" si="82"/>
        <v>1</v>
      </c>
      <c r="C1384" t="str">
        <f t="shared" si="83"/>
        <v>74</v>
      </c>
      <c r="D1384" t="str">
        <f>"17"</f>
        <v>17</v>
      </c>
      <c r="E1384" t="str">
        <f>"1-74-17"</f>
        <v>1-74-17</v>
      </c>
      <c r="F1384" t="s">
        <v>15</v>
      </c>
      <c r="G1384" t="s">
        <v>20</v>
      </c>
      <c r="H1384" t="s">
        <v>21</v>
      </c>
      <c r="I1384">
        <v>0</v>
      </c>
      <c r="J1384">
        <v>0</v>
      </c>
      <c r="K1384">
        <v>1</v>
      </c>
    </row>
    <row r="1385" spans="1:11" x14ac:dyDescent="0.25">
      <c r="A1385" t="str">
        <f>"1794"</f>
        <v>1794</v>
      </c>
      <c r="B1385" t="str">
        <f t="shared" si="82"/>
        <v>1</v>
      </c>
      <c r="C1385" t="str">
        <f t="shared" si="83"/>
        <v>74</v>
      </c>
      <c r="D1385" t="str">
        <f>"18"</f>
        <v>18</v>
      </c>
      <c r="E1385" t="str">
        <f>"1-74-18"</f>
        <v>1-74-18</v>
      </c>
      <c r="F1385" t="s">
        <v>15</v>
      </c>
      <c r="G1385" t="s">
        <v>20</v>
      </c>
      <c r="H1385" t="s">
        <v>21</v>
      </c>
      <c r="I1385">
        <v>0</v>
      </c>
      <c r="J1385">
        <v>0</v>
      </c>
      <c r="K1385">
        <v>1</v>
      </c>
    </row>
    <row r="1386" spans="1:11" x14ac:dyDescent="0.25">
      <c r="A1386" t="str">
        <f>"1795"</f>
        <v>1795</v>
      </c>
      <c r="B1386" t="str">
        <f t="shared" si="82"/>
        <v>1</v>
      </c>
      <c r="C1386" t="str">
        <f t="shared" si="83"/>
        <v>74</v>
      </c>
      <c r="D1386" t="str">
        <f>"1"</f>
        <v>1</v>
      </c>
      <c r="E1386" t="str">
        <f>"1-74-1"</f>
        <v>1-74-1</v>
      </c>
      <c r="F1386" t="s">
        <v>15</v>
      </c>
      <c r="G1386" t="s">
        <v>20</v>
      </c>
      <c r="H1386" t="s">
        <v>21</v>
      </c>
      <c r="I1386">
        <v>1</v>
      </c>
      <c r="J1386">
        <v>0</v>
      </c>
      <c r="K1386">
        <v>0</v>
      </c>
    </row>
    <row r="1387" spans="1:11" x14ac:dyDescent="0.25">
      <c r="A1387" t="str">
        <f>"1796"</f>
        <v>1796</v>
      </c>
      <c r="B1387" t="str">
        <f t="shared" si="82"/>
        <v>1</v>
      </c>
      <c r="C1387" t="str">
        <f t="shared" si="83"/>
        <v>74</v>
      </c>
      <c r="D1387" t="str">
        <f>"20"</f>
        <v>20</v>
      </c>
      <c r="E1387" t="str">
        <f>"1-74-20"</f>
        <v>1-74-20</v>
      </c>
      <c r="F1387" t="s">
        <v>15</v>
      </c>
      <c r="G1387" t="s">
        <v>20</v>
      </c>
      <c r="H1387" t="s">
        <v>21</v>
      </c>
      <c r="I1387">
        <v>1</v>
      </c>
      <c r="J1387">
        <v>0</v>
      </c>
      <c r="K1387">
        <v>0</v>
      </c>
    </row>
    <row r="1388" spans="1:11" x14ac:dyDescent="0.25">
      <c r="A1388" t="str">
        <f>"1797"</f>
        <v>1797</v>
      </c>
      <c r="B1388" t="str">
        <f t="shared" si="82"/>
        <v>1</v>
      </c>
      <c r="C1388" t="str">
        <f t="shared" si="83"/>
        <v>74</v>
      </c>
      <c r="D1388" t="str">
        <f>"5"</f>
        <v>5</v>
      </c>
      <c r="E1388" t="str">
        <f>"1-74-5"</f>
        <v>1-74-5</v>
      </c>
      <c r="F1388" t="s">
        <v>15</v>
      </c>
      <c r="G1388" t="s">
        <v>20</v>
      </c>
      <c r="H1388" t="s">
        <v>21</v>
      </c>
      <c r="I1388">
        <v>0</v>
      </c>
      <c r="J1388">
        <v>0</v>
      </c>
      <c r="K1388">
        <v>1</v>
      </c>
    </row>
    <row r="1389" spans="1:11" x14ac:dyDescent="0.25">
      <c r="A1389" t="str">
        <f>"1798"</f>
        <v>1798</v>
      </c>
      <c r="B1389" t="str">
        <f t="shared" si="82"/>
        <v>1</v>
      </c>
      <c r="C1389" t="str">
        <f t="shared" si="83"/>
        <v>74</v>
      </c>
      <c r="D1389" t="str">
        <f>"21"</f>
        <v>21</v>
      </c>
      <c r="E1389" t="str">
        <f>"1-74-21"</f>
        <v>1-74-21</v>
      </c>
      <c r="F1389" t="s">
        <v>15</v>
      </c>
      <c r="G1389" t="s">
        <v>20</v>
      </c>
      <c r="H1389" t="s">
        <v>21</v>
      </c>
      <c r="I1389">
        <v>1</v>
      </c>
      <c r="J1389">
        <v>0</v>
      </c>
      <c r="K1389">
        <v>0</v>
      </c>
    </row>
    <row r="1390" spans="1:11" x14ac:dyDescent="0.25">
      <c r="A1390" t="str">
        <f>"1799"</f>
        <v>1799</v>
      </c>
      <c r="B1390" t="str">
        <f t="shared" si="82"/>
        <v>1</v>
      </c>
      <c r="C1390" t="str">
        <f t="shared" si="83"/>
        <v>74</v>
      </c>
      <c r="D1390" t="str">
        <f>"3"</f>
        <v>3</v>
      </c>
      <c r="E1390" t="str">
        <f>"1-74-3"</f>
        <v>1-74-3</v>
      </c>
      <c r="F1390" t="s">
        <v>15</v>
      </c>
      <c r="G1390" t="s">
        <v>20</v>
      </c>
      <c r="H1390" t="s">
        <v>21</v>
      </c>
      <c r="I1390">
        <v>0</v>
      </c>
      <c r="J1390">
        <v>1</v>
      </c>
      <c r="K1390">
        <v>0</v>
      </c>
    </row>
    <row r="1391" spans="1:11" x14ac:dyDescent="0.25">
      <c r="A1391" t="str">
        <f>"1800"</f>
        <v>1800</v>
      </c>
      <c r="B1391" t="str">
        <f t="shared" si="82"/>
        <v>1</v>
      </c>
      <c r="C1391" t="str">
        <f t="shared" si="83"/>
        <v>74</v>
      </c>
      <c r="D1391" t="str">
        <f>"22"</f>
        <v>22</v>
      </c>
      <c r="E1391" t="str">
        <f>"1-74-22"</f>
        <v>1-74-22</v>
      </c>
      <c r="F1391" t="s">
        <v>15</v>
      </c>
      <c r="G1391" t="s">
        <v>20</v>
      </c>
      <c r="H1391" t="s">
        <v>21</v>
      </c>
      <c r="I1391">
        <v>1</v>
      </c>
      <c r="J1391">
        <v>0</v>
      </c>
      <c r="K1391">
        <v>0</v>
      </c>
    </row>
    <row r="1392" spans="1:11" x14ac:dyDescent="0.25">
      <c r="A1392" t="str">
        <f>"1801"</f>
        <v>1801</v>
      </c>
      <c r="B1392" t="str">
        <f t="shared" si="82"/>
        <v>1</v>
      </c>
      <c r="C1392" t="str">
        <f t="shared" si="83"/>
        <v>74</v>
      </c>
      <c r="D1392" t="str">
        <f>"14"</f>
        <v>14</v>
      </c>
      <c r="E1392" t="str">
        <f>"1-74-14"</f>
        <v>1-74-14</v>
      </c>
      <c r="F1392" t="s">
        <v>15</v>
      </c>
      <c r="G1392" t="s">
        <v>20</v>
      </c>
      <c r="H1392" t="s">
        <v>21</v>
      </c>
      <c r="I1392">
        <v>1</v>
      </c>
      <c r="J1392">
        <v>0</v>
      </c>
      <c r="K1392">
        <v>0</v>
      </c>
    </row>
    <row r="1393" spans="1:11" x14ac:dyDescent="0.25">
      <c r="A1393" t="str">
        <f>"1802"</f>
        <v>1802</v>
      </c>
      <c r="B1393" t="str">
        <f t="shared" si="82"/>
        <v>1</v>
      </c>
      <c r="C1393" t="str">
        <f t="shared" si="83"/>
        <v>74</v>
      </c>
      <c r="D1393" t="str">
        <f>"24"</f>
        <v>24</v>
      </c>
      <c r="E1393" t="str">
        <f>"1-74-24"</f>
        <v>1-74-24</v>
      </c>
      <c r="F1393" t="s">
        <v>15</v>
      </c>
      <c r="G1393" t="s">
        <v>20</v>
      </c>
      <c r="H1393" t="s">
        <v>21</v>
      </c>
      <c r="I1393">
        <v>0</v>
      </c>
      <c r="J1393">
        <v>0</v>
      </c>
      <c r="K1393">
        <v>1</v>
      </c>
    </row>
    <row r="1394" spans="1:11" x14ac:dyDescent="0.25">
      <c r="A1394" t="str">
        <f>"1803"</f>
        <v>1803</v>
      </c>
      <c r="B1394" t="str">
        <f t="shared" si="82"/>
        <v>1</v>
      </c>
      <c r="C1394" t="str">
        <f t="shared" si="83"/>
        <v>74</v>
      </c>
      <c r="D1394" t="str">
        <f>"6"</f>
        <v>6</v>
      </c>
      <c r="E1394" t="str">
        <f>"1-74-6"</f>
        <v>1-74-6</v>
      </c>
      <c r="F1394" t="s">
        <v>15</v>
      </c>
      <c r="G1394" t="s">
        <v>20</v>
      </c>
      <c r="H1394" t="s">
        <v>21</v>
      </c>
      <c r="I1394">
        <v>0</v>
      </c>
      <c r="J1394">
        <v>1</v>
      </c>
      <c r="K1394">
        <v>0</v>
      </c>
    </row>
    <row r="1395" spans="1:11" x14ac:dyDescent="0.25">
      <c r="A1395" t="str">
        <f>"1804"</f>
        <v>1804</v>
      </c>
      <c r="B1395" t="str">
        <f t="shared" si="82"/>
        <v>1</v>
      </c>
      <c r="C1395" t="str">
        <f t="shared" si="83"/>
        <v>74</v>
      </c>
      <c r="D1395" t="str">
        <f>"25"</f>
        <v>25</v>
      </c>
      <c r="E1395" t="str">
        <f>"1-74-25"</f>
        <v>1-74-25</v>
      </c>
      <c r="F1395" t="s">
        <v>15</v>
      </c>
      <c r="G1395" t="s">
        <v>20</v>
      </c>
      <c r="H1395" t="s">
        <v>21</v>
      </c>
      <c r="I1395">
        <v>0</v>
      </c>
      <c r="J1395">
        <v>0</v>
      </c>
      <c r="K1395">
        <v>1</v>
      </c>
    </row>
    <row r="1396" spans="1:11" x14ac:dyDescent="0.25">
      <c r="A1396" t="str">
        <f>"1805"</f>
        <v>1805</v>
      </c>
      <c r="B1396" t="str">
        <f t="shared" si="82"/>
        <v>1</v>
      </c>
      <c r="C1396" t="str">
        <f t="shared" si="83"/>
        <v>74</v>
      </c>
      <c r="D1396" t="str">
        <f>"8"</f>
        <v>8</v>
      </c>
      <c r="E1396" t="str">
        <f>"1-74-8"</f>
        <v>1-74-8</v>
      </c>
      <c r="F1396" t="s">
        <v>15</v>
      </c>
      <c r="G1396" t="s">
        <v>20</v>
      </c>
      <c r="H1396" t="s">
        <v>21</v>
      </c>
      <c r="I1396">
        <v>0</v>
      </c>
      <c r="J1396">
        <v>0</v>
      </c>
      <c r="K1396">
        <v>1</v>
      </c>
    </row>
    <row r="1397" spans="1:11" x14ac:dyDescent="0.25">
      <c r="A1397" t="str">
        <f>"1806"</f>
        <v>1806</v>
      </c>
      <c r="B1397" t="str">
        <f t="shared" si="82"/>
        <v>1</v>
      </c>
      <c r="C1397" t="str">
        <f t="shared" si="83"/>
        <v>74</v>
      </c>
      <c r="D1397" t="str">
        <f>"26"</f>
        <v>26</v>
      </c>
      <c r="E1397" t="str">
        <f>"1-74-26"</f>
        <v>1-74-26</v>
      </c>
      <c r="F1397" t="s">
        <v>15</v>
      </c>
      <c r="G1397" t="s">
        <v>20</v>
      </c>
      <c r="H1397" t="s">
        <v>21</v>
      </c>
      <c r="I1397">
        <v>0</v>
      </c>
      <c r="J1397">
        <v>0</v>
      </c>
      <c r="K1397">
        <v>1</v>
      </c>
    </row>
    <row r="1398" spans="1:11" x14ac:dyDescent="0.25">
      <c r="A1398" t="str">
        <f>"1807"</f>
        <v>1807</v>
      </c>
      <c r="B1398" t="str">
        <f t="shared" si="82"/>
        <v>1</v>
      </c>
      <c r="C1398" t="str">
        <f t="shared" si="83"/>
        <v>74</v>
      </c>
      <c r="D1398" t="str">
        <f>"2"</f>
        <v>2</v>
      </c>
      <c r="E1398" t="str">
        <f>"1-74-2"</f>
        <v>1-74-2</v>
      </c>
      <c r="F1398" t="s">
        <v>15</v>
      </c>
      <c r="G1398" t="s">
        <v>20</v>
      </c>
      <c r="H1398" t="s">
        <v>21</v>
      </c>
      <c r="I1398">
        <v>1</v>
      </c>
      <c r="J1398">
        <v>0</v>
      </c>
      <c r="K1398">
        <v>0</v>
      </c>
    </row>
    <row r="1399" spans="1:11" x14ac:dyDescent="0.25">
      <c r="A1399" t="str">
        <f>"1808"</f>
        <v>1808</v>
      </c>
      <c r="B1399" t="str">
        <f t="shared" si="82"/>
        <v>1</v>
      </c>
      <c r="C1399" t="str">
        <f t="shared" si="83"/>
        <v>74</v>
      </c>
      <c r="D1399" t="str">
        <f>"9"</f>
        <v>9</v>
      </c>
      <c r="E1399" t="str">
        <f>"1-74-9"</f>
        <v>1-74-9</v>
      </c>
      <c r="F1399" t="s">
        <v>15</v>
      </c>
      <c r="G1399" t="s">
        <v>20</v>
      </c>
      <c r="H1399" t="s">
        <v>21</v>
      </c>
      <c r="I1399">
        <v>1</v>
      </c>
      <c r="J1399">
        <v>0</v>
      </c>
      <c r="K1399">
        <v>0</v>
      </c>
    </row>
    <row r="1400" spans="1:11" x14ac:dyDescent="0.25">
      <c r="A1400" t="str">
        <f>"1809"</f>
        <v>1809</v>
      </c>
      <c r="B1400" t="str">
        <f t="shared" si="82"/>
        <v>1</v>
      </c>
      <c r="C1400" t="str">
        <f t="shared" si="83"/>
        <v>74</v>
      </c>
      <c r="D1400" t="str">
        <f>"12"</f>
        <v>12</v>
      </c>
      <c r="E1400" t="str">
        <f>"1-74-12"</f>
        <v>1-74-12</v>
      </c>
      <c r="F1400" t="s">
        <v>15</v>
      </c>
      <c r="G1400" t="s">
        <v>20</v>
      </c>
      <c r="H1400" t="s">
        <v>21</v>
      </c>
      <c r="I1400">
        <v>1</v>
      </c>
      <c r="J1400">
        <v>0</v>
      </c>
      <c r="K1400">
        <v>0</v>
      </c>
    </row>
    <row r="1401" spans="1:11" x14ac:dyDescent="0.25">
      <c r="A1401" t="str">
        <f>"1810"</f>
        <v>1810</v>
      </c>
      <c r="B1401" t="str">
        <f t="shared" si="82"/>
        <v>1</v>
      </c>
      <c r="C1401" t="str">
        <f t="shared" si="83"/>
        <v>74</v>
      </c>
      <c r="D1401" t="str">
        <f>"13"</f>
        <v>13</v>
      </c>
      <c r="E1401" t="str">
        <f>"1-74-13"</f>
        <v>1-74-13</v>
      </c>
      <c r="F1401" t="s">
        <v>15</v>
      </c>
      <c r="G1401" t="s">
        <v>20</v>
      </c>
      <c r="H1401" t="s">
        <v>21</v>
      </c>
      <c r="I1401">
        <v>0</v>
      </c>
      <c r="J1401">
        <v>0</v>
      </c>
      <c r="K1401">
        <v>1</v>
      </c>
    </row>
    <row r="1402" spans="1:11" x14ac:dyDescent="0.25">
      <c r="A1402" t="str">
        <f>"1811"</f>
        <v>1811</v>
      </c>
      <c r="B1402" t="str">
        <f t="shared" si="82"/>
        <v>1</v>
      </c>
      <c r="C1402" t="str">
        <f t="shared" si="83"/>
        <v>74</v>
      </c>
      <c r="D1402" t="str">
        <f>"7"</f>
        <v>7</v>
      </c>
      <c r="E1402" t="str">
        <f>"1-74-7"</f>
        <v>1-74-7</v>
      </c>
      <c r="F1402" t="s">
        <v>15</v>
      </c>
      <c r="G1402" t="s">
        <v>20</v>
      </c>
      <c r="H1402" t="s">
        <v>21</v>
      </c>
      <c r="I1402">
        <v>0</v>
      </c>
      <c r="J1402">
        <v>1</v>
      </c>
      <c r="K1402">
        <v>0</v>
      </c>
    </row>
    <row r="1403" spans="1:11" x14ac:dyDescent="0.25">
      <c r="A1403" t="str">
        <f>"1812"</f>
        <v>1812</v>
      </c>
      <c r="B1403" t="str">
        <f t="shared" si="82"/>
        <v>1</v>
      </c>
      <c r="C1403" t="str">
        <f t="shared" si="83"/>
        <v>74</v>
      </c>
      <c r="D1403" t="str">
        <f>"10"</f>
        <v>10</v>
      </c>
      <c r="E1403" t="str">
        <f>"1-74-10"</f>
        <v>1-74-10</v>
      </c>
      <c r="F1403" t="s">
        <v>15</v>
      </c>
      <c r="G1403" t="s">
        <v>20</v>
      </c>
      <c r="H1403" t="s">
        <v>21</v>
      </c>
      <c r="I1403">
        <v>0</v>
      </c>
      <c r="J1403">
        <v>0</v>
      </c>
      <c r="K1403">
        <v>0</v>
      </c>
    </row>
    <row r="1404" spans="1:11" x14ac:dyDescent="0.25">
      <c r="A1404" t="str">
        <f>"1813"</f>
        <v>1813</v>
      </c>
      <c r="B1404" t="str">
        <f t="shared" si="82"/>
        <v>1</v>
      </c>
      <c r="C1404" t="str">
        <f t="shared" ref="C1404:C1428" si="84">"75"</f>
        <v>75</v>
      </c>
      <c r="D1404" t="str">
        <f>"15"</f>
        <v>15</v>
      </c>
      <c r="E1404" t="str">
        <f>"1-75-15"</f>
        <v>1-75-15</v>
      </c>
      <c r="F1404" t="s">
        <v>15</v>
      </c>
      <c r="G1404" t="s">
        <v>20</v>
      </c>
      <c r="H1404" t="s">
        <v>21</v>
      </c>
      <c r="I1404">
        <v>1</v>
      </c>
      <c r="J1404">
        <v>0</v>
      </c>
      <c r="K1404">
        <v>0</v>
      </c>
    </row>
    <row r="1405" spans="1:11" x14ac:dyDescent="0.25">
      <c r="A1405" t="str">
        <f>"1814"</f>
        <v>1814</v>
      </c>
      <c r="B1405" t="str">
        <f t="shared" si="82"/>
        <v>1</v>
      </c>
      <c r="C1405" t="str">
        <f t="shared" si="84"/>
        <v>75</v>
      </c>
      <c r="D1405" t="str">
        <f>"1"</f>
        <v>1</v>
      </c>
      <c r="E1405" t="str">
        <f>"1-75-1"</f>
        <v>1-75-1</v>
      </c>
      <c r="F1405" t="s">
        <v>15</v>
      </c>
      <c r="G1405" t="s">
        <v>20</v>
      </c>
      <c r="H1405" t="s">
        <v>21</v>
      </c>
      <c r="I1405">
        <v>1</v>
      </c>
      <c r="J1405">
        <v>0</v>
      </c>
      <c r="K1405">
        <v>0</v>
      </c>
    </row>
    <row r="1406" spans="1:11" x14ac:dyDescent="0.25">
      <c r="A1406" t="str">
        <f>"1815"</f>
        <v>1815</v>
      </c>
      <c r="B1406" t="str">
        <f t="shared" si="82"/>
        <v>1</v>
      </c>
      <c r="C1406" t="str">
        <f t="shared" si="84"/>
        <v>75</v>
      </c>
      <c r="D1406" t="str">
        <f>"22"</f>
        <v>22</v>
      </c>
      <c r="E1406" t="str">
        <f>"1-75-22"</f>
        <v>1-75-22</v>
      </c>
      <c r="F1406" t="s">
        <v>15</v>
      </c>
      <c r="G1406" t="s">
        <v>20</v>
      </c>
      <c r="H1406" t="s">
        <v>21</v>
      </c>
      <c r="I1406">
        <v>0</v>
      </c>
      <c r="J1406">
        <v>0</v>
      </c>
      <c r="K1406">
        <v>1</v>
      </c>
    </row>
    <row r="1407" spans="1:11" x14ac:dyDescent="0.25">
      <c r="A1407" t="str">
        <f>"1816"</f>
        <v>1816</v>
      </c>
      <c r="B1407" t="str">
        <f t="shared" si="82"/>
        <v>1</v>
      </c>
      <c r="C1407" t="str">
        <f t="shared" si="84"/>
        <v>75</v>
      </c>
      <c r="D1407" t="str">
        <f>"16"</f>
        <v>16</v>
      </c>
      <c r="E1407" t="str">
        <f>"1-75-16"</f>
        <v>1-75-16</v>
      </c>
      <c r="F1407" t="s">
        <v>15</v>
      </c>
      <c r="G1407" t="s">
        <v>20</v>
      </c>
      <c r="H1407" t="s">
        <v>21</v>
      </c>
      <c r="I1407">
        <v>0</v>
      </c>
      <c r="J1407">
        <v>1</v>
      </c>
      <c r="K1407">
        <v>0</v>
      </c>
    </row>
    <row r="1408" spans="1:11" x14ac:dyDescent="0.25">
      <c r="A1408" t="str">
        <f>"1817"</f>
        <v>1817</v>
      </c>
      <c r="B1408" t="str">
        <f t="shared" si="82"/>
        <v>1</v>
      </c>
      <c r="C1408" t="str">
        <f t="shared" si="84"/>
        <v>75</v>
      </c>
      <c r="D1408" t="str">
        <f>"8"</f>
        <v>8</v>
      </c>
      <c r="E1408" t="str">
        <f>"1-75-8"</f>
        <v>1-75-8</v>
      </c>
      <c r="F1408" t="s">
        <v>15</v>
      </c>
      <c r="G1408" t="s">
        <v>20</v>
      </c>
      <c r="H1408" t="s">
        <v>21</v>
      </c>
      <c r="I1408">
        <v>1</v>
      </c>
      <c r="J1408">
        <v>0</v>
      </c>
      <c r="K1408">
        <v>0</v>
      </c>
    </row>
    <row r="1409" spans="1:11" x14ac:dyDescent="0.25">
      <c r="A1409" t="str">
        <f>"1818"</f>
        <v>1818</v>
      </c>
      <c r="B1409" t="str">
        <f t="shared" ref="B1409:B1455" si="85">"1"</f>
        <v>1</v>
      </c>
      <c r="C1409" t="str">
        <f t="shared" si="84"/>
        <v>75</v>
      </c>
      <c r="D1409" t="str">
        <f>"17"</f>
        <v>17</v>
      </c>
      <c r="E1409" t="str">
        <f>"1-75-17"</f>
        <v>1-75-17</v>
      </c>
      <c r="F1409" t="s">
        <v>15</v>
      </c>
      <c r="G1409" t="s">
        <v>20</v>
      </c>
      <c r="H1409" t="s">
        <v>21</v>
      </c>
      <c r="I1409">
        <v>0</v>
      </c>
      <c r="J1409">
        <v>0</v>
      </c>
      <c r="K1409">
        <v>1</v>
      </c>
    </row>
    <row r="1410" spans="1:11" x14ac:dyDescent="0.25">
      <c r="A1410" t="str">
        <f>"1819"</f>
        <v>1819</v>
      </c>
      <c r="B1410" t="str">
        <f t="shared" si="85"/>
        <v>1</v>
      </c>
      <c r="C1410" t="str">
        <f t="shared" si="84"/>
        <v>75</v>
      </c>
      <c r="D1410" t="str">
        <f>"18"</f>
        <v>18</v>
      </c>
      <c r="E1410" t="str">
        <f>"1-75-18"</f>
        <v>1-75-18</v>
      </c>
      <c r="F1410" t="s">
        <v>15</v>
      </c>
      <c r="G1410" t="s">
        <v>20</v>
      </c>
      <c r="H1410" t="s">
        <v>21</v>
      </c>
      <c r="I1410">
        <v>0</v>
      </c>
      <c r="J1410">
        <v>1</v>
      </c>
      <c r="K1410">
        <v>0</v>
      </c>
    </row>
    <row r="1411" spans="1:11" x14ac:dyDescent="0.25">
      <c r="A1411" t="str">
        <f>"1820"</f>
        <v>1820</v>
      </c>
      <c r="B1411" t="str">
        <f t="shared" si="85"/>
        <v>1</v>
      </c>
      <c r="C1411" t="str">
        <f t="shared" si="84"/>
        <v>75</v>
      </c>
      <c r="D1411" t="str">
        <f>"14"</f>
        <v>14</v>
      </c>
      <c r="E1411" t="str">
        <f>"1-75-14"</f>
        <v>1-75-14</v>
      </c>
      <c r="F1411" t="s">
        <v>15</v>
      </c>
      <c r="G1411" t="s">
        <v>20</v>
      </c>
      <c r="H1411" t="s">
        <v>21</v>
      </c>
      <c r="I1411">
        <v>1</v>
      </c>
      <c r="J1411">
        <v>0</v>
      </c>
      <c r="K1411">
        <v>0</v>
      </c>
    </row>
    <row r="1412" spans="1:11" x14ac:dyDescent="0.25">
      <c r="A1412" t="str">
        <f>"1821"</f>
        <v>1821</v>
      </c>
      <c r="B1412" t="str">
        <f t="shared" si="85"/>
        <v>1</v>
      </c>
      <c r="C1412" t="str">
        <f t="shared" si="84"/>
        <v>75</v>
      </c>
      <c r="D1412" t="str">
        <f>"19"</f>
        <v>19</v>
      </c>
      <c r="E1412" t="str">
        <f>"1-75-19"</f>
        <v>1-75-19</v>
      </c>
      <c r="F1412" t="s">
        <v>15</v>
      </c>
      <c r="G1412" t="s">
        <v>20</v>
      </c>
      <c r="H1412" t="s">
        <v>21</v>
      </c>
      <c r="I1412">
        <v>1</v>
      </c>
      <c r="J1412">
        <v>0</v>
      </c>
      <c r="K1412">
        <v>0</v>
      </c>
    </row>
    <row r="1413" spans="1:11" x14ac:dyDescent="0.25">
      <c r="A1413" t="str">
        <f>"1822"</f>
        <v>1822</v>
      </c>
      <c r="B1413" t="str">
        <f t="shared" si="85"/>
        <v>1</v>
      </c>
      <c r="C1413" t="str">
        <f t="shared" si="84"/>
        <v>75</v>
      </c>
      <c r="D1413" t="str">
        <f>"2"</f>
        <v>2</v>
      </c>
      <c r="E1413" t="str">
        <f>"1-75-2"</f>
        <v>1-75-2</v>
      </c>
      <c r="F1413" t="s">
        <v>15</v>
      </c>
      <c r="G1413" t="s">
        <v>20</v>
      </c>
      <c r="H1413" t="s">
        <v>21</v>
      </c>
      <c r="I1413">
        <v>1</v>
      </c>
      <c r="J1413">
        <v>0</v>
      </c>
      <c r="K1413">
        <v>0</v>
      </c>
    </row>
    <row r="1414" spans="1:11" x14ac:dyDescent="0.25">
      <c r="A1414" t="str">
        <f>"1823"</f>
        <v>1823</v>
      </c>
      <c r="B1414" t="str">
        <f t="shared" si="85"/>
        <v>1</v>
      </c>
      <c r="C1414" t="str">
        <f t="shared" si="84"/>
        <v>75</v>
      </c>
      <c r="D1414" t="str">
        <f>"20"</f>
        <v>20</v>
      </c>
      <c r="E1414" t="str">
        <f>"1-75-20"</f>
        <v>1-75-20</v>
      </c>
      <c r="F1414" t="s">
        <v>15</v>
      </c>
      <c r="G1414" t="s">
        <v>20</v>
      </c>
      <c r="H1414" t="s">
        <v>21</v>
      </c>
      <c r="I1414">
        <v>1</v>
      </c>
      <c r="J1414">
        <v>0</v>
      </c>
      <c r="K1414">
        <v>0</v>
      </c>
    </row>
    <row r="1415" spans="1:11" x14ac:dyDescent="0.25">
      <c r="A1415" t="str">
        <f>"1824"</f>
        <v>1824</v>
      </c>
      <c r="B1415" t="str">
        <f t="shared" si="85"/>
        <v>1</v>
      </c>
      <c r="C1415" t="str">
        <f t="shared" si="84"/>
        <v>75</v>
      </c>
      <c r="D1415" t="str">
        <f>"7"</f>
        <v>7</v>
      </c>
      <c r="E1415" t="str">
        <f>"1-75-7"</f>
        <v>1-75-7</v>
      </c>
      <c r="F1415" t="s">
        <v>15</v>
      </c>
      <c r="G1415" t="s">
        <v>20</v>
      </c>
      <c r="H1415" t="s">
        <v>21</v>
      </c>
      <c r="I1415">
        <v>0</v>
      </c>
      <c r="J1415">
        <v>0</v>
      </c>
      <c r="K1415">
        <v>1</v>
      </c>
    </row>
    <row r="1416" spans="1:11" x14ac:dyDescent="0.25">
      <c r="A1416" t="str">
        <f>"1825"</f>
        <v>1825</v>
      </c>
      <c r="B1416" t="str">
        <f t="shared" si="85"/>
        <v>1</v>
      </c>
      <c r="C1416" t="str">
        <f t="shared" si="84"/>
        <v>75</v>
      </c>
      <c r="D1416" t="str">
        <f>"21"</f>
        <v>21</v>
      </c>
      <c r="E1416" t="str">
        <f>"1-75-21"</f>
        <v>1-75-21</v>
      </c>
      <c r="F1416" t="s">
        <v>15</v>
      </c>
      <c r="G1416" t="s">
        <v>20</v>
      </c>
      <c r="H1416" t="s">
        <v>21</v>
      </c>
      <c r="I1416">
        <v>0</v>
      </c>
      <c r="J1416">
        <v>0</v>
      </c>
      <c r="K1416">
        <v>1</v>
      </c>
    </row>
    <row r="1417" spans="1:11" x14ac:dyDescent="0.25">
      <c r="A1417" t="str">
        <f>"1826"</f>
        <v>1826</v>
      </c>
      <c r="B1417" t="str">
        <f t="shared" si="85"/>
        <v>1</v>
      </c>
      <c r="C1417" t="str">
        <f t="shared" si="84"/>
        <v>75</v>
      </c>
      <c r="D1417" t="str">
        <f>"3"</f>
        <v>3</v>
      </c>
      <c r="E1417" t="str">
        <f>"1-75-3"</f>
        <v>1-75-3</v>
      </c>
      <c r="F1417" t="s">
        <v>15</v>
      </c>
      <c r="G1417" t="s">
        <v>20</v>
      </c>
      <c r="H1417" t="s">
        <v>21</v>
      </c>
      <c r="I1417">
        <v>1</v>
      </c>
      <c r="J1417">
        <v>0</v>
      </c>
      <c r="K1417">
        <v>0</v>
      </c>
    </row>
    <row r="1418" spans="1:11" x14ac:dyDescent="0.25">
      <c r="A1418" t="str">
        <f>"1827"</f>
        <v>1827</v>
      </c>
      <c r="B1418" t="str">
        <f t="shared" si="85"/>
        <v>1</v>
      </c>
      <c r="C1418" t="str">
        <f t="shared" si="84"/>
        <v>75</v>
      </c>
      <c r="D1418" t="str">
        <f>"23"</f>
        <v>23</v>
      </c>
      <c r="E1418" t="str">
        <f>"1-75-23"</f>
        <v>1-75-23</v>
      </c>
      <c r="F1418" t="s">
        <v>15</v>
      </c>
      <c r="G1418" t="s">
        <v>20</v>
      </c>
      <c r="H1418" t="s">
        <v>21</v>
      </c>
      <c r="I1418">
        <v>0</v>
      </c>
      <c r="J1418">
        <v>0</v>
      </c>
      <c r="K1418">
        <v>1</v>
      </c>
    </row>
    <row r="1419" spans="1:11" x14ac:dyDescent="0.25">
      <c r="A1419" t="str">
        <f>"1828"</f>
        <v>1828</v>
      </c>
      <c r="B1419" t="str">
        <f t="shared" si="85"/>
        <v>1</v>
      </c>
      <c r="C1419" t="str">
        <f t="shared" si="84"/>
        <v>75</v>
      </c>
      <c r="D1419" t="str">
        <f>"11"</f>
        <v>11</v>
      </c>
      <c r="E1419" t="str">
        <f>"1-75-11"</f>
        <v>1-75-11</v>
      </c>
      <c r="F1419" t="s">
        <v>15</v>
      </c>
      <c r="G1419" t="s">
        <v>20</v>
      </c>
      <c r="H1419" t="s">
        <v>21</v>
      </c>
      <c r="I1419">
        <v>0</v>
      </c>
      <c r="J1419">
        <v>0</v>
      </c>
      <c r="K1419">
        <v>1</v>
      </c>
    </row>
    <row r="1420" spans="1:11" x14ac:dyDescent="0.25">
      <c r="A1420" t="str">
        <f>"1829"</f>
        <v>1829</v>
      </c>
      <c r="B1420" t="str">
        <f t="shared" si="85"/>
        <v>1</v>
      </c>
      <c r="C1420" t="str">
        <f t="shared" si="84"/>
        <v>75</v>
      </c>
      <c r="D1420" t="str">
        <f>"24"</f>
        <v>24</v>
      </c>
      <c r="E1420" t="str">
        <f>"1-75-24"</f>
        <v>1-75-24</v>
      </c>
      <c r="F1420" t="s">
        <v>15</v>
      </c>
      <c r="G1420" t="s">
        <v>20</v>
      </c>
      <c r="H1420" t="s">
        <v>21</v>
      </c>
      <c r="I1420">
        <v>1</v>
      </c>
      <c r="J1420">
        <v>0</v>
      </c>
      <c r="K1420">
        <v>0</v>
      </c>
    </row>
    <row r="1421" spans="1:11" x14ac:dyDescent="0.25">
      <c r="A1421" t="str">
        <f>"1830"</f>
        <v>1830</v>
      </c>
      <c r="B1421" t="str">
        <f t="shared" si="85"/>
        <v>1</v>
      </c>
      <c r="C1421" t="str">
        <f t="shared" si="84"/>
        <v>75</v>
      </c>
      <c r="D1421" t="str">
        <f>"13"</f>
        <v>13</v>
      </c>
      <c r="E1421" t="str">
        <f>"1-75-13"</f>
        <v>1-75-13</v>
      </c>
      <c r="F1421" t="s">
        <v>15</v>
      </c>
      <c r="G1421" t="s">
        <v>20</v>
      </c>
      <c r="H1421" t="s">
        <v>21</v>
      </c>
      <c r="I1421">
        <v>0</v>
      </c>
      <c r="J1421">
        <v>0</v>
      </c>
      <c r="K1421">
        <v>1</v>
      </c>
    </row>
    <row r="1422" spans="1:11" x14ac:dyDescent="0.25">
      <c r="A1422" t="str">
        <f>"1831"</f>
        <v>1831</v>
      </c>
      <c r="B1422" t="str">
        <f t="shared" si="85"/>
        <v>1</v>
      </c>
      <c r="C1422" t="str">
        <f t="shared" si="84"/>
        <v>75</v>
      </c>
      <c r="D1422" t="str">
        <f>"10"</f>
        <v>10</v>
      </c>
      <c r="E1422" t="str">
        <f>"1-75-10"</f>
        <v>1-75-10</v>
      </c>
      <c r="F1422" t="s">
        <v>15</v>
      </c>
      <c r="G1422" t="s">
        <v>20</v>
      </c>
      <c r="H1422" t="s">
        <v>21</v>
      </c>
      <c r="I1422">
        <v>0</v>
      </c>
      <c r="J1422">
        <v>0</v>
      </c>
      <c r="K1422">
        <v>1</v>
      </c>
    </row>
    <row r="1423" spans="1:11" x14ac:dyDescent="0.25">
      <c r="A1423" t="str">
        <f>"1832"</f>
        <v>1832</v>
      </c>
      <c r="B1423" t="str">
        <f t="shared" si="85"/>
        <v>1</v>
      </c>
      <c r="C1423" t="str">
        <f t="shared" si="84"/>
        <v>75</v>
      </c>
      <c r="D1423" t="str">
        <f>"12"</f>
        <v>12</v>
      </c>
      <c r="E1423" t="str">
        <f>"1-75-12"</f>
        <v>1-75-12</v>
      </c>
      <c r="F1423" t="s">
        <v>15</v>
      </c>
      <c r="G1423" t="s">
        <v>20</v>
      </c>
      <c r="H1423" t="s">
        <v>21</v>
      </c>
      <c r="I1423">
        <v>1</v>
      </c>
      <c r="J1423">
        <v>0</v>
      </c>
      <c r="K1423">
        <v>0</v>
      </c>
    </row>
    <row r="1424" spans="1:11" x14ac:dyDescent="0.25">
      <c r="A1424" t="str">
        <f>"1833"</f>
        <v>1833</v>
      </c>
      <c r="B1424" t="str">
        <f t="shared" si="85"/>
        <v>1</v>
      </c>
      <c r="C1424" t="str">
        <f t="shared" si="84"/>
        <v>75</v>
      </c>
      <c r="D1424" t="str">
        <f>"4"</f>
        <v>4</v>
      </c>
      <c r="E1424" t="str">
        <f>"1-75-4"</f>
        <v>1-75-4</v>
      </c>
      <c r="F1424" t="s">
        <v>15</v>
      </c>
      <c r="G1424" t="s">
        <v>20</v>
      </c>
      <c r="H1424" t="s">
        <v>21</v>
      </c>
      <c r="I1424">
        <v>0</v>
      </c>
      <c r="J1424">
        <v>0</v>
      </c>
      <c r="K1424">
        <v>1</v>
      </c>
    </row>
    <row r="1425" spans="1:11" x14ac:dyDescent="0.25">
      <c r="A1425" t="str">
        <f>"1834"</f>
        <v>1834</v>
      </c>
      <c r="B1425" t="str">
        <f t="shared" si="85"/>
        <v>1</v>
      </c>
      <c r="C1425" t="str">
        <f t="shared" si="84"/>
        <v>75</v>
      </c>
      <c r="D1425" t="str">
        <f>"9"</f>
        <v>9</v>
      </c>
      <c r="E1425" t="str">
        <f>"1-75-9"</f>
        <v>1-75-9</v>
      </c>
      <c r="F1425" t="s">
        <v>15</v>
      </c>
      <c r="G1425" t="s">
        <v>20</v>
      </c>
      <c r="H1425" t="s">
        <v>21</v>
      </c>
      <c r="I1425">
        <v>0</v>
      </c>
      <c r="J1425">
        <v>0</v>
      </c>
      <c r="K1425">
        <v>1</v>
      </c>
    </row>
    <row r="1426" spans="1:11" x14ac:dyDescent="0.25">
      <c r="A1426" t="str">
        <f>"1835"</f>
        <v>1835</v>
      </c>
      <c r="B1426" t="str">
        <f t="shared" si="85"/>
        <v>1</v>
      </c>
      <c r="C1426" t="str">
        <f t="shared" si="84"/>
        <v>75</v>
      </c>
      <c r="D1426" t="str">
        <f>"6"</f>
        <v>6</v>
      </c>
      <c r="E1426" t="str">
        <f>"1-75-6"</f>
        <v>1-75-6</v>
      </c>
      <c r="F1426" t="s">
        <v>15</v>
      </c>
      <c r="G1426" t="s">
        <v>20</v>
      </c>
      <c r="H1426" t="s">
        <v>21</v>
      </c>
      <c r="I1426">
        <v>1</v>
      </c>
      <c r="J1426">
        <v>0</v>
      </c>
      <c r="K1426">
        <v>0</v>
      </c>
    </row>
    <row r="1427" spans="1:11" x14ac:dyDescent="0.25">
      <c r="A1427" t="str">
        <f>"1836"</f>
        <v>1836</v>
      </c>
      <c r="B1427" t="str">
        <f t="shared" si="85"/>
        <v>1</v>
      </c>
      <c r="C1427" t="str">
        <f t="shared" si="84"/>
        <v>75</v>
      </c>
      <c r="D1427" t="str">
        <f>"5"</f>
        <v>5</v>
      </c>
      <c r="E1427" t="str">
        <f>"1-75-5"</f>
        <v>1-75-5</v>
      </c>
      <c r="F1427" t="s">
        <v>15</v>
      </c>
      <c r="G1427" t="s">
        <v>20</v>
      </c>
      <c r="H1427" t="s">
        <v>21</v>
      </c>
      <c r="I1427">
        <v>0</v>
      </c>
      <c r="J1427">
        <v>0</v>
      </c>
      <c r="K1427">
        <v>1</v>
      </c>
    </row>
    <row r="1428" spans="1:11" x14ac:dyDescent="0.25">
      <c r="A1428" t="str">
        <f>"1837"</f>
        <v>1837</v>
      </c>
      <c r="B1428" t="str">
        <f t="shared" si="85"/>
        <v>1</v>
      </c>
      <c r="C1428" t="str">
        <f t="shared" si="84"/>
        <v>75</v>
      </c>
      <c r="D1428" t="str">
        <f>"25"</f>
        <v>25</v>
      </c>
      <c r="E1428" t="str">
        <f>"1-75-25"</f>
        <v>1-75-25</v>
      </c>
      <c r="F1428" t="s">
        <v>15</v>
      </c>
      <c r="G1428" t="s">
        <v>20</v>
      </c>
      <c r="H1428" t="s">
        <v>21</v>
      </c>
      <c r="I1428">
        <v>0</v>
      </c>
      <c r="J1428">
        <v>0</v>
      </c>
      <c r="K1428">
        <v>0</v>
      </c>
    </row>
    <row r="1429" spans="1:11" x14ac:dyDescent="0.25">
      <c r="A1429" t="str">
        <f>"1838"</f>
        <v>1838</v>
      </c>
      <c r="B1429" t="str">
        <f t="shared" si="85"/>
        <v>1</v>
      </c>
      <c r="C1429" t="str">
        <f t="shared" ref="C1429:C1434" si="86">"76"</f>
        <v>76</v>
      </c>
      <c r="D1429" t="str">
        <f>"21"</f>
        <v>21</v>
      </c>
      <c r="E1429" t="str">
        <f>"1-76-21"</f>
        <v>1-76-21</v>
      </c>
      <c r="F1429" t="s">
        <v>15</v>
      </c>
      <c r="G1429" t="s">
        <v>16</v>
      </c>
      <c r="H1429" t="s">
        <v>17</v>
      </c>
      <c r="I1429">
        <v>0</v>
      </c>
      <c r="J1429">
        <v>1</v>
      </c>
      <c r="K1429">
        <v>0</v>
      </c>
    </row>
    <row r="1430" spans="1:11" x14ac:dyDescent="0.25">
      <c r="A1430" t="str">
        <f>"1839"</f>
        <v>1839</v>
      </c>
      <c r="B1430" t="str">
        <f t="shared" si="85"/>
        <v>1</v>
      </c>
      <c r="C1430" t="str">
        <f t="shared" si="86"/>
        <v>76</v>
      </c>
      <c r="D1430" t="str">
        <f>"20"</f>
        <v>20</v>
      </c>
      <c r="E1430" t="str">
        <f>"1-76-20"</f>
        <v>1-76-20</v>
      </c>
      <c r="F1430" t="s">
        <v>15</v>
      </c>
      <c r="G1430" t="s">
        <v>16</v>
      </c>
      <c r="H1430" t="s">
        <v>17</v>
      </c>
      <c r="I1430">
        <v>0</v>
      </c>
      <c r="J1430">
        <v>1</v>
      </c>
      <c r="K1430">
        <v>0</v>
      </c>
    </row>
    <row r="1431" spans="1:11" x14ac:dyDescent="0.25">
      <c r="A1431" t="str">
        <f>"1843"</f>
        <v>1843</v>
      </c>
      <c r="B1431" t="str">
        <f t="shared" si="85"/>
        <v>1</v>
      </c>
      <c r="C1431" t="str">
        <f t="shared" si="86"/>
        <v>76</v>
      </c>
      <c r="D1431" t="str">
        <f>"19"</f>
        <v>19</v>
      </c>
      <c r="E1431" t="str">
        <f>"1-76-19"</f>
        <v>1-76-19</v>
      </c>
      <c r="F1431" t="s">
        <v>15</v>
      </c>
      <c r="G1431" t="s">
        <v>16</v>
      </c>
      <c r="H1431" t="s">
        <v>17</v>
      </c>
      <c r="I1431">
        <v>0</v>
      </c>
      <c r="J1431">
        <v>0</v>
      </c>
      <c r="K1431">
        <v>1</v>
      </c>
    </row>
    <row r="1432" spans="1:11" x14ac:dyDescent="0.25">
      <c r="A1432" t="str">
        <f>"1846"</f>
        <v>1846</v>
      </c>
      <c r="B1432" t="str">
        <f t="shared" si="85"/>
        <v>1</v>
      </c>
      <c r="C1432" t="str">
        <f t="shared" si="86"/>
        <v>76</v>
      </c>
      <c r="D1432" t="str">
        <f>"18"</f>
        <v>18</v>
      </c>
      <c r="E1432" t="str">
        <f>"1-76-18"</f>
        <v>1-76-18</v>
      </c>
      <c r="F1432" t="s">
        <v>15</v>
      </c>
      <c r="G1432" t="s">
        <v>16</v>
      </c>
      <c r="H1432" t="s">
        <v>17</v>
      </c>
      <c r="I1432">
        <v>1</v>
      </c>
      <c r="J1432">
        <v>0</v>
      </c>
      <c r="K1432">
        <v>0</v>
      </c>
    </row>
    <row r="1433" spans="1:11" x14ac:dyDescent="0.25">
      <c r="A1433" t="str">
        <f>"1849"</f>
        <v>1849</v>
      </c>
      <c r="B1433" t="str">
        <f t="shared" si="85"/>
        <v>1</v>
      </c>
      <c r="C1433" t="str">
        <f t="shared" si="86"/>
        <v>76</v>
      </c>
      <c r="D1433" t="str">
        <f>"23"</f>
        <v>23</v>
      </c>
      <c r="E1433" t="str">
        <f>"1-76-23"</f>
        <v>1-76-23</v>
      </c>
      <c r="F1433" t="s">
        <v>15</v>
      </c>
      <c r="G1433" t="s">
        <v>20</v>
      </c>
      <c r="H1433" t="s">
        <v>21</v>
      </c>
      <c r="I1433">
        <v>0</v>
      </c>
      <c r="J1433">
        <v>1</v>
      </c>
      <c r="K1433">
        <v>0</v>
      </c>
    </row>
    <row r="1434" spans="1:11" x14ac:dyDescent="0.25">
      <c r="A1434" t="str">
        <f>"1860"</f>
        <v>1860</v>
      </c>
      <c r="B1434" t="str">
        <f t="shared" si="85"/>
        <v>1</v>
      </c>
      <c r="C1434" t="str">
        <f t="shared" si="86"/>
        <v>76</v>
      </c>
      <c r="D1434" t="str">
        <f>"22"</f>
        <v>22</v>
      </c>
      <c r="E1434" t="str">
        <f>"1-76-22"</f>
        <v>1-76-22</v>
      </c>
      <c r="F1434" t="s">
        <v>15</v>
      </c>
      <c r="G1434" t="s">
        <v>18</v>
      </c>
      <c r="H1434" t="s">
        <v>19</v>
      </c>
      <c r="I1434">
        <v>0</v>
      </c>
      <c r="J1434">
        <v>0</v>
      </c>
      <c r="K1434">
        <v>0</v>
      </c>
    </row>
    <row r="1435" spans="1:11" x14ac:dyDescent="0.25">
      <c r="A1435" t="str">
        <f>"1861"</f>
        <v>1861</v>
      </c>
      <c r="B1435" t="str">
        <f t="shared" si="85"/>
        <v>1</v>
      </c>
      <c r="C1435" t="str">
        <f t="shared" ref="C1435:C1454" si="87">"77"</f>
        <v>77</v>
      </c>
      <c r="D1435" t="str">
        <f>"15"</f>
        <v>15</v>
      </c>
      <c r="E1435" t="str">
        <f>"1-77-15"</f>
        <v>1-77-15</v>
      </c>
      <c r="F1435" t="s">
        <v>15</v>
      </c>
      <c r="G1435" t="s">
        <v>16</v>
      </c>
      <c r="H1435" t="s">
        <v>17</v>
      </c>
      <c r="I1435">
        <v>0</v>
      </c>
      <c r="J1435">
        <v>0</v>
      </c>
      <c r="K1435">
        <v>1</v>
      </c>
    </row>
    <row r="1436" spans="1:11" x14ac:dyDescent="0.25">
      <c r="A1436" t="str">
        <f>"1862"</f>
        <v>1862</v>
      </c>
      <c r="B1436" t="str">
        <f t="shared" si="85"/>
        <v>1</v>
      </c>
      <c r="C1436" t="str">
        <f t="shared" si="87"/>
        <v>77</v>
      </c>
      <c r="D1436" t="str">
        <f>"2"</f>
        <v>2</v>
      </c>
      <c r="E1436" t="str">
        <f>"1-77-2"</f>
        <v>1-77-2</v>
      </c>
      <c r="F1436" t="s">
        <v>15</v>
      </c>
      <c r="G1436" t="s">
        <v>16</v>
      </c>
      <c r="H1436" t="s">
        <v>17</v>
      </c>
      <c r="I1436">
        <v>0</v>
      </c>
      <c r="J1436">
        <v>0</v>
      </c>
      <c r="K1436">
        <v>1</v>
      </c>
    </row>
    <row r="1437" spans="1:11" x14ac:dyDescent="0.25">
      <c r="A1437" t="str">
        <f>"1863"</f>
        <v>1863</v>
      </c>
      <c r="B1437" t="str">
        <f t="shared" si="85"/>
        <v>1</v>
      </c>
      <c r="C1437" t="str">
        <f t="shared" si="87"/>
        <v>77</v>
      </c>
      <c r="D1437" t="str">
        <f>"16"</f>
        <v>16</v>
      </c>
      <c r="E1437" t="str">
        <f>"1-77-16"</f>
        <v>1-77-16</v>
      </c>
      <c r="F1437" t="s">
        <v>15</v>
      </c>
      <c r="G1437" t="s">
        <v>18</v>
      </c>
      <c r="H1437" t="s">
        <v>19</v>
      </c>
      <c r="I1437">
        <v>1</v>
      </c>
      <c r="J1437">
        <v>0</v>
      </c>
      <c r="K1437">
        <v>0</v>
      </c>
    </row>
    <row r="1438" spans="1:11" x14ac:dyDescent="0.25">
      <c r="A1438" t="str">
        <f>"1864"</f>
        <v>1864</v>
      </c>
      <c r="B1438" t="str">
        <f t="shared" si="85"/>
        <v>1</v>
      </c>
      <c r="C1438" t="str">
        <f t="shared" si="87"/>
        <v>77</v>
      </c>
      <c r="D1438" t="str">
        <f>"6"</f>
        <v>6</v>
      </c>
      <c r="E1438" t="str">
        <f>"1-77-6"</f>
        <v>1-77-6</v>
      </c>
      <c r="F1438" t="s">
        <v>15</v>
      </c>
      <c r="G1438" t="s">
        <v>16</v>
      </c>
      <c r="H1438" t="s">
        <v>17</v>
      </c>
      <c r="I1438">
        <v>1</v>
      </c>
      <c r="J1438">
        <v>0</v>
      </c>
      <c r="K1438">
        <v>0</v>
      </c>
    </row>
    <row r="1439" spans="1:11" x14ac:dyDescent="0.25">
      <c r="A1439" t="str">
        <f>"1865"</f>
        <v>1865</v>
      </c>
      <c r="B1439" t="str">
        <f t="shared" si="85"/>
        <v>1</v>
      </c>
      <c r="C1439" t="str">
        <f t="shared" si="87"/>
        <v>77</v>
      </c>
      <c r="D1439" t="str">
        <f>"17"</f>
        <v>17</v>
      </c>
      <c r="E1439" t="str">
        <f>"1-77-17"</f>
        <v>1-77-17</v>
      </c>
      <c r="F1439" t="s">
        <v>15</v>
      </c>
      <c r="G1439" t="s">
        <v>18</v>
      </c>
      <c r="H1439" t="s">
        <v>19</v>
      </c>
      <c r="I1439">
        <v>1</v>
      </c>
      <c r="J1439">
        <v>0</v>
      </c>
      <c r="K1439">
        <v>0</v>
      </c>
    </row>
    <row r="1440" spans="1:11" x14ac:dyDescent="0.25">
      <c r="A1440" t="str">
        <f>"1866"</f>
        <v>1866</v>
      </c>
      <c r="B1440" t="str">
        <f t="shared" si="85"/>
        <v>1</v>
      </c>
      <c r="C1440" t="str">
        <f t="shared" si="87"/>
        <v>77</v>
      </c>
      <c r="D1440" t="str">
        <f>"5"</f>
        <v>5</v>
      </c>
      <c r="E1440" t="str">
        <f>"1-77-5"</f>
        <v>1-77-5</v>
      </c>
      <c r="F1440" t="s">
        <v>15</v>
      </c>
      <c r="G1440" t="s">
        <v>16</v>
      </c>
      <c r="H1440" t="s">
        <v>17</v>
      </c>
      <c r="I1440">
        <v>1</v>
      </c>
      <c r="J1440">
        <v>0</v>
      </c>
      <c r="K1440">
        <v>0</v>
      </c>
    </row>
    <row r="1441" spans="1:11" x14ac:dyDescent="0.25">
      <c r="A1441" t="str">
        <f>"1867"</f>
        <v>1867</v>
      </c>
      <c r="B1441" t="str">
        <f t="shared" si="85"/>
        <v>1</v>
      </c>
      <c r="C1441" t="str">
        <f t="shared" si="87"/>
        <v>77</v>
      </c>
      <c r="D1441" t="str">
        <f>"18"</f>
        <v>18</v>
      </c>
      <c r="E1441" t="str">
        <f>"1-77-18"</f>
        <v>1-77-18</v>
      </c>
      <c r="F1441" t="s">
        <v>15</v>
      </c>
      <c r="G1441" t="s">
        <v>16</v>
      </c>
      <c r="H1441" t="s">
        <v>17</v>
      </c>
      <c r="I1441">
        <v>0</v>
      </c>
      <c r="J1441">
        <v>1</v>
      </c>
      <c r="K1441">
        <v>0</v>
      </c>
    </row>
    <row r="1442" spans="1:11" x14ac:dyDescent="0.25">
      <c r="A1442" t="str">
        <f>"1868"</f>
        <v>1868</v>
      </c>
      <c r="B1442" t="str">
        <f t="shared" si="85"/>
        <v>1</v>
      </c>
      <c r="C1442" t="str">
        <f t="shared" si="87"/>
        <v>77</v>
      </c>
      <c r="D1442" t="str">
        <f>"14"</f>
        <v>14</v>
      </c>
      <c r="E1442" t="str">
        <f>"1-77-14"</f>
        <v>1-77-14</v>
      </c>
      <c r="F1442" t="s">
        <v>15</v>
      </c>
      <c r="G1442" t="s">
        <v>16</v>
      </c>
      <c r="H1442" t="s">
        <v>17</v>
      </c>
      <c r="I1442">
        <v>0</v>
      </c>
      <c r="J1442">
        <v>1</v>
      </c>
      <c r="K1442">
        <v>0</v>
      </c>
    </row>
    <row r="1443" spans="1:11" x14ac:dyDescent="0.25">
      <c r="A1443" t="str">
        <f>"1869"</f>
        <v>1869</v>
      </c>
      <c r="B1443" t="str">
        <f t="shared" si="85"/>
        <v>1</v>
      </c>
      <c r="C1443" t="str">
        <f t="shared" si="87"/>
        <v>77</v>
      </c>
      <c r="D1443" t="str">
        <f>"19"</f>
        <v>19</v>
      </c>
      <c r="E1443" t="str">
        <f>"1-77-19"</f>
        <v>1-77-19</v>
      </c>
      <c r="F1443" t="s">
        <v>15</v>
      </c>
      <c r="G1443" t="s">
        <v>16</v>
      </c>
      <c r="H1443" t="s">
        <v>17</v>
      </c>
      <c r="I1443">
        <v>0</v>
      </c>
      <c r="J1443">
        <v>0</v>
      </c>
      <c r="K1443">
        <v>1</v>
      </c>
    </row>
    <row r="1444" spans="1:11" x14ac:dyDescent="0.25">
      <c r="A1444" t="str">
        <f>"1870"</f>
        <v>1870</v>
      </c>
      <c r="B1444" t="str">
        <f t="shared" si="85"/>
        <v>1</v>
      </c>
      <c r="C1444" t="str">
        <f t="shared" si="87"/>
        <v>77</v>
      </c>
      <c r="D1444" t="str">
        <f>"1"</f>
        <v>1</v>
      </c>
      <c r="E1444" t="str">
        <f>"1-77-1"</f>
        <v>1-77-1</v>
      </c>
      <c r="F1444" t="s">
        <v>15</v>
      </c>
      <c r="G1444" t="s">
        <v>16</v>
      </c>
      <c r="H1444" t="s">
        <v>17</v>
      </c>
      <c r="I1444">
        <v>0</v>
      </c>
      <c r="J1444">
        <v>0</v>
      </c>
      <c r="K1444">
        <v>1</v>
      </c>
    </row>
    <row r="1445" spans="1:11" x14ac:dyDescent="0.25">
      <c r="A1445" t="str">
        <f>"1871"</f>
        <v>1871</v>
      </c>
      <c r="B1445" t="str">
        <f t="shared" si="85"/>
        <v>1</v>
      </c>
      <c r="C1445" t="str">
        <f t="shared" si="87"/>
        <v>77</v>
      </c>
      <c r="D1445" t="str">
        <f>"7"</f>
        <v>7</v>
      </c>
      <c r="E1445" t="str">
        <f>"1-77-7"</f>
        <v>1-77-7</v>
      </c>
      <c r="F1445" t="s">
        <v>15</v>
      </c>
      <c r="G1445" t="s">
        <v>16</v>
      </c>
      <c r="H1445" t="s">
        <v>17</v>
      </c>
      <c r="I1445">
        <v>0</v>
      </c>
      <c r="J1445">
        <v>0</v>
      </c>
      <c r="K1445">
        <v>1</v>
      </c>
    </row>
    <row r="1446" spans="1:11" x14ac:dyDescent="0.25">
      <c r="A1446" t="str">
        <f>"1872"</f>
        <v>1872</v>
      </c>
      <c r="B1446" t="str">
        <f t="shared" si="85"/>
        <v>1</v>
      </c>
      <c r="C1446" t="str">
        <f t="shared" si="87"/>
        <v>77</v>
      </c>
      <c r="D1446" t="str">
        <f>"10"</f>
        <v>10</v>
      </c>
      <c r="E1446" t="str">
        <f>"1-77-10"</f>
        <v>1-77-10</v>
      </c>
      <c r="F1446" t="s">
        <v>15</v>
      </c>
      <c r="G1446" t="s">
        <v>16</v>
      </c>
      <c r="H1446" t="s">
        <v>17</v>
      </c>
      <c r="I1446">
        <v>0</v>
      </c>
      <c r="J1446">
        <v>0</v>
      </c>
      <c r="K1446">
        <v>1</v>
      </c>
    </row>
    <row r="1447" spans="1:11" x14ac:dyDescent="0.25">
      <c r="A1447" t="str">
        <f>"1873"</f>
        <v>1873</v>
      </c>
      <c r="B1447" t="str">
        <f t="shared" si="85"/>
        <v>1</v>
      </c>
      <c r="C1447" t="str">
        <f t="shared" si="87"/>
        <v>77</v>
      </c>
      <c r="D1447" t="str">
        <f>"13"</f>
        <v>13</v>
      </c>
      <c r="E1447" t="str">
        <f>"1-77-13"</f>
        <v>1-77-13</v>
      </c>
      <c r="F1447" t="s">
        <v>15</v>
      </c>
      <c r="G1447" t="s">
        <v>16</v>
      </c>
      <c r="H1447" t="s">
        <v>17</v>
      </c>
      <c r="I1447">
        <v>1</v>
      </c>
      <c r="J1447">
        <v>0</v>
      </c>
      <c r="K1447">
        <v>0</v>
      </c>
    </row>
    <row r="1448" spans="1:11" x14ac:dyDescent="0.25">
      <c r="A1448" t="str">
        <f>"1874"</f>
        <v>1874</v>
      </c>
      <c r="B1448" t="str">
        <f t="shared" si="85"/>
        <v>1</v>
      </c>
      <c r="C1448" t="str">
        <f t="shared" si="87"/>
        <v>77</v>
      </c>
      <c r="D1448" t="str">
        <f>"9"</f>
        <v>9</v>
      </c>
      <c r="E1448" t="str">
        <f>"1-77-9"</f>
        <v>1-77-9</v>
      </c>
      <c r="F1448" t="s">
        <v>15</v>
      </c>
      <c r="G1448" t="s">
        <v>16</v>
      </c>
      <c r="H1448" t="s">
        <v>17</v>
      </c>
      <c r="I1448">
        <v>1</v>
      </c>
      <c r="J1448">
        <v>0</v>
      </c>
      <c r="K1448">
        <v>0</v>
      </c>
    </row>
    <row r="1449" spans="1:11" x14ac:dyDescent="0.25">
      <c r="A1449" t="str">
        <f>"1875"</f>
        <v>1875</v>
      </c>
      <c r="B1449" t="str">
        <f t="shared" si="85"/>
        <v>1</v>
      </c>
      <c r="C1449" t="str">
        <f t="shared" si="87"/>
        <v>77</v>
      </c>
      <c r="D1449" t="str">
        <f>"4"</f>
        <v>4</v>
      </c>
      <c r="E1449" t="str">
        <f>"1-77-4"</f>
        <v>1-77-4</v>
      </c>
      <c r="F1449" t="s">
        <v>15</v>
      </c>
      <c r="G1449" t="s">
        <v>20</v>
      </c>
      <c r="H1449" t="s">
        <v>21</v>
      </c>
      <c r="I1449">
        <v>0</v>
      </c>
      <c r="J1449">
        <v>1</v>
      </c>
      <c r="K1449">
        <v>0</v>
      </c>
    </row>
    <row r="1450" spans="1:11" x14ac:dyDescent="0.25">
      <c r="A1450" t="str">
        <f>"1876"</f>
        <v>1876</v>
      </c>
      <c r="B1450" t="str">
        <f t="shared" si="85"/>
        <v>1</v>
      </c>
      <c r="C1450" t="str">
        <f t="shared" si="87"/>
        <v>77</v>
      </c>
      <c r="D1450" t="str">
        <f>"3"</f>
        <v>3</v>
      </c>
      <c r="E1450" t="str">
        <f>"1-77-3"</f>
        <v>1-77-3</v>
      </c>
      <c r="F1450" t="s">
        <v>15</v>
      </c>
      <c r="G1450" t="s">
        <v>16</v>
      </c>
      <c r="H1450" t="s">
        <v>17</v>
      </c>
      <c r="I1450">
        <v>0</v>
      </c>
      <c r="J1450">
        <v>0</v>
      </c>
      <c r="K1450">
        <v>1</v>
      </c>
    </row>
    <row r="1451" spans="1:11" x14ac:dyDescent="0.25">
      <c r="A1451" t="str">
        <f>"1877"</f>
        <v>1877</v>
      </c>
      <c r="B1451" t="str">
        <f t="shared" si="85"/>
        <v>1</v>
      </c>
      <c r="C1451" t="str">
        <f t="shared" si="87"/>
        <v>77</v>
      </c>
      <c r="D1451" t="str">
        <f>"8"</f>
        <v>8</v>
      </c>
      <c r="E1451" t="str">
        <f>"1-77-8"</f>
        <v>1-77-8</v>
      </c>
      <c r="F1451" t="s">
        <v>15</v>
      </c>
      <c r="G1451" t="s">
        <v>16</v>
      </c>
      <c r="H1451" t="s">
        <v>17</v>
      </c>
      <c r="I1451">
        <v>0</v>
      </c>
      <c r="J1451">
        <v>0</v>
      </c>
      <c r="K1451">
        <v>1</v>
      </c>
    </row>
    <row r="1452" spans="1:11" x14ac:dyDescent="0.25">
      <c r="A1452" t="str">
        <f>"1878"</f>
        <v>1878</v>
      </c>
      <c r="B1452" t="str">
        <f t="shared" si="85"/>
        <v>1</v>
      </c>
      <c r="C1452" t="str">
        <f t="shared" si="87"/>
        <v>77</v>
      </c>
      <c r="D1452" t="str">
        <f>"12"</f>
        <v>12</v>
      </c>
      <c r="E1452" t="str">
        <f>"1-77-12"</f>
        <v>1-77-12</v>
      </c>
      <c r="F1452" t="s">
        <v>15</v>
      </c>
      <c r="G1452" t="s">
        <v>16</v>
      </c>
      <c r="H1452" t="s">
        <v>17</v>
      </c>
      <c r="I1452">
        <v>0</v>
      </c>
      <c r="J1452">
        <v>1</v>
      </c>
      <c r="K1452">
        <v>0</v>
      </c>
    </row>
    <row r="1453" spans="1:11" x14ac:dyDescent="0.25">
      <c r="A1453" t="str">
        <f>"1879"</f>
        <v>1879</v>
      </c>
      <c r="B1453" t="str">
        <f t="shared" si="85"/>
        <v>1</v>
      </c>
      <c r="C1453" t="str">
        <f t="shared" si="87"/>
        <v>77</v>
      </c>
      <c r="D1453" t="str">
        <f>"11"</f>
        <v>11</v>
      </c>
      <c r="E1453" t="str">
        <f>"1-77-11"</f>
        <v>1-77-11</v>
      </c>
      <c r="F1453" t="s">
        <v>15</v>
      </c>
      <c r="G1453" t="s">
        <v>16</v>
      </c>
      <c r="H1453" t="s">
        <v>17</v>
      </c>
      <c r="I1453">
        <v>0</v>
      </c>
      <c r="J1453">
        <v>0</v>
      </c>
      <c r="K1453">
        <v>1</v>
      </c>
    </row>
    <row r="1454" spans="1:11" x14ac:dyDescent="0.25">
      <c r="A1454" t="str">
        <f>"1880"</f>
        <v>1880</v>
      </c>
      <c r="B1454" t="str">
        <f t="shared" si="85"/>
        <v>1</v>
      </c>
      <c r="C1454" t="str">
        <f t="shared" si="87"/>
        <v>77</v>
      </c>
      <c r="D1454" t="str">
        <f>"20"</f>
        <v>20</v>
      </c>
      <c r="E1454" t="str">
        <f>"1-77-20"</f>
        <v>1-77-20</v>
      </c>
      <c r="F1454" t="s">
        <v>15</v>
      </c>
      <c r="G1454" t="s">
        <v>16</v>
      </c>
      <c r="H1454" t="s">
        <v>17</v>
      </c>
      <c r="I1454">
        <v>0</v>
      </c>
      <c r="J1454">
        <v>0</v>
      </c>
      <c r="K1454">
        <v>0</v>
      </c>
    </row>
    <row r="1455" spans="1:11" x14ac:dyDescent="0.25">
      <c r="A1455" t="str">
        <f>"1881"</f>
        <v>1881</v>
      </c>
      <c r="B1455" t="str">
        <f t="shared" si="85"/>
        <v>1</v>
      </c>
      <c r="C1455" t="str">
        <f t="shared" ref="C1455:C1480" si="88">"78"</f>
        <v>78</v>
      </c>
      <c r="D1455" t="str">
        <f>"21"</f>
        <v>21</v>
      </c>
      <c r="E1455" t="str">
        <f>"1-78-21"</f>
        <v>1-78-21</v>
      </c>
      <c r="F1455" t="s">
        <v>15</v>
      </c>
      <c r="G1455" t="s">
        <v>16</v>
      </c>
      <c r="H1455" t="s">
        <v>17</v>
      </c>
      <c r="I1455">
        <v>0</v>
      </c>
      <c r="J1455">
        <v>0</v>
      </c>
      <c r="K1455">
        <v>1</v>
      </c>
    </row>
    <row r="1456" spans="1:11" x14ac:dyDescent="0.25">
      <c r="A1456" t="str">
        <f>"1882"</f>
        <v>1882</v>
      </c>
      <c r="B1456" t="str">
        <f t="shared" ref="B1456:B1519" si="89">"1"</f>
        <v>1</v>
      </c>
      <c r="C1456" t="str">
        <f t="shared" si="88"/>
        <v>78</v>
      </c>
      <c r="D1456" t="str">
        <f>"15"</f>
        <v>15</v>
      </c>
      <c r="E1456" t="str">
        <f>"1-78-15"</f>
        <v>1-78-15</v>
      </c>
      <c r="F1456" t="s">
        <v>15</v>
      </c>
      <c r="G1456" t="s">
        <v>18</v>
      </c>
      <c r="H1456" t="s">
        <v>19</v>
      </c>
      <c r="I1456">
        <v>1</v>
      </c>
      <c r="J1456">
        <v>0</v>
      </c>
      <c r="K1456">
        <v>0</v>
      </c>
    </row>
    <row r="1457" spans="1:11" x14ac:dyDescent="0.25">
      <c r="A1457" t="str">
        <f>"1883"</f>
        <v>1883</v>
      </c>
      <c r="B1457" t="str">
        <f t="shared" si="89"/>
        <v>1</v>
      </c>
      <c r="C1457" t="str">
        <f t="shared" si="88"/>
        <v>78</v>
      </c>
      <c r="D1457" t="str">
        <f>"8"</f>
        <v>8</v>
      </c>
      <c r="E1457" t="str">
        <f>"1-78-8"</f>
        <v>1-78-8</v>
      </c>
      <c r="F1457" t="s">
        <v>15</v>
      </c>
      <c r="G1457" t="s">
        <v>16</v>
      </c>
      <c r="H1457" t="s">
        <v>17</v>
      </c>
      <c r="I1457">
        <v>0</v>
      </c>
      <c r="J1457">
        <v>1</v>
      </c>
      <c r="K1457">
        <v>0</v>
      </c>
    </row>
    <row r="1458" spans="1:11" x14ac:dyDescent="0.25">
      <c r="A1458" t="str">
        <f>"1884"</f>
        <v>1884</v>
      </c>
      <c r="B1458" t="str">
        <f t="shared" si="89"/>
        <v>1</v>
      </c>
      <c r="C1458" t="str">
        <f t="shared" si="88"/>
        <v>78</v>
      </c>
      <c r="D1458" t="str">
        <f>"22"</f>
        <v>22</v>
      </c>
      <c r="E1458" t="str">
        <f>"1-78-22"</f>
        <v>1-78-22</v>
      </c>
      <c r="F1458" t="s">
        <v>15</v>
      </c>
      <c r="G1458" t="s">
        <v>18</v>
      </c>
      <c r="H1458" t="s">
        <v>19</v>
      </c>
      <c r="I1458">
        <v>1</v>
      </c>
      <c r="J1458">
        <v>0</v>
      </c>
      <c r="K1458">
        <v>0</v>
      </c>
    </row>
    <row r="1459" spans="1:11" x14ac:dyDescent="0.25">
      <c r="A1459" t="str">
        <f>"1885"</f>
        <v>1885</v>
      </c>
      <c r="B1459" t="str">
        <f t="shared" si="89"/>
        <v>1</v>
      </c>
      <c r="C1459" t="str">
        <f t="shared" si="88"/>
        <v>78</v>
      </c>
      <c r="D1459" t="str">
        <f>"16"</f>
        <v>16</v>
      </c>
      <c r="E1459" t="str">
        <f>"1-78-16"</f>
        <v>1-78-16</v>
      </c>
      <c r="F1459" t="s">
        <v>15</v>
      </c>
      <c r="G1459" t="s">
        <v>16</v>
      </c>
      <c r="H1459" t="s">
        <v>17</v>
      </c>
      <c r="I1459">
        <v>0</v>
      </c>
      <c r="J1459">
        <v>0</v>
      </c>
      <c r="K1459">
        <v>1</v>
      </c>
    </row>
    <row r="1460" spans="1:11" x14ac:dyDescent="0.25">
      <c r="A1460" t="str">
        <f>"1886"</f>
        <v>1886</v>
      </c>
      <c r="B1460" t="str">
        <f t="shared" si="89"/>
        <v>1</v>
      </c>
      <c r="C1460" t="str">
        <f t="shared" si="88"/>
        <v>78</v>
      </c>
      <c r="D1460" t="str">
        <f>"4"</f>
        <v>4</v>
      </c>
      <c r="E1460" t="str">
        <f>"1-78-4"</f>
        <v>1-78-4</v>
      </c>
      <c r="F1460" t="s">
        <v>15</v>
      </c>
      <c r="G1460" t="s">
        <v>18</v>
      </c>
      <c r="H1460" t="s">
        <v>19</v>
      </c>
      <c r="I1460">
        <v>1</v>
      </c>
      <c r="J1460">
        <v>0</v>
      </c>
      <c r="K1460">
        <v>0</v>
      </c>
    </row>
    <row r="1461" spans="1:11" x14ac:dyDescent="0.25">
      <c r="A1461" t="str">
        <f>"1887"</f>
        <v>1887</v>
      </c>
      <c r="B1461" t="str">
        <f t="shared" si="89"/>
        <v>1</v>
      </c>
      <c r="C1461" t="str">
        <f t="shared" si="88"/>
        <v>78</v>
      </c>
      <c r="D1461" t="str">
        <f>"17"</f>
        <v>17</v>
      </c>
      <c r="E1461" t="str">
        <f>"1-78-17"</f>
        <v>1-78-17</v>
      </c>
      <c r="F1461" t="s">
        <v>15</v>
      </c>
      <c r="G1461" t="s">
        <v>16</v>
      </c>
      <c r="H1461" t="s">
        <v>17</v>
      </c>
      <c r="I1461">
        <v>1</v>
      </c>
      <c r="J1461">
        <v>0</v>
      </c>
      <c r="K1461">
        <v>0</v>
      </c>
    </row>
    <row r="1462" spans="1:11" x14ac:dyDescent="0.25">
      <c r="A1462" t="str">
        <f>"1888"</f>
        <v>1888</v>
      </c>
      <c r="B1462" t="str">
        <f t="shared" si="89"/>
        <v>1</v>
      </c>
      <c r="C1462" t="str">
        <f t="shared" si="88"/>
        <v>78</v>
      </c>
      <c r="D1462" t="str">
        <f>"5"</f>
        <v>5</v>
      </c>
      <c r="E1462" t="str">
        <f>"1-78-5"</f>
        <v>1-78-5</v>
      </c>
      <c r="F1462" t="s">
        <v>15</v>
      </c>
      <c r="G1462" t="s">
        <v>16</v>
      </c>
      <c r="H1462" t="s">
        <v>17</v>
      </c>
      <c r="I1462">
        <v>0</v>
      </c>
      <c r="J1462">
        <v>1</v>
      </c>
      <c r="K1462">
        <v>0</v>
      </c>
    </row>
    <row r="1463" spans="1:11" x14ac:dyDescent="0.25">
      <c r="A1463" t="str">
        <f>"1889"</f>
        <v>1889</v>
      </c>
      <c r="B1463" t="str">
        <f t="shared" si="89"/>
        <v>1</v>
      </c>
      <c r="C1463" t="str">
        <f t="shared" si="88"/>
        <v>78</v>
      </c>
      <c r="D1463" t="str">
        <f>"18"</f>
        <v>18</v>
      </c>
      <c r="E1463" t="str">
        <f>"1-78-18"</f>
        <v>1-78-18</v>
      </c>
      <c r="F1463" t="s">
        <v>15</v>
      </c>
      <c r="G1463" t="s">
        <v>16</v>
      </c>
      <c r="H1463" t="s">
        <v>17</v>
      </c>
      <c r="I1463">
        <v>1</v>
      </c>
      <c r="J1463">
        <v>0</v>
      </c>
      <c r="K1463">
        <v>0</v>
      </c>
    </row>
    <row r="1464" spans="1:11" x14ac:dyDescent="0.25">
      <c r="A1464" t="str">
        <f>"1890"</f>
        <v>1890</v>
      </c>
      <c r="B1464" t="str">
        <f t="shared" si="89"/>
        <v>1</v>
      </c>
      <c r="C1464" t="str">
        <f t="shared" si="88"/>
        <v>78</v>
      </c>
      <c r="D1464" t="str">
        <f>"12"</f>
        <v>12</v>
      </c>
      <c r="E1464" t="str">
        <f>"1-78-12"</f>
        <v>1-78-12</v>
      </c>
      <c r="F1464" t="s">
        <v>15</v>
      </c>
      <c r="G1464" t="s">
        <v>16</v>
      </c>
      <c r="H1464" t="s">
        <v>17</v>
      </c>
      <c r="I1464">
        <v>0</v>
      </c>
      <c r="J1464">
        <v>1</v>
      </c>
      <c r="K1464">
        <v>0</v>
      </c>
    </row>
    <row r="1465" spans="1:11" x14ac:dyDescent="0.25">
      <c r="A1465" t="str">
        <f>"1891"</f>
        <v>1891</v>
      </c>
      <c r="B1465" t="str">
        <f t="shared" si="89"/>
        <v>1</v>
      </c>
      <c r="C1465" t="str">
        <f t="shared" si="88"/>
        <v>78</v>
      </c>
      <c r="D1465" t="str">
        <f>"19"</f>
        <v>19</v>
      </c>
      <c r="E1465" t="str">
        <f>"1-78-19"</f>
        <v>1-78-19</v>
      </c>
      <c r="F1465" t="s">
        <v>15</v>
      </c>
      <c r="G1465" t="s">
        <v>18</v>
      </c>
      <c r="H1465" t="s">
        <v>19</v>
      </c>
      <c r="I1465">
        <v>0</v>
      </c>
      <c r="J1465">
        <v>1</v>
      </c>
      <c r="K1465">
        <v>0</v>
      </c>
    </row>
    <row r="1466" spans="1:11" x14ac:dyDescent="0.25">
      <c r="A1466" t="str">
        <f>"1892"</f>
        <v>1892</v>
      </c>
      <c r="B1466" t="str">
        <f t="shared" si="89"/>
        <v>1</v>
      </c>
      <c r="C1466" t="str">
        <f t="shared" si="88"/>
        <v>78</v>
      </c>
      <c r="D1466" t="str">
        <f>"20"</f>
        <v>20</v>
      </c>
      <c r="E1466" t="str">
        <f>"1-78-20"</f>
        <v>1-78-20</v>
      </c>
      <c r="F1466" t="s">
        <v>15</v>
      </c>
      <c r="G1466" t="s">
        <v>16</v>
      </c>
      <c r="H1466" t="s">
        <v>17</v>
      </c>
      <c r="I1466">
        <v>1</v>
      </c>
      <c r="J1466">
        <v>0</v>
      </c>
      <c r="K1466">
        <v>0</v>
      </c>
    </row>
    <row r="1467" spans="1:11" x14ac:dyDescent="0.25">
      <c r="A1467" t="str">
        <f>"1893"</f>
        <v>1893</v>
      </c>
      <c r="B1467" t="str">
        <f t="shared" si="89"/>
        <v>1</v>
      </c>
      <c r="C1467" t="str">
        <f t="shared" si="88"/>
        <v>78</v>
      </c>
      <c r="D1467" t="str">
        <f>"3"</f>
        <v>3</v>
      </c>
      <c r="E1467" t="str">
        <f>"1-78-3"</f>
        <v>1-78-3</v>
      </c>
      <c r="F1467" t="s">
        <v>15</v>
      </c>
      <c r="G1467" t="s">
        <v>16</v>
      </c>
      <c r="H1467" t="s">
        <v>17</v>
      </c>
      <c r="I1467">
        <v>1</v>
      </c>
      <c r="J1467">
        <v>0</v>
      </c>
      <c r="K1467">
        <v>0</v>
      </c>
    </row>
    <row r="1468" spans="1:11" x14ac:dyDescent="0.25">
      <c r="A1468" t="str">
        <f>"1894"</f>
        <v>1894</v>
      </c>
      <c r="B1468" t="str">
        <f t="shared" si="89"/>
        <v>1</v>
      </c>
      <c r="C1468" t="str">
        <f t="shared" si="88"/>
        <v>78</v>
      </c>
      <c r="D1468" t="str">
        <f>"23"</f>
        <v>23</v>
      </c>
      <c r="E1468" t="str">
        <f>"1-78-23"</f>
        <v>1-78-23</v>
      </c>
      <c r="F1468" t="s">
        <v>15</v>
      </c>
      <c r="G1468" t="s">
        <v>16</v>
      </c>
      <c r="H1468" t="s">
        <v>17</v>
      </c>
      <c r="I1468">
        <v>0</v>
      </c>
      <c r="J1468">
        <v>0</v>
      </c>
      <c r="K1468">
        <v>1</v>
      </c>
    </row>
    <row r="1469" spans="1:11" x14ac:dyDescent="0.25">
      <c r="A1469" t="str">
        <f>"1895"</f>
        <v>1895</v>
      </c>
      <c r="B1469" t="str">
        <f t="shared" si="89"/>
        <v>1</v>
      </c>
      <c r="C1469" t="str">
        <f t="shared" si="88"/>
        <v>78</v>
      </c>
      <c r="D1469" t="str">
        <f>"24"</f>
        <v>24</v>
      </c>
      <c r="E1469" t="str">
        <f>"1-78-24"</f>
        <v>1-78-24</v>
      </c>
      <c r="F1469" t="s">
        <v>15</v>
      </c>
      <c r="G1469" t="s">
        <v>18</v>
      </c>
      <c r="H1469" t="s">
        <v>19</v>
      </c>
      <c r="I1469">
        <v>1</v>
      </c>
      <c r="J1469">
        <v>0</v>
      </c>
      <c r="K1469">
        <v>0</v>
      </c>
    </row>
    <row r="1470" spans="1:11" x14ac:dyDescent="0.25">
      <c r="A1470" t="str">
        <f>"1896"</f>
        <v>1896</v>
      </c>
      <c r="B1470" t="str">
        <f t="shared" si="89"/>
        <v>1</v>
      </c>
      <c r="C1470" t="str">
        <f t="shared" si="88"/>
        <v>78</v>
      </c>
      <c r="D1470" t="str">
        <f>"6"</f>
        <v>6</v>
      </c>
      <c r="E1470" t="str">
        <f>"1-78-6"</f>
        <v>1-78-6</v>
      </c>
      <c r="F1470" t="s">
        <v>15</v>
      </c>
      <c r="G1470" t="s">
        <v>20</v>
      </c>
      <c r="H1470" t="s">
        <v>21</v>
      </c>
      <c r="I1470">
        <v>0</v>
      </c>
      <c r="J1470">
        <v>0</v>
      </c>
      <c r="K1470">
        <v>1</v>
      </c>
    </row>
    <row r="1471" spans="1:11" x14ac:dyDescent="0.25">
      <c r="A1471" t="str">
        <f>"1897"</f>
        <v>1897</v>
      </c>
      <c r="B1471" t="str">
        <f t="shared" si="89"/>
        <v>1</v>
      </c>
      <c r="C1471" t="str">
        <f t="shared" si="88"/>
        <v>78</v>
      </c>
      <c r="D1471" t="str">
        <f>"25"</f>
        <v>25</v>
      </c>
      <c r="E1471" t="str">
        <f>"1-78-25"</f>
        <v>1-78-25</v>
      </c>
      <c r="F1471" t="s">
        <v>15</v>
      </c>
      <c r="G1471" t="s">
        <v>16</v>
      </c>
      <c r="H1471" t="s">
        <v>17</v>
      </c>
      <c r="I1471">
        <v>0</v>
      </c>
      <c r="J1471">
        <v>0</v>
      </c>
      <c r="K1471">
        <v>1</v>
      </c>
    </row>
    <row r="1472" spans="1:11" x14ac:dyDescent="0.25">
      <c r="A1472" t="str">
        <f>"1898"</f>
        <v>1898</v>
      </c>
      <c r="B1472" t="str">
        <f t="shared" si="89"/>
        <v>1</v>
      </c>
      <c r="C1472" t="str">
        <f t="shared" si="88"/>
        <v>78</v>
      </c>
      <c r="D1472" t="str">
        <f>"10"</f>
        <v>10</v>
      </c>
      <c r="E1472" t="str">
        <f>"1-78-10"</f>
        <v>1-78-10</v>
      </c>
      <c r="F1472" t="s">
        <v>15</v>
      </c>
      <c r="G1472" t="s">
        <v>16</v>
      </c>
      <c r="H1472" t="s">
        <v>17</v>
      </c>
      <c r="I1472">
        <v>0</v>
      </c>
      <c r="J1472">
        <v>0</v>
      </c>
      <c r="K1472">
        <v>1</v>
      </c>
    </row>
    <row r="1473" spans="1:11" x14ac:dyDescent="0.25">
      <c r="A1473" t="str">
        <f>"1899"</f>
        <v>1899</v>
      </c>
      <c r="B1473" t="str">
        <f t="shared" si="89"/>
        <v>1</v>
      </c>
      <c r="C1473" t="str">
        <f t="shared" si="88"/>
        <v>78</v>
      </c>
      <c r="D1473" t="str">
        <f>"26"</f>
        <v>26</v>
      </c>
      <c r="E1473" t="str">
        <f>"1-78-26"</f>
        <v>1-78-26</v>
      </c>
      <c r="F1473" t="s">
        <v>15</v>
      </c>
      <c r="G1473" t="s">
        <v>16</v>
      </c>
      <c r="H1473" t="s">
        <v>17</v>
      </c>
      <c r="I1473">
        <v>0</v>
      </c>
      <c r="J1473">
        <v>0</v>
      </c>
      <c r="K1473">
        <v>1</v>
      </c>
    </row>
    <row r="1474" spans="1:11" x14ac:dyDescent="0.25">
      <c r="A1474" t="str">
        <f>"1900"</f>
        <v>1900</v>
      </c>
      <c r="B1474" t="str">
        <f t="shared" si="89"/>
        <v>1</v>
      </c>
      <c r="C1474" t="str">
        <f t="shared" si="88"/>
        <v>78</v>
      </c>
      <c r="D1474" t="str">
        <f>"2"</f>
        <v>2</v>
      </c>
      <c r="E1474" t="str">
        <f>"1-78-2"</f>
        <v>1-78-2</v>
      </c>
      <c r="F1474" t="s">
        <v>15</v>
      </c>
      <c r="G1474" t="s">
        <v>16</v>
      </c>
      <c r="H1474" t="s">
        <v>17</v>
      </c>
      <c r="I1474">
        <v>1</v>
      </c>
      <c r="J1474">
        <v>0</v>
      </c>
      <c r="K1474">
        <v>0</v>
      </c>
    </row>
    <row r="1475" spans="1:11" x14ac:dyDescent="0.25">
      <c r="A1475" t="str">
        <f>"1901"</f>
        <v>1901</v>
      </c>
      <c r="B1475" t="str">
        <f t="shared" si="89"/>
        <v>1</v>
      </c>
      <c r="C1475" t="str">
        <f t="shared" si="88"/>
        <v>78</v>
      </c>
      <c r="D1475" t="str">
        <f>"9"</f>
        <v>9</v>
      </c>
      <c r="E1475" t="str">
        <f>"1-78-9"</f>
        <v>1-78-9</v>
      </c>
      <c r="F1475" t="s">
        <v>15</v>
      </c>
      <c r="G1475" t="s">
        <v>16</v>
      </c>
      <c r="H1475" t="s">
        <v>17</v>
      </c>
      <c r="I1475">
        <v>0</v>
      </c>
      <c r="J1475">
        <v>1</v>
      </c>
      <c r="K1475">
        <v>0</v>
      </c>
    </row>
    <row r="1476" spans="1:11" x14ac:dyDescent="0.25">
      <c r="A1476" t="str">
        <f>"1902"</f>
        <v>1902</v>
      </c>
      <c r="B1476" t="str">
        <f t="shared" si="89"/>
        <v>1</v>
      </c>
      <c r="C1476" t="str">
        <f t="shared" si="88"/>
        <v>78</v>
      </c>
      <c r="D1476" t="str">
        <f>"14"</f>
        <v>14</v>
      </c>
      <c r="E1476" t="str">
        <f>"1-78-14"</f>
        <v>1-78-14</v>
      </c>
      <c r="F1476" t="s">
        <v>15</v>
      </c>
      <c r="G1476" t="s">
        <v>16</v>
      </c>
      <c r="H1476" t="s">
        <v>17</v>
      </c>
      <c r="I1476">
        <v>1</v>
      </c>
      <c r="J1476">
        <v>0</v>
      </c>
      <c r="K1476">
        <v>0</v>
      </c>
    </row>
    <row r="1477" spans="1:11" x14ac:dyDescent="0.25">
      <c r="A1477" t="str">
        <f>"1903"</f>
        <v>1903</v>
      </c>
      <c r="B1477" t="str">
        <f t="shared" si="89"/>
        <v>1</v>
      </c>
      <c r="C1477" t="str">
        <f t="shared" si="88"/>
        <v>78</v>
      </c>
      <c r="D1477" t="str">
        <f>"13"</f>
        <v>13</v>
      </c>
      <c r="E1477" t="str">
        <f>"1-78-13"</f>
        <v>1-78-13</v>
      </c>
      <c r="F1477" t="s">
        <v>15</v>
      </c>
      <c r="G1477" t="s">
        <v>20</v>
      </c>
      <c r="H1477" t="s">
        <v>21</v>
      </c>
      <c r="I1477">
        <v>0</v>
      </c>
      <c r="J1477">
        <v>0</v>
      </c>
      <c r="K1477">
        <v>1</v>
      </c>
    </row>
    <row r="1478" spans="1:11" x14ac:dyDescent="0.25">
      <c r="A1478" t="str">
        <f>"1904"</f>
        <v>1904</v>
      </c>
      <c r="B1478" t="str">
        <f t="shared" si="89"/>
        <v>1</v>
      </c>
      <c r="C1478" t="str">
        <f t="shared" si="88"/>
        <v>78</v>
      </c>
      <c r="D1478" t="str">
        <f>"11"</f>
        <v>11</v>
      </c>
      <c r="E1478" t="str">
        <f>"1-78-11"</f>
        <v>1-78-11</v>
      </c>
      <c r="F1478" t="s">
        <v>15</v>
      </c>
      <c r="G1478" t="s">
        <v>18</v>
      </c>
      <c r="H1478" t="s">
        <v>19</v>
      </c>
      <c r="I1478">
        <v>0</v>
      </c>
      <c r="J1478">
        <v>1</v>
      </c>
      <c r="K1478">
        <v>0</v>
      </c>
    </row>
    <row r="1479" spans="1:11" x14ac:dyDescent="0.25">
      <c r="A1479" t="str">
        <f>"1905"</f>
        <v>1905</v>
      </c>
      <c r="B1479" t="str">
        <f t="shared" si="89"/>
        <v>1</v>
      </c>
      <c r="C1479" t="str">
        <f t="shared" si="88"/>
        <v>78</v>
      </c>
      <c r="D1479" t="str">
        <f>"1"</f>
        <v>1</v>
      </c>
      <c r="E1479" t="str">
        <f>"1-78-1"</f>
        <v>1-78-1</v>
      </c>
      <c r="F1479" t="s">
        <v>15</v>
      </c>
      <c r="G1479" t="s">
        <v>16</v>
      </c>
      <c r="H1479" t="s">
        <v>17</v>
      </c>
      <c r="I1479">
        <v>0</v>
      </c>
      <c r="J1479">
        <v>0</v>
      </c>
      <c r="K1479">
        <v>0</v>
      </c>
    </row>
    <row r="1480" spans="1:11" x14ac:dyDescent="0.25">
      <c r="A1480" t="str">
        <f>"1906"</f>
        <v>1906</v>
      </c>
      <c r="B1480" t="str">
        <f t="shared" si="89"/>
        <v>1</v>
      </c>
      <c r="C1480" t="str">
        <f t="shared" si="88"/>
        <v>78</v>
      </c>
      <c r="D1480" t="str">
        <f>"7"</f>
        <v>7</v>
      </c>
      <c r="E1480" t="str">
        <f>"1-78-7"</f>
        <v>1-78-7</v>
      </c>
      <c r="F1480" t="s">
        <v>15</v>
      </c>
      <c r="G1480" t="s">
        <v>16</v>
      </c>
      <c r="H1480" t="s">
        <v>17</v>
      </c>
      <c r="I1480">
        <v>0</v>
      </c>
      <c r="J1480">
        <v>0</v>
      </c>
      <c r="K1480">
        <v>0</v>
      </c>
    </row>
    <row r="1481" spans="1:11" x14ac:dyDescent="0.25">
      <c r="A1481" t="str">
        <f>"1907"</f>
        <v>1907</v>
      </c>
      <c r="B1481" t="str">
        <f t="shared" si="89"/>
        <v>1</v>
      </c>
      <c r="C1481" t="str">
        <f t="shared" ref="C1481:C1505" si="90">"79"</f>
        <v>79</v>
      </c>
      <c r="D1481" t="str">
        <f>"21"</f>
        <v>21</v>
      </c>
      <c r="E1481" t="str">
        <f>"1-79-21"</f>
        <v>1-79-21</v>
      </c>
      <c r="F1481" t="s">
        <v>15</v>
      </c>
      <c r="G1481" t="s">
        <v>18</v>
      </c>
      <c r="H1481" t="s">
        <v>19</v>
      </c>
      <c r="I1481">
        <v>0</v>
      </c>
      <c r="J1481">
        <v>1</v>
      </c>
      <c r="K1481">
        <v>0</v>
      </c>
    </row>
    <row r="1482" spans="1:11" x14ac:dyDescent="0.25">
      <c r="A1482" t="str">
        <f>"1908"</f>
        <v>1908</v>
      </c>
      <c r="B1482" t="str">
        <f t="shared" si="89"/>
        <v>1</v>
      </c>
      <c r="C1482" t="str">
        <f t="shared" si="90"/>
        <v>79</v>
      </c>
      <c r="D1482" t="str">
        <f>"15"</f>
        <v>15</v>
      </c>
      <c r="E1482" t="str">
        <f>"1-79-15"</f>
        <v>1-79-15</v>
      </c>
      <c r="F1482" t="s">
        <v>15</v>
      </c>
      <c r="G1482" t="s">
        <v>20</v>
      </c>
      <c r="H1482" t="s">
        <v>21</v>
      </c>
      <c r="I1482">
        <v>1</v>
      </c>
      <c r="J1482">
        <v>0</v>
      </c>
      <c r="K1482">
        <v>0</v>
      </c>
    </row>
    <row r="1483" spans="1:11" x14ac:dyDescent="0.25">
      <c r="A1483" t="str">
        <f>"1909"</f>
        <v>1909</v>
      </c>
      <c r="B1483" t="str">
        <f t="shared" si="89"/>
        <v>1</v>
      </c>
      <c r="C1483" t="str">
        <f t="shared" si="90"/>
        <v>79</v>
      </c>
      <c r="D1483" t="str">
        <f>"2"</f>
        <v>2</v>
      </c>
      <c r="E1483" t="str">
        <f>"1-79-2"</f>
        <v>1-79-2</v>
      </c>
      <c r="F1483" t="s">
        <v>15</v>
      </c>
      <c r="G1483" t="s">
        <v>16</v>
      </c>
      <c r="H1483" t="s">
        <v>17</v>
      </c>
      <c r="I1483">
        <v>0</v>
      </c>
      <c r="J1483">
        <v>1</v>
      </c>
      <c r="K1483">
        <v>0</v>
      </c>
    </row>
    <row r="1484" spans="1:11" x14ac:dyDescent="0.25">
      <c r="A1484" t="str">
        <f>"1910"</f>
        <v>1910</v>
      </c>
      <c r="B1484" t="str">
        <f t="shared" si="89"/>
        <v>1</v>
      </c>
      <c r="C1484" t="str">
        <f t="shared" si="90"/>
        <v>79</v>
      </c>
      <c r="D1484" t="str">
        <f>"23"</f>
        <v>23</v>
      </c>
      <c r="E1484" t="str">
        <f>"1-79-23"</f>
        <v>1-79-23</v>
      </c>
      <c r="F1484" t="s">
        <v>15</v>
      </c>
      <c r="G1484" t="s">
        <v>16</v>
      </c>
      <c r="H1484" t="s">
        <v>17</v>
      </c>
      <c r="I1484">
        <v>1</v>
      </c>
      <c r="J1484">
        <v>0</v>
      </c>
      <c r="K1484">
        <v>0</v>
      </c>
    </row>
    <row r="1485" spans="1:11" x14ac:dyDescent="0.25">
      <c r="A1485" t="str">
        <f>"1911"</f>
        <v>1911</v>
      </c>
      <c r="B1485" t="str">
        <f t="shared" si="89"/>
        <v>1</v>
      </c>
      <c r="C1485" t="str">
        <f t="shared" si="90"/>
        <v>79</v>
      </c>
      <c r="D1485" t="str">
        <f>"16"</f>
        <v>16</v>
      </c>
      <c r="E1485" t="str">
        <f>"1-79-16"</f>
        <v>1-79-16</v>
      </c>
      <c r="F1485" t="s">
        <v>15</v>
      </c>
      <c r="G1485" t="s">
        <v>16</v>
      </c>
      <c r="H1485" t="s">
        <v>17</v>
      </c>
      <c r="I1485">
        <v>0</v>
      </c>
      <c r="J1485">
        <v>0</v>
      </c>
      <c r="K1485">
        <v>1</v>
      </c>
    </row>
    <row r="1486" spans="1:11" x14ac:dyDescent="0.25">
      <c r="A1486" t="str">
        <f>"1912"</f>
        <v>1912</v>
      </c>
      <c r="B1486" t="str">
        <f t="shared" si="89"/>
        <v>1</v>
      </c>
      <c r="C1486" t="str">
        <f t="shared" si="90"/>
        <v>79</v>
      </c>
      <c r="D1486" t="str">
        <f>"17"</f>
        <v>17</v>
      </c>
      <c r="E1486" t="str">
        <f>"1-79-17"</f>
        <v>1-79-17</v>
      </c>
      <c r="F1486" t="s">
        <v>15</v>
      </c>
      <c r="G1486" t="s">
        <v>16</v>
      </c>
      <c r="H1486" t="s">
        <v>17</v>
      </c>
      <c r="I1486">
        <v>0</v>
      </c>
      <c r="J1486">
        <v>1</v>
      </c>
      <c r="K1486">
        <v>0</v>
      </c>
    </row>
    <row r="1487" spans="1:11" x14ac:dyDescent="0.25">
      <c r="A1487" t="str">
        <f>"1913"</f>
        <v>1913</v>
      </c>
      <c r="B1487" t="str">
        <f t="shared" si="89"/>
        <v>1</v>
      </c>
      <c r="C1487" t="str">
        <f t="shared" si="90"/>
        <v>79</v>
      </c>
      <c r="D1487" t="str">
        <f>"3"</f>
        <v>3</v>
      </c>
      <c r="E1487" t="str">
        <f>"1-79-3"</f>
        <v>1-79-3</v>
      </c>
      <c r="F1487" t="s">
        <v>15</v>
      </c>
      <c r="G1487" t="s">
        <v>16</v>
      </c>
      <c r="H1487" t="s">
        <v>17</v>
      </c>
      <c r="I1487">
        <v>1</v>
      </c>
      <c r="J1487">
        <v>0</v>
      </c>
      <c r="K1487">
        <v>0</v>
      </c>
    </row>
    <row r="1488" spans="1:11" x14ac:dyDescent="0.25">
      <c r="A1488" t="str">
        <f>"1914"</f>
        <v>1914</v>
      </c>
      <c r="B1488" t="str">
        <f t="shared" si="89"/>
        <v>1</v>
      </c>
      <c r="C1488" t="str">
        <f t="shared" si="90"/>
        <v>79</v>
      </c>
      <c r="D1488" t="str">
        <f>"18"</f>
        <v>18</v>
      </c>
      <c r="E1488" t="str">
        <f>"1-79-18"</f>
        <v>1-79-18</v>
      </c>
      <c r="F1488" t="s">
        <v>15</v>
      </c>
      <c r="G1488" t="s">
        <v>16</v>
      </c>
      <c r="H1488" t="s">
        <v>17</v>
      </c>
      <c r="I1488">
        <v>0</v>
      </c>
      <c r="J1488">
        <v>1</v>
      </c>
      <c r="K1488">
        <v>0</v>
      </c>
    </row>
    <row r="1489" spans="1:11" x14ac:dyDescent="0.25">
      <c r="A1489" t="str">
        <f>"1915"</f>
        <v>1915</v>
      </c>
      <c r="B1489" t="str">
        <f t="shared" si="89"/>
        <v>1</v>
      </c>
      <c r="C1489" t="str">
        <f t="shared" si="90"/>
        <v>79</v>
      </c>
      <c r="D1489" t="str">
        <f>"19"</f>
        <v>19</v>
      </c>
      <c r="E1489" t="str">
        <f>"1-79-19"</f>
        <v>1-79-19</v>
      </c>
      <c r="F1489" t="s">
        <v>15</v>
      </c>
      <c r="G1489" t="s">
        <v>18</v>
      </c>
      <c r="H1489" t="s">
        <v>19</v>
      </c>
      <c r="I1489">
        <v>1</v>
      </c>
      <c r="J1489">
        <v>0</v>
      </c>
      <c r="K1489">
        <v>0</v>
      </c>
    </row>
    <row r="1490" spans="1:11" x14ac:dyDescent="0.25">
      <c r="A1490" t="str">
        <f>"1916"</f>
        <v>1916</v>
      </c>
      <c r="B1490" t="str">
        <f t="shared" si="89"/>
        <v>1</v>
      </c>
      <c r="C1490" t="str">
        <f t="shared" si="90"/>
        <v>79</v>
      </c>
      <c r="D1490" t="str">
        <f>"1"</f>
        <v>1</v>
      </c>
      <c r="E1490" t="str">
        <f>"1-79-1"</f>
        <v>1-79-1</v>
      </c>
      <c r="F1490" t="s">
        <v>15</v>
      </c>
      <c r="G1490" t="s">
        <v>16</v>
      </c>
      <c r="H1490" t="s">
        <v>17</v>
      </c>
      <c r="I1490">
        <v>0</v>
      </c>
      <c r="J1490">
        <v>1</v>
      </c>
      <c r="K1490">
        <v>0</v>
      </c>
    </row>
    <row r="1491" spans="1:11" x14ac:dyDescent="0.25">
      <c r="A1491" t="str">
        <f>"1917"</f>
        <v>1917</v>
      </c>
      <c r="B1491" t="str">
        <f t="shared" si="89"/>
        <v>1</v>
      </c>
      <c r="C1491" t="str">
        <f t="shared" si="90"/>
        <v>79</v>
      </c>
      <c r="D1491" t="str">
        <f>"20"</f>
        <v>20</v>
      </c>
      <c r="E1491" t="str">
        <f>"1-79-20"</f>
        <v>1-79-20</v>
      </c>
      <c r="F1491" t="s">
        <v>15</v>
      </c>
      <c r="G1491" t="s">
        <v>18</v>
      </c>
      <c r="H1491" t="s">
        <v>19</v>
      </c>
      <c r="I1491">
        <v>1</v>
      </c>
      <c r="J1491">
        <v>0</v>
      </c>
      <c r="K1491">
        <v>0</v>
      </c>
    </row>
    <row r="1492" spans="1:11" x14ac:dyDescent="0.25">
      <c r="A1492" t="str">
        <f>"1918"</f>
        <v>1918</v>
      </c>
      <c r="B1492" t="str">
        <f t="shared" si="89"/>
        <v>1</v>
      </c>
      <c r="C1492" t="str">
        <f t="shared" si="90"/>
        <v>79</v>
      </c>
      <c r="D1492" t="str">
        <f>"14"</f>
        <v>14</v>
      </c>
      <c r="E1492" t="str">
        <f>"1-79-14"</f>
        <v>1-79-14</v>
      </c>
      <c r="F1492" t="s">
        <v>15</v>
      </c>
      <c r="G1492" t="s">
        <v>20</v>
      </c>
      <c r="H1492" t="s">
        <v>21</v>
      </c>
      <c r="I1492">
        <v>1</v>
      </c>
      <c r="J1492">
        <v>0</v>
      </c>
      <c r="K1492">
        <v>0</v>
      </c>
    </row>
    <row r="1493" spans="1:11" x14ac:dyDescent="0.25">
      <c r="A1493" t="str">
        <f>"1919"</f>
        <v>1919</v>
      </c>
      <c r="B1493" t="str">
        <f t="shared" si="89"/>
        <v>1</v>
      </c>
      <c r="C1493" t="str">
        <f t="shared" si="90"/>
        <v>79</v>
      </c>
      <c r="D1493" t="str">
        <f>"22"</f>
        <v>22</v>
      </c>
      <c r="E1493" t="str">
        <f>"1-79-22"</f>
        <v>1-79-22</v>
      </c>
      <c r="F1493" t="s">
        <v>15</v>
      </c>
      <c r="G1493" t="s">
        <v>16</v>
      </c>
      <c r="H1493" t="s">
        <v>17</v>
      </c>
      <c r="I1493">
        <v>1</v>
      </c>
      <c r="J1493">
        <v>0</v>
      </c>
      <c r="K1493">
        <v>0</v>
      </c>
    </row>
    <row r="1494" spans="1:11" x14ac:dyDescent="0.25">
      <c r="A1494" t="str">
        <f>"1920"</f>
        <v>1920</v>
      </c>
      <c r="B1494" t="str">
        <f t="shared" si="89"/>
        <v>1</v>
      </c>
      <c r="C1494" t="str">
        <f t="shared" si="90"/>
        <v>79</v>
      </c>
      <c r="D1494" t="str">
        <f>"7"</f>
        <v>7</v>
      </c>
      <c r="E1494" t="str">
        <f>"1-79-7"</f>
        <v>1-79-7</v>
      </c>
      <c r="F1494" t="s">
        <v>15</v>
      </c>
      <c r="G1494" t="s">
        <v>16</v>
      </c>
      <c r="H1494" t="s">
        <v>17</v>
      </c>
      <c r="I1494">
        <v>0</v>
      </c>
      <c r="J1494">
        <v>0</v>
      </c>
      <c r="K1494">
        <v>1</v>
      </c>
    </row>
    <row r="1495" spans="1:11" x14ac:dyDescent="0.25">
      <c r="A1495" t="str">
        <f>"1921"</f>
        <v>1921</v>
      </c>
      <c r="B1495" t="str">
        <f t="shared" si="89"/>
        <v>1</v>
      </c>
      <c r="C1495" t="str">
        <f t="shared" si="90"/>
        <v>79</v>
      </c>
      <c r="D1495" t="str">
        <f>"24"</f>
        <v>24</v>
      </c>
      <c r="E1495" t="str">
        <f>"1-79-24"</f>
        <v>1-79-24</v>
      </c>
      <c r="F1495" t="s">
        <v>15</v>
      </c>
      <c r="G1495" t="s">
        <v>16</v>
      </c>
      <c r="H1495" t="s">
        <v>17</v>
      </c>
      <c r="I1495">
        <v>1</v>
      </c>
      <c r="J1495">
        <v>0</v>
      </c>
      <c r="K1495">
        <v>0</v>
      </c>
    </row>
    <row r="1496" spans="1:11" x14ac:dyDescent="0.25">
      <c r="A1496" t="str">
        <f>"1922"</f>
        <v>1922</v>
      </c>
      <c r="B1496" t="str">
        <f t="shared" si="89"/>
        <v>1</v>
      </c>
      <c r="C1496" t="str">
        <f t="shared" si="90"/>
        <v>79</v>
      </c>
      <c r="D1496" t="str">
        <f>"13"</f>
        <v>13</v>
      </c>
      <c r="E1496" t="str">
        <f>"1-79-13"</f>
        <v>1-79-13</v>
      </c>
      <c r="F1496" t="s">
        <v>15</v>
      </c>
      <c r="G1496" t="s">
        <v>18</v>
      </c>
      <c r="H1496" t="s">
        <v>19</v>
      </c>
      <c r="I1496">
        <v>0</v>
      </c>
      <c r="J1496">
        <v>0</v>
      </c>
      <c r="K1496">
        <v>1</v>
      </c>
    </row>
    <row r="1497" spans="1:11" x14ac:dyDescent="0.25">
      <c r="A1497" t="str">
        <f>"1923"</f>
        <v>1923</v>
      </c>
      <c r="B1497" t="str">
        <f t="shared" si="89"/>
        <v>1</v>
      </c>
      <c r="C1497" t="str">
        <f t="shared" si="90"/>
        <v>79</v>
      </c>
      <c r="D1497" t="str">
        <f>"25"</f>
        <v>25</v>
      </c>
      <c r="E1497" t="str">
        <f>"1-79-25"</f>
        <v>1-79-25</v>
      </c>
      <c r="F1497" t="s">
        <v>15</v>
      </c>
      <c r="G1497" t="s">
        <v>16</v>
      </c>
      <c r="H1497" t="s">
        <v>17</v>
      </c>
      <c r="I1497">
        <v>0</v>
      </c>
      <c r="J1497">
        <v>1</v>
      </c>
      <c r="K1497">
        <v>0</v>
      </c>
    </row>
    <row r="1498" spans="1:11" x14ac:dyDescent="0.25">
      <c r="A1498" t="str">
        <f>"1924"</f>
        <v>1924</v>
      </c>
      <c r="B1498" t="str">
        <f t="shared" si="89"/>
        <v>1</v>
      </c>
      <c r="C1498" t="str">
        <f t="shared" si="90"/>
        <v>79</v>
      </c>
      <c r="D1498" t="str">
        <f>"6"</f>
        <v>6</v>
      </c>
      <c r="E1498" t="str">
        <f>"1-79-6"</f>
        <v>1-79-6</v>
      </c>
      <c r="F1498" t="s">
        <v>15</v>
      </c>
      <c r="G1498" t="s">
        <v>16</v>
      </c>
      <c r="H1498" t="s">
        <v>17</v>
      </c>
      <c r="I1498">
        <v>0</v>
      </c>
      <c r="J1498">
        <v>0</v>
      </c>
      <c r="K1498">
        <v>1</v>
      </c>
    </row>
    <row r="1499" spans="1:11" x14ac:dyDescent="0.25">
      <c r="A1499" t="str">
        <f>"1925"</f>
        <v>1925</v>
      </c>
      <c r="B1499" t="str">
        <f t="shared" si="89"/>
        <v>1</v>
      </c>
      <c r="C1499" t="str">
        <f t="shared" si="90"/>
        <v>79</v>
      </c>
      <c r="D1499" t="str">
        <f>"11"</f>
        <v>11</v>
      </c>
      <c r="E1499" t="str">
        <f>"1-79-11"</f>
        <v>1-79-11</v>
      </c>
      <c r="F1499" t="s">
        <v>15</v>
      </c>
      <c r="G1499" t="s">
        <v>20</v>
      </c>
      <c r="H1499" t="s">
        <v>21</v>
      </c>
      <c r="I1499">
        <v>0</v>
      </c>
      <c r="J1499">
        <v>1</v>
      </c>
      <c r="K1499">
        <v>0</v>
      </c>
    </row>
    <row r="1500" spans="1:11" x14ac:dyDescent="0.25">
      <c r="A1500" t="str">
        <f>"1926"</f>
        <v>1926</v>
      </c>
      <c r="B1500" t="str">
        <f t="shared" si="89"/>
        <v>1</v>
      </c>
      <c r="C1500" t="str">
        <f t="shared" si="90"/>
        <v>79</v>
      </c>
      <c r="D1500" t="str">
        <f>"9"</f>
        <v>9</v>
      </c>
      <c r="E1500" t="str">
        <f>"1-79-9"</f>
        <v>1-79-9</v>
      </c>
      <c r="F1500" t="s">
        <v>15</v>
      </c>
      <c r="G1500" t="s">
        <v>16</v>
      </c>
      <c r="H1500" t="s">
        <v>17</v>
      </c>
      <c r="I1500">
        <v>0</v>
      </c>
      <c r="J1500">
        <v>0</v>
      </c>
      <c r="K1500">
        <v>1</v>
      </c>
    </row>
    <row r="1501" spans="1:11" x14ac:dyDescent="0.25">
      <c r="A1501" t="str">
        <f>"1927"</f>
        <v>1927</v>
      </c>
      <c r="B1501" t="str">
        <f t="shared" si="89"/>
        <v>1</v>
      </c>
      <c r="C1501" t="str">
        <f t="shared" si="90"/>
        <v>79</v>
      </c>
      <c r="D1501" t="str">
        <f>"8"</f>
        <v>8</v>
      </c>
      <c r="E1501" t="str">
        <f>"1-79-8"</f>
        <v>1-79-8</v>
      </c>
      <c r="F1501" t="s">
        <v>15</v>
      </c>
      <c r="G1501" t="s">
        <v>16</v>
      </c>
      <c r="H1501" t="s">
        <v>17</v>
      </c>
      <c r="I1501">
        <v>0</v>
      </c>
      <c r="J1501">
        <v>0</v>
      </c>
      <c r="K1501">
        <v>1</v>
      </c>
    </row>
    <row r="1502" spans="1:11" x14ac:dyDescent="0.25">
      <c r="A1502" t="str">
        <f>"1928"</f>
        <v>1928</v>
      </c>
      <c r="B1502" t="str">
        <f t="shared" si="89"/>
        <v>1</v>
      </c>
      <c r="C1502" t="str">
        <f t="shared" si="90"/>
        <v>79</v>
      </c>
      <c r="D1502" t="str">
        <f>"5"</f>
        <v>5</v>
      </c>
      <c r="E1502" t="str">
        <f>"1-79-5"</f>
        <v>1-79-5</v>
      </c>
      <c r="F1502" t="s">
        <v>15</v>
      </c>
      <c r="G1502" t="s">
        <v>16</v>
      </c>
      <c r="H1502" t="s">
        <v>17</v>
      </c>
      <c r="I1502">
        <v>1</v>
      </c>
      <c r="J1502">
        <v>0</v>
      </c>
      <c r="K1502">
        <v>0</v>
      </c>
    </row>
    <row r="1503" spans="1:11" x14ac:dyDescent="0.25">
      <c r="A1503" t="str">
        <f>"1929"</f>
        <v>1929</v>
      </c>
      <c r="B1503" t="str">
        <f t="shared" si="89"/>
        <v>1</v>
      </c>
      <c r="C1503" t="str">
        <f t="shared" si="90"/>
        <v>79</v>
      </c>
      <c r="D1503" t="str">
        <f>"10"</f>
        <v>10</v>
      </c>
      <c r="E1503" t="str">
        <f>"1-79-10"</f>
        <v>1-79-10</v>
      </c>
      <c r="F1503" t="s">
        <v>15</v>
      </c>
      <c r="G1503" t="s">
        <v>16</v>
      </c>
      <c r="H1503" t="s">
        <v>17</v>
      </c>
      <c r="I1503">
        <v>0</v>
      </c>
      <c r="J1503">
        <v>1</v>
      </c>
      <c r="K1503">
        <v>0</v>
      </c>
    </row>
    <row r="1504" spans="1:11" x14ac:dyDescent="0.25">
      <c r="A1504" t="str">
        <f>"1930"</f>
        <v>1930</v>
      </c>
      <c r="B1504" t="str">
        <f t="shared" si="89"/>
        <v>1</v>
      </c>
      <c r="C1504" t="str">
        <f t="shared" si="90"/>
        <v>79</v>
      </c>
      <c r="D1504" t="str">
        <f>"4"</f>
        <v>4</v>
      </c>
      <c r="E1504" t="str">
        <f>"1-79-4"</f>
        <v>1-79-4</v>
      </c>
      <c r="F1504" t="s">
        <v>15</v>
      </c>
      <c r="G1504" t="s">
        <v>16</v>
      </c>
      <c r="H1504" t="s">
        <v>17</v>
      </c>
      <c r="I1504">
        <v>0</v>
      </c>
      <c r="J1504">
        <v>0</v>
      </c>
      <c r="K1504">
        <v>0</v>
      </c>
    </row>
    <row r="1505" spans="1:11" x14ac:dyDescent="0.25">
      <c r="A1505" t="str">
        <f>"1931"</f>
        <v>1931</v>
      </c>
      <c r="B1505" t="str">
        <f t="shared" si="89"/>
        <v>1</v>
      </c>
      <c r="C1505" t="str">
        <f t="shared" si="90"/>
        <v>79</v>
      </c>
      <c r="D1505" t="str">
        <f>"12"</f>
        <v>12</v>
      </c>
      <c r="E1505" t="str">
        <f>"1-79-12"</f>
        <v>1-79-12</v>
      </c>
      <c r="F1505" t="s">
        <v>15</v>
      </c>
      <c r="G1505" t="s">
        <v>16</v>
      </c>
      <c r="H1505" t="s">
        <v>17</v>
      </c>
      <c r="I1505">
        <v>0</v>
      </c>
      <c r="J1505">
        <v>0</v>
      </c>
      <c r="K1505">
        <v>0</v>
      </c>
    </row>
    <row r="1506" spans="1:11" x14ac:dyDescent="0.25">
      <c r="A1506" t="str">
        <f>"1932"</f>
        <v>1932</v>
      </c>
      <c r="B1506" t="str">
        <f t="shared" si="89"/>
        <v>1</v>
      </c>
      <c r="C1506" t="str">
        <f t="shared" ref="C1506:C1533" si="91">"80"</f>
        <v>80</v>
      </c>
      <c r="D1506" t="str">
        <f>"15"</f>
        <v>15</v>
      </c>
      <c r="E1506" t="str">
        <f>"1-80-15"</f>
        <v>1-80-15</v>
      </c>
      <c r="F1506" t="s">
        <v>15</v>
      </c>
      <c r="G1506" t="s">
        <v>16</v>
      </c>
      <c r="H1506" t="s">
        <v>17</v>
      </c>
      <c r="I1506">
        <v>0</v>
      </c>
      <c r="J1506">
        <v>0</v>
      </c>
      <c r="K1506">
        <v>1</v>
      </c>
    </row>
    <row r="1507" spans="1:11" x14ac:dyDescent="0.25">
      <c r="A1507" t="str">
        <f>"1933"</f>
        <v>1933</v>
      </c>
      <c r="B1507" t="str">
        <f t="shared" si="89"/>
        <v>1</v>
      </c>
      <c r="C1507" t="str">
        <f t="shared" si="91"/>
        <v>80</v>
      </c>
      <c r="D1507" t="str">
        <f>"3"</f>
        <v>3</v>
      </c>
      <c r="E1507" t="str">
        <f>"1-80-3"</f>
        <v>1-80-3</v>
      </c>
      <c r="F1507" t="s">
        <v>15</v>
      </c>
      <c r="G1507" t="s">
        <v>16</v>
      </c>
      <c r="H1507" t="s">
        <v>17</v>
      </c>
      <c r="I1507">
        <v>0</v>
      </c>
      <c r="J1507">
        <v>0</v>
      </c>
      <c r="K1507">
        <v>1</v>
      </c>
    </row>
    <row r="1508" spans="1:11" x14ac:dyDescent="0.25">
      <c r="A1508" t="str">
        <f>"1934"</f>
        <v>1934</v>
      </c>
      <c r="B1508" t="str">
        <f t="shared" si="89"/>
        <v>1</v>
      </c>
      <c r="C1508" t="str">
        <f t="shared" si="91"/>
        <v>80</v>
      </c>
      <c r="D1508" t="str">
        <f>"16"</f>
        <v>16</v>
      </c>
      <c r="E1508" t="str">
        <f>"1-80-16"</f>
        <v>1-80-16</v>
      </c>
      <c r="F1508" t="s">
        <v>15</v>
      </c>
      <c r="G1508" t="s">
        <v>16</v>
      </c>
      <c r="H1508" t="s">
        <v>17</v>
      </c>
      <c r="I1508">
        <v>0</v>
      </c>
      <c r="J1508">
        <v>0</v>
      </c>
      <c r="K1508">
        <v>1</v>
      </c>
    </row>
    <row r="1509" spans="1:11" x14ac:dyDescent="0.25">
      <c r="A1509" t="str">
        <f>"1935"</f>
        <v>1935</v>
      </c>
      <c r="B1509" t="str">
        <f t="shared" si="89"/>
        <v>1</v>
      </c>
      <c r="C1509" t="str">
        <f t="shared" si="91"/>
        <v>80</v>
      </c>
      <c r="D1509" t="str">
        <f>"6"</f>
        <v>6</v>
      </c>
      <c r="E1509" t="str">
        <f>"1-80-6"</f>
        <v>1-80-6</v>
      </c>
      <c r="F1509" t="s">
        <v>15</v>
      </c>
      <c r="G1509" t="s">
        <v>18</v>
      </c>
      <c r="H1509" t="s">
        <v>19</v>
      </c>
      <c r="I1509">
        <v>1</v>
      </c>
      <c r="J1509">
        <v>0</v>
      </c>
      <c r="K1509">
        <v>0</v>
      </c>
    </row>
    <row r="1510" spans="1:11" x14ac:dyDescent="0.25">
      <c r="A1510" t="str">
        <f>"1936"</f>
        <v>1936</v>
      </c>
      <c r="B1510" t="str">
        <f t="shared" si="89"/>
        <v>1</v>
      </c>
      <c r="C1510" t="str">
        <f t="shared" si="91"/>
        <v>80</v>
      </c>
      <c r="D1510" t="str">
        <f>"17"</f>
        <v>17</v>
      </c>
      <c r="E1510" t="str">
        <f>"1-80-17"</f>
        <v>1-80-17</v>
      </c>
      <c r="F1510" t="s">
        <v>15</v>
      </c>
      <c r="G1510" t="s">
        <v>16</v>
      </c>
      <c r="H1510" t="s">
        <v>17</v>
      </c>
      <c r="I1510">
        <v>0</v>
      </c>
      <c r="J1510">
        <v>0</v>
      </c>
      <c r="K1510">
        <v>1</v>
      </c>
    </row>
    <row r="1511" spans="1:11" x14ac:dyDescent="0.25">
      <c r="A1511" t="str">
        <f>"1937"</f>
        <v>1937</v>
      </c>
      <c r="B1511" t="str">
        <f t="shared" si="89"/>
        <v>1</v>
      </c>
      <c r="C1511" t="str">
        <f t="shared" si="91"/>
        <v>80</v>
      </c>
      <c r="D1511" t="str">
        <f>"11"</f>
        <v>11</v>
      </c>
      <c r="E1511" t="str">
        <f>"1-80-11"</f>
        <v>1-80-11</v>
      </c>
      <c r="F1511" t="s">
        <v>15</v>
      </c>
      <c r="G1511" t="s">
        <v>16</v>
      </c>
      <c r="H1511" t="s">
        <v>17</v>
      </c>
      <c r="I1511">
        <v>1</v>
      </c>
      <c r="J1511">
        <v>0</v>
      </c>
      <c r="K1511">
        <v>0</v>
      </c>
    </row>
    <row r="1512" spans="1:11" x14ac:dyDescent="0.25">
      <c r="A1512" t="str">
        <f>"1938"</f>
        <v>1938</v>
      </c>
      <c r="B1512" t="str">
        <f t="shared" si="89"/>
        <v>1</v>
      </c>
      <c r="C1512" t="str">
        <f t="shared" si="91"/>
        <v>80</v>
      </c>
      <c r="D1512" t="str">
        <f>"18"</f>
        <v>18</v>
      </c>
      <c r="E1512" t="str">
        <f>"1-80-18"</f>
        <v>1-80-18</v>
      </c>
      <c r="F1512" t="s">
        <v>15</v>
      </c>
      <c r="G1512" t="s">
        <v>16</v>
      </c>
      <c r="H1512" t="s">
        <v>17</v>
      </c>
      <c r="I1512">
        <v>0</v>
      </c>
      <c r="J1512">
        <v>1</v>
      </c>
      <c r="K1512">
        <v>0</v>
      </c>
    </row>
    <row r="1513" spans="1:11" x14ac:dyDescent="0.25">
      <c r="A1513" t="str">
        <f>"1939"</f>
        <v>1939</v>
      </c>
      <c r="B1513" t="str">
        <f t="shared" si="89"/>
        <v>1</v>
      </c>
      <c r="C1513" t="str">
        <f t="shared" si="91"/>
        <v>80</v>
      </c>
      <c r="D1513" t="str">
        <f>"5"</f>
        <v>5</v>
      </c>
      <c r="E1513" t="str">
        <f>"1-80-5"</f>
        <v>1-80-5</v>
      </c>
      <c r="F1513" t="s">
        <v>15</v>
      </c>
      <c r="G1513" t="s">
        <v>16</v>
      </c>
      <c r="H1513" t="s">
        <v>17</v>
      </c>
      <c r="I1513">
        <v>1</v>
      </c>
      <c r="J1513">
        <v>0</v>
      </c>
      <c r="K1513">
        <v>0</v>
      </c>
    </row>
    <row r="1514" spans="1:11" x14ac:dyDescent="0.25">
      <c r="A1514" t="str">
        <f>"1940"</f>
        <v>1940</v>
      </c>
      <c r="B1514" t="str">
        <f t="shared" si="89"/>
        <v>1</v>
      </c>
      <c r="C1514" t="str">
        <f t="shared" si="91"/>
        <v>80</v>
      </c>
      <c r="D1514" t="str">
        <f>"19"</f>
        <v>19</v>
      </c>
      <c r="E1514" t="str">
        <f>"1-80-19"</f>
        <v>1-80-19</v>
      </c>
      <c r="F1514" t="s">
        <v>15</v>
      </c>
      <c r="G1514" t="s">
        <v>16</v>
      </c>
      <c r="H1514" t="s">
        <v>17</v>
      </c>
      <c r="I1514">
        <v>0</v>
      </c>
      <c r="J1514">
        <v>1</v>
      </c>
      <c r="K1514">
        <v>0</v>
      </c>
    </row>
    <row r="1515" spans="1:11" x14ac:dyDescent="0.25">
      <c r="A1515" t="str">
        <f>"1941"</f>
        <v>1941</v>
      </c>
      <c r="B1515" t="str">
        <f t="shared" si="89"/>
        <v>1</v>
      </c>
      <c r="C1515" t="str">
        <f t="shared" si="91"/>
        <v>80</v>
      </c>
      <c r="D1515" t="str">
        <f>"2"</f>
        <v>2</v>
      </c>
      <c r="E1515" t="str">
        <f>"1-80-2"</f>
        <v>1-80-2</v>
      </c>
      <c r="F1515" t="s">
        <v>15</v>
      </c>
      <c r="G1515" t="s">
        <v>16</v>
      </c>
      <c r="H1515" t="s">
        <v>17</v>
      </c>
      <c r="I1515">
        <v>1</v>
      </c>
      <c r="J1515">
        <v>0</v>
      </c>
      <c r="K1515">
        <v>0</v>
      </c>
    </row>
    <row r="1516" spans="1:11" x14ac:dyDescent="0.25">
      <c r="A1516" t="str">
        <f>"1942"</f>
        <v>1942</v>
      </c>
      <c r="B1516" t="str">
        <f t="shared" si="89"/>
        <v>1</v>
      </c>
      <c r="C1516" t="str">
        <f t="shared" si="91"/>
        <v>80</v>
      </c>
      <c r="D1516" t="str">
        <f>"20"</f>
        <v>20</v>
      </c>
      <c r="E1516" t="str">
        <f>"1-80-20"</f>
        <v>1-80-20</v>
      </c>
      <c r="F1516" t="s">
        <v>15</v>
      </c>
      <c r="G1516" t="s">
        <v>20</v>
      </c>
      <c r="H1516" t="s">
        <v>21</v>
      </c>
      <c r="I1516">
        <v>1</v>
      </c>
      <c r="J1516">
        <v>0</v>
      </c>
      <c r="K1516">
        <v>0</v>
      </c>
    </row>
    <row r="1517" spans="1:11" x14ac:dyDescent="0.25">
      <c r="A1517" t="str">
        <f>"1943"</f>
        <v>1943</v>
      </c>
      <c r="B1517" t="str">
        <f t="shared" si="89"/>
        <v>1</v>
      </c>
      <c r="C1517" t="str">
        <f t="shared" si="91"/>
        <v>80</v>
      </c>
      <c r="D1517" t="str">
        <f>"10"</f>
        <v>10</v>
      </c>
      <c r="E1517" t="str">
        <f>"1-80-10"</f>
        <v>1-80-10</v>
      </c>
      <c r="F1517" t="s">
        <v>15</v>
      </c>
      <c r="G1517" t="s">
        <v>16</v>
      </c>
      <c r="H1517" t="s">
        <v>17</v>
      </c>
      <c r="I1517">
        <v>0</v>
      </c>
      <c r="J1517">
        <v>0</v>
      </c>
      <c r="K1517">
        <v>1</v>
      </c>
    </row>
    <row r="1518" spans="1:11" x14ac:dyDescent="0.25">
      <c r="A1518" t="str">
        <f>"1944"</f>
        <v>1944</v>
      </c>
      <c r="B1518" t="str">
        <f t="shared" si="89"/>
        <v>1</v>
      </c>
      <c r="C1518" t="str">
        <f t="shared" si="91"/>
        <v>80</v>
      </c>
      <c r="D1518" t="str">
        <f>"13"</f>
        <v>13</v>
      </c>
      <c r="E1518" t="str">
        <f>"1-80-13"</f>
        <v>1-80-13</v>
      </c>
      <c r="F1518" t="s">
        <v>15</v>
      </c>
      <c r="G1518" t="s">
        <v>16</v>
      </c>
      <c r="H1518" t="s">
        <v>17</v>
      </c>
      <c r="I1518">
        <v>1</v>
      </c>
      <c r="J1518">
        <v>0</v>
      </c>
      <c r="K1518">
        <v>0</v>
      </c>
    </row>
    <row r="1519" spans="1:11" x14ac:dyDescent="0.25">
      <c r="A1519" t="str">
        <f>"1945"</f>
        <v>1945</v>
      </c>
      <c r="B1519" t="str">
        <f t="shared" si="89"/>
        <v>1</v>
      </c>
      <c r="C1519" t="str">
        <f t="shared" si="91"/>
        <v>80</v>
      </c>
      <c r="D1519" t="str">
        <f>"22"</f>
        <v>22</v>
      </c>
      <c r="E1519" t="str">
        <f>"1-80-22"</f>
        <v>1-80-22</v>
      </c>
      <c r="F1519" t="s">
        <v>15</v>
      </c>
      <c r="G1519" t="s">
        <v>16</v>
      </c>
      <c r="H1519" t="s">
        <v>17</v>
      </c>
      <c r="I1519">
        <v>0</v>
      </c>
      <c r="J1519">
        <v>0</v>
      </c>
      <c r="K1519">
        <v>1</v>
      </c>
    </row>
    <row r="1520" spans="1:11" x14ac:dyDescent="0.25">
      <c r="A1520" t="str">
        <f>"1946"</f>
        <v>1946</v>
      </c>
      <c r="B1520" t="str">
        <f t="shared" ref="B1520:B1583" si="92">"1"</f>
        <v>1</v>
      </c>
      <c r="C1520" t="str">
        <f t="shared" si="91"/>
        <v>80</v>
      </c>
      <c r="D1520" t="str">
        <f>"14"</f>
        <v>14</v>
      </c>
      <c r="E1520" t="str">
        <f>"1-80-14"</f>
        <v>1-80-14</v>
      </c>
      <c r="F1520" t="s">
        <v>15</v>
      </c>
      <c r="G1520" t="s">
        <v>16</v>
      </c>
      <c r="H1520" t="s">
        <v>17</v>
      </c>
      <c r="I1520">
        <v>1</v>
      </c>
      <c r="J1520">
        <v>0</v>
      </c>
      <c r="K1520">
        <v>0</v>
      </c>
    </row>
    <row r="1521" spans="1:11" x14ac:dyDescent="0.25">
      <c r="A1521" t="str">
        <f>"1947"</f>
        <v>1947</v>
      </c>
      <c r="B1521" t="str">
        <f t="shared" si="92"/>
        <v>1</v>
      </c>
      <c r="C1521" t="str">
        <f t="shared" si="91"/>
        <v>80</v>
      </c>
      <c r="D1521" t="str">
        <f>"23"</f>
        <v>23</v>
      </c>
      <c r="E1521" t="str">
        <f>"1-80-23"</f>
        <v>1-80-23</v>
      </c>
      <c r="F1521" t="s">
        <v>15</v>
      </c>
      <c r="G1521" t="s">
        <v>16</v>
      </c>
      <c r="H1521" t="s">
        <v>17</v>
      </c>
      <c r="I1521">
        <v>0</v>
      </c>
      <c r="J1521">
        <v>1</v>
      </c>
      <c r="K1521">
        <v>0</v>
      </c>
    </row>
    <row r="1522" spans="1:11" x14ac:dyDescent="0.25">
      <c r="A1522" t="str">
        <f>"1948"</f>
        <v>1948</v>
      </c>
      <c r="B1522" t="str">
        <f t="shared" si="92"/>
        <v>1</v>
      </c>
      <c r="C1522" t="str">
        <f t="shared" si="91"/>
        <v>80</v>
      </c>
      <c r="D1522" t="str">
        <f>"12"</f>
        <v>12</v>
      </c>
      <c r="E1522" t="str">
        <f>"1-80-12"</f>
        <v>1-80-12</v>
      </c>
      <c r="F1522" t="s">
        <v>15</v>
      </c>
      <c r="G1522" t="s">
        <v>16</v>
      </c>
      <c r="H1522" t="s">
        <v>17</v>
      </c>
      <c r="I1522">
        <v>0</v>
      </c>
      <c r="J1522">
        <v>0</v>
      </c>
      <c r="K1522">
        <v>1</v>
      </c>
    </row>
    <row r="1523" spans="1:11" x14ac:dyDescent="0.25">
      <c r="A1523" t="str">
        <f>"1949"</f>
        <v>1949</v>
      </c>
      <c r="B1523" t="str">
        <f t="shared" si="92"/>
        <v>1</v>
      </c>
      <c r="C1523" t="str">
        <f t="shared" si="91"/>
        <v>80</v>
      </c>
      <c r="D1523" t="str">
        <f>"25"</f>
        <v>25</v>
      </c>
      <c r="E1523" t="str">
        <f>"1-80-25"</f>
        <v>1-80-25</v>
      </c>
      <c r="F1523" t="s">
        <v>15</v>
      </c>
      <c r="G1523" t="s">
        <v>20</v>
      </c>
      <c r="H1523" t="s">
        <v>21</v>
      </c>
      <c r="I1523">
        <v>0</v>
      </c>
      <c r="J1523">
        <v>1</v>
      </c>
      <c r="K1523">
        <v>0</v>
      </c>
    </row>
    <row r="1524" spans="1:11" x14ac:dyDescent="0.25">
      <c r="A1524" t="str">
        <f>"1950"</f>
        <v>1950</v>
      </c>
      <c r="B1524" t="str">
        <f t="shared" si="92"/>
        <v>1</v>
      </c>
      <c r="C1524" t="str">
        <f t="shared" si="91"/>
        <v>80</v>
      </c>
      <c r="D1524" t="str">
        <f>"9"</f>
        <v>9</v>
      </c>
      <c r="E1524" t="str">
        <f>"1-80-9"</f>
        <v>1-80-9</v>
      </c>
      <c r="F1524" t="s">
        <v>15</v>
      </c>
      <c r="G1524" t="s">
        <v>18</v>
      </c>
      <c r="H1524" t="s">
        <v>19</v>
      </c>
      <c r="I1524">
        <v>0</v>
      </c>
      <c r="J1524">
        <v>1</v>
      </c>
      <c r="K1524">
        <v>0</v>
      </c>
    </row>
    <row r="1525" spans="1:11" x14ac:dyDescent="0.25">
      <c r="A1525" t="str">
        <f>"1951"</f>
        <v>1951</v>
      </c>
      <c r="B1525" t="str">
        <f t="shared" si="92"/>
        <v>1</v>
      </c>
      <c r="C1525" t="str">
        <f t="shared" si="91"/>
        <v>80</v>
      </c>
      <c r="D1525" t="str">
        <f>"26"</f>
        <v>26</v>
      </c>
      <c r="E1525" t="str">
        <f>"1-80-26"</f>
        <v>1-80-26</v>
      </c>
      <c r="F1525" t="s">
        <v>15</v>
      </c>
      <c r="G1525" t="s">
        <v>16</v>
      </c>
      <c r="H1525" t="s">
        <v>17</v>
      </c>
      <c r="I1525">
        <v>0</v>
      </c>
      <c r="J1525">
        <v>0</v>
      </c>
      <c r="K1525">
        <v>1</v>
      </c>
    </row>
    <row r="1526" spans="1:11" x14ac:dyDescent="0.25">
      <c r="A1526" t="str">
        <f>"1952"</f>
        <v>1952</v>
      </c>
      <c r="B1526" t="str">
        <f t="shared" si="92"/>
        <v>1</v>
      </c>
      <c r="C1526" t="str">
        <f t="shared" si="91"/>
        <v>80</v>
      </c>
      <c r="D1526" t="str">
        <f>"8"</f>
        <v>8</v>
      </c>
      <c r="E1526" t="str">
        <f>"1-80-8"</f>
        <v>1-80-8</v>
      </c>
      <c r="F1526" t="s">
        <v>15</v>
      </c>
      <c r="G1526" t="s">
        <v>16</v>
      </c>
      <c r="H1526" t="s">
        <v>17</v>
      </c>
      <c r="I1526">
        <v>0</v>
      </c>
      <c r="J1526">
        <v>0</v>
      </c>
      <c r="K1526">
        <v>1</v>
      </c>
    </row>
    <row r="1527" spans="1:11" x14ac:dyDescent="0.25">
      <c r="A1527" t="str">
        <f>"1953"</f>
        <v>1953</v>
      </c>
      <c r="B1527" t="str">
        <f t="shared" si="92"/>
        <v>1</v>
      </c>
      <c r="C1527" t="str">
        <f t="shared" si="91"/>
        <v>80</v>
      </c>
      <c r="D1527" t="str">
        <f>"27"</f>
        <v>27</v>
      </c>
      <c r="E1527" t="str">
        <f>"1-80-27"</f>
        <v>1-80-27</v>
      </c>
      <c r="F1527" t="s">
        <v>15</v>
      </c>
      <c r="G1527" t="s">
        <v>16</v>
      </c>
      <c r="H1527" t="s">
        <v>17</v>
      </c>
      <c r="I1527">
        <v>0</v>
      </c>
      <c r="J1527">
        <v>1</v>
      </c>
      <c r="K1527">
        <v>0</v>
      </c>
    </row>
    <row r="1528" spans="1:11" x14ac:dyDescent="0.25">
      <c r="A1528" t="str">
        <f>"1954"</f>
        <v>1954</v>
      </c>
      <c r="B1528" t="str">
        <f t="shared" si="92"/>
        <v>1</v>
      </c>
      <c r="C1528" t="str">
        <f t="shared" si="91"/>
        <v>80</v>
      </c>
      <c r="D1528" t="str">
        <f>"1"</f>
        <v>1</v>
      </c>
      <c r="E1528" t="str">
        <f>"1-80-1"</f>
        <v>1-80-1</v>
      </c>
      <c r="F1528" t="s">
        <v>15</v>
      </c>
      <c r="G1528" t="s">
        <v>16</v>
      </c>
      <c r="H1528" t="s">
        <v>17</v>
      </c>
      <c r="I1528">
        <v>1</v>
      </c>
      <c r="J1528">
        <v>0</v>
      </c>
      <c r="K1528">
        <v>0</v>
      </c>
    </row>
    <row r="1529" spans="1:11" x14ac:dyDescent="0.25">
      <c r="A1529" t="str">
        <f>"1955"</f>
        <v>1955</v>
      </c>
      <c r="B1529" t="str">
        <f t="shared" si="92"/>
        <v>1</v>
      </c>
      <c r="C1529" t="str">
        <f t="shared" si="91"/>
        <v>80</v>
      </c>
      <c r="D1529" t="str">
        <f>"28"</f>
        <v>28</v>
      </c>
      <c r="E1529" t="str">
        <f>"1-80-28"</f>
        <v>1-80-28</v>
      </c>
      <c r="F1529" t="s">
        <v>15</v>
      </c>
      <c r="G1529" t="s">
        <v>16</v>
      </c>
      <c r="H1529" t="s">
        <v>17</v>
      </c>
      <c r="I1529">
        <v>0</v>
      </c>
      <c r="J1529">
        <v>0</v>
      </c>
      <c r="K1529">
        <v>1</v>
      </c>
    </row>
    <row r="1530" spans="1:11" x14ac:dyDescent="0.25">
      <c r="A1530" t="str">
        <f>"1956"</f>
        <v>1956</v>
      </c>
      <c r="B1530" t="str">
        <f t="shared" si="92"/>
        <v>1</v>
      </c>
      <c r="C1530" t="str">
        <f t="shared" si="91"/>
        <v>80</v>
      </c>
      <c r="D1530" t="str">
        <f>"7"</f>
        <v>7</v>
      </c>
      <c r="E1530" t="str">
        <f>"1-80-7"</f>
        <v>1-80-7</v>
      </c>
      <c r="F1530" t="s">
        <v>15</v>
      </c>
      <c r="G1530" t="s">
        <v>18</v>
      </c>
      <c r="H1530" t="s">
        <v>19</v>
      </c>
      <c r="I1530">
        <v>1</v>
      </c>
      <c r="J1530">
        <v>0</v>
      </c>
      <c r="K1530">
        <v>0</v>
      </c>
    </row>
    <row r="1531" spans="1:11" x14ac:dyDescent="0.25">
      <c r="A1531" t="str">
        <f>"1957"</f>
        <v>1957</v>
      </c>
      <c r="B1531" t="str">
        <f t="shared" si="92"/>
        <v>1</v>
      </c>
      <c r="C1531" t="str">
        <f t="shared" si="91"/>
        <v>80</v>
      </c>
      <c r="D1531" t="str">
        <f>"4"</f>
        <v>4</v>
      </c>
      <c r="E1531" t="str">
        <f>"1-80-4"</f>
        <v>1-80-4</v>
      </c>
      <c r="F1531" t="s">
        <v>15</v>
      </c>
      <c r="G1531" t="s">
        <v>16</v>
      </c>
      <c r="H1531" t="s">
        <v>17</v>
      </c>
      <c r="I1531">
        <v>1</v>
      </c>
      <c r="J1531">
        <v>0</v>
      </c>
      <c r="K1531">
        <v>0</v>
      </c>
    </row>
    <row r="1532" spans="1:11" x14ac:dyDescent="0.25">
      <c r="A1532" t="str">
        <f>"1958"</f>
        <v>1958</v>
      </c>
      <c r="B1532" t="str">
        <f t="shared" si="92"/>
        <v>1</v>
      </c>
      <c r="C1532" t="str">
        <f t="shared" si="91"/>
        <v>80</v>
      </c>
      <c r="D1532" t="str">
        <f>"21"</f>
        <v>21</v>
      </c>
      <c r="E1532" t="str">
        <f>"1-80-21"</f>
        <v>1-80-21</v>
      </c>
      <c r="F1532" t="s">
        <v>15</v>
      </c>
      <c r="G1532" t="s">
        <v>16</v>
      </c>
      <c r="H1532" t="s">
        <v>17</v>
      </c>
      <c r="I1532">
        <v>0</v>
      </c>
      <c r="J1532">
        <v>0</v>
      </c>
      <c r="K1532">
        <v>0</v>
      </c>
    </row>
    <row r="1533" spans="1:11" x14ac:dyDescent="0.25">
      <c r="A1533" t="str">
        <f>"1959"</f>
        <v>1959</v>
      </c>
      <c r="B1533" t="str">
        <f t="shared" si="92"/>
        <v>1</v>
      </c>
      <c r="C1533" t="str">
        <f t="shared" si="91"/>
        <v>80</v>
      </c>
      <c r="D1533" t="str">
        <f>"24"</f>
        <v>24</v>
      </c>
      <c r="E1533" t="str">
        <f>"1-80-24"</f>
        <v>1-80-24</v>
      </c>
      <c r="F1533" t="s">
        <v>15</v>
      </c>
      <c r="G1533" t="s">
        <v>20</v>
      </c>
      <c r="H1533" t="s">
        <v>21</v>
      </c>
      <c r="I1533">
        <v>0</v>
      </c>
      <c r="J1533">
        <v>0</v>
      </c>
      <c r="K1533">
        <v>0</v>
      </c>
    </row>
    <row r="1534" spans="1:11" x14ac:dyDescent="0.25">
      <c r="A1534" t="str">
        <f>"1960"</f>
        <v>1960</v>
      </c>
      <c r="B1534" t="str">
        <f t="shared" si="92"/>
        <v>1</v>
      </c>
      <c r="C1534" t="str">
        <f t="shared" ref="C1534:C1557" si="93">"81"</f>
        <v>81</v>
      </c>
      <c r="D1534" t="str">
        <f>"20"</f>
        <v>20</v>
      </c>
      <c r="E1534" t="str">
        <f>"1-81-20"</f>
        <v>1-81-20</v>
      </c>
      <c r="F1534" t="s">
        <v>15</v>
      </c>
      <c r="G1534" t="s">
        <v>16</v>
      </c>
      <c r="H1534" t="s">
        <v>17</v>
      </c>
      <c r="I1534">
        <v>0</v>
      </c>
      <c r="J1534">
        <v>0</v>
      </c>
      <c r="K1534">
        <v>1</v>
      </c>
    </row>
    <row r="1535" spans="1:11" x14ac:dyDescent="0.25">
      <c r="A1535" t="str">
        <f>"1961"</f>
        <v>1961</v>
      </c>
      <c r="B1535" t="str">
        <f t="shared" si="92"/>
        <v>1</v>
      </c>
      <c r="C1535" t="str">
        <f t="shared" si="93"/>
        <v>81</v>
      </c>
      <c r="D1535" t="str">
        <f>"19"</f>
        <v>19</v>
      </c>
      <c r="E1535" t="str">
        <f>"1-81-19"</f>
        <v>1-81-19</v>
      </c>
      <c r="F1535" t="s">
        <v>15</v>
      </c>
      <c r="G1535" t="s">
        <v>16</v>
      </c>
      <c r="H1535" t="s">
        <v>17</v>
      </c>
      <c r="I1535">
        <v>1</v>
      </c>
      <c r="J1535">
        <v>0</v>
      </c>
      <c r="K1535">
        <v>0</v>
      </c>
    </row>
    <row r="1536" spans="1:11" x14ac:dyDescent="0.25">
      <c r="A1536" t="str">
        <f>"1962"</f>
        <v>1962</v>
      </c>
      <c r="B1536" t="str">
        <f t="shared" si="92"/>
        <v>1</v>
      </c>
      <c r="C1536" t="str">
        <f t="shared" si="93"/>
        <v>81</v>
      </c>
      <c r="D1536" t="str">
        <f>"15"</f>
        <v>15</v>
      </c>
      <c r="E1536" t="str">
        <f>"1-81-15"</f>
        <v>1-81-15</v>
      </c>
      <c r="F1536" t="s">
        <v>15</v>
      </c>
      <c r="G1536" t="s">
        <v>16</v>
      </c>
      <c r="H1536" t="s">
        <v>17</v>
      </c>
      <c r="I1536">
        <v>1</v>
      </c>
      <c r="J1536">
        <v>0</v>
      </c>
      <c r="K1536">
        <v>0</v>
      </c>
    </row>
    <row r="1537" spans="1:11" x14ac:dyDescent="0.25">
      <c r="A1537" t="str">
        <f>"1963"</f>
        <v>1963</v>
      </c>
      <c r="B1537" t="str">
        <f t="shared" si="92"/>
        <v>1</v>
      </c>
      <c r="C1537" t="str">
        <f t="shared" si="93"/>
        <v>81</v>
      </c>
      <c r="D1537" t="str">
        <f>"6"</f>
        <v>6</v>
      </c>
      <c r="E1537" t="str">
        <f>"1-81-6"</f>
        <v>1-81-6</v>
      </c>
      <c r="F1537" t="s">
        <v>15</v>
      </c>
      <c r="G1537" t="s">
        <v>16</v>
      </c>
      <c r="H1537" t="s">
        <v>17</v>
      </c>
      <c r="I1537">
        <v>0</v>
      </c>
      <c r="J1537">
        <v>0</v>
      </c>
      <c r="K1537">
        <v>1</v>
      </c>
    </row>
    <row r="1538" spans="1:11" x14ac:dyDescent="0.25">
      <c r="A1538" t="str">
        <f>"1964"</f>
        <v>1964</v>
      </c>
      <c r="B1538" t="str">
        <f t="shared" si="92"/>
        <v>1</v>
      </c>
      <c r="C1538" t="str">
        <f t="shared" si="93"/>
        <v>81</v>
      </c>
      <c r="D1538" t="str">
        <f>"16"</f>
        <v>16</v>
      </c>
      <c r="E1538" t="str">
        <f>"1-81-16"</f>
        <v>1-81-16</v>
      </c>
      <c r="F1538" t="s">
        <v>15</v>
      </c>
      <c r="G1538" t="s">
        <v>16</v>
      </c>
      <c r="H1538" t="s">
        <v>17</v>
      </c>
      <c r="I1538">
        <v>0</v>
      </c>
      <c r="J1538">
        <v>1</v>
      </c>
      <c r="K1538">
        <v>0</v>
      </c>
    </row>
    <row r="1539" spans="1:11" x14ac:dyDescent="0.25">
      <c r="A1539" t="str">
        <f>"1965"</f>
        <v>1965</v>
      </c>
      <c r="B1539" t="str">
        <f t="shared" si="92"/>
        <v>1</v>
      </c>
      <c r="C1539" t="str">
        <f t="shared" si="93"/>
        <v>81</v>
      </c>
      <c r="D1539" t="str">
        <f>"8"</f>
        <v>8</v>
      </c>
      <c r="E1539" t="str">
        <f>"1-81-8"</f>
        <v>1-81-8</v>
      </c>
      <c r="F1539" t="s">
        <v>15</v>
      </c>
      <c r="G1539" t="s">
        <v>16</v>
      </c>
      <c r="H1539" t="s">
        <v>17</v>
      </c>
      <c r="I1539">
        <v>1</v>
      </c>
      <c r="J1539">
        <v>0</v>
      </c>
      <c r="K1539">
        <v>0</v>
      </c>
    </row>
    <row r="1540" spans="1:11" x14ac:dyDescent="0.25">
      <c r="A1540" t="str">
        <f>"1966"</f>
        <v>1966</v>
      </c>
      <c r="B1540" t="str">
        <f t="shared" si="92"/>
        <v>1</v>
      </c>
      <c r="C1540" t="str">
        <f t="shared" si="93"/>
        <v>81</v>
      </c>
      <c r="D1540" t="str">
        <f>"18"</f>
        <v>18</v>
      </c>
      <c r="E1540" t="str">
        <f>"1-81-18"</f>
        <v>1-81-18</v>
      </c>
      <c r="F1540" t="s">
        <v>15</v>
      </c>
      <c r="G1540" t="s">
        <v>20</v>
      </c>
      <c r="H1540" t="s">
        <v>21</v>
      </c>
      <c r="I1540">
        <v>1</v>
      </c>
      <c r="J1540">
        <v>0</v>
      </c>
      <c r="K1540">
        <v>0</v>
      </c>
    </row>
    <row r="1541" spans="1:11" x14ac:dyDescent="0.25">
      <c r="A1541" t="str">
        <f>"1967"</f>
        <v>1967</v>
      </c>
      <c r="B1541" t="str">
        <f t="shared" si="92"/>
        <v>1</v>
      </c>
      <c r="C1541" t="str">
        <f t="shared" si="93"/>
        <v>81</v>
      </c>
      <c r="D1541" t="str">
        <f>"13"</f>
        <v>13</v>
      </c>
      <c r="E1541" t="str">
        <f>"1-81-13"</f>
        <v>1-81-13</v>
      </c>
      <c r="F1541" t="s">
        <v>15</v>
      </c>
      <c r="G1541" t="s">
        <v>16</v>
      </c>
      <c r="H1541" t="s">
        <v>17</v>
      </c>
      <c r="I1541">
        <v>0</v>
      </c>
      <c r="J1541">
        <v>1</v>
      </c>
      <c r="K1541">
        <v>0</v>
      </c>
    </row>
    <row r="1542" spans="1:11" x14ac:dyDescent="0.25">
      <c r="A1542" t="str">
        <f>"1968"</f>
        <v>1968</v>
      </c>
      <c r="B1542" t="str">
        <f t="shared" si="92"/>
        <v>1</v>
      </c>
      <c r="C1542" t="str">
        <f t="shared" si="93"/>
        <v>81</v>
      </c>
      <c r="D1542" t="str">
        <f>"21"</f>
        <v>21</v>
      </c>
      <c r="E1542" t="str">
        <f>"1-81-21"</f>
        <v>1-81-21</v>
      </c>
      <c r="F1542" t="s">
        <v>15</v>
      </c>
      <c r="G1542" t="s">
        <v>18</v>
      </c>
      <c r="H1542" t="s">
        <v>19</v>
      </c>
      <c r="I1542">
        <v>0</v>
      </c>
      <c r="J1542">
        <v>1</v>
      </c>
      <c r="K1542">
        <v>0</v>
      </c>
    </row>
    <row r="1543" spans="1:11" x14ac:dyDescent="0.25">
      <c r="A1543" t="str">
        <f>"1969"</f>
        <v>1969</v>
      </c>
      <c r="B1543" t="str">
        <f t="shared" si="92"/>
        <v>1</v>
      </c>
      <c r="C1543" t="str">
        <f t="shared" si="93"/>
        <v>81</v>
      </c>
      <c r="D1543" t="str">
        <f>"9"</f>
        <v>9</v>
      </c>
      <c r="E1543" t="str">
        <f>"1-81-9"</f>
        <v>1-81-9</v>
      </c>
      <c r="F1543" t="s">
        <v>15</v>
      </c>
      <c r="G1543" t="s">
        <v>16</v>
      </c>
      <c r="H1543" t="s">
        <v>17</v>
      </c>
      <c r="I1543">
        <v>1</v>
      </c>
      <c r="J1543">
        <v>0</v>
      </c>
      <c r="K1543">
        <v>0</v>
      </c>
    </row>
    <row r="1544" spans="1:11" x14ac:dyDescent="0.25">
      <c r="A1544" t="str">
        <f>"1970"</f>
        <v>1970</v>
      </c>
      <c r="B1544" t="str">
        <f t="shared" si="92"/>
        <v>1</v>
      </c>
      <c r="C1544" t="str">
        <f t="shared" si="93"/>
        <v>81</v>
      </c>
      <c r="D1544" t="str">
        <f>"22"</f>
        <v>22</v>
      </c>
      <c r="E1544" t="str">
        <f>"1-81-22"</f>
        <v>1-81-22</v>
      </c>
      <c r="F1544" t="s">
        <v>15</v>
      </c>
      <c r="G1544" t="s">
        <v>18</v>
      </c>
      <c r="H1544" t="s">
        <v>19</v>
      </c>
      <c r="I1544">
        <v>0</v>
      </c>
      <c r="J1544">
        <v>1</v>
      </c>
      <c r="K1544">
        <v>0</v>
      </c>
    </row>
    <row r="1545" spans="1:11" x14ac:dyDescent="0.25">
      <c r="A1545" t="str">
        <f>"1971"</f>
        <v>1971</v>
      </c>
      <c r="B1545" t="str">
        <f t="shared" si="92"/>
        <v>1</v>
      </c>
      <c r="C1545" t="str">
        <f t="shared" si="93"/>
        <v>81</v>
      </c>
      <c r="D1545" t="str">
        <f>"7"</f>
        <v>7</v>
      </c>
      <c r="E1545" t="str">
        <f>"1-81-7"</f>
        <v>1-81-7</v>
      </c>
      <c r="F1545" t="s">
        <v>15</v>
      </c>
      <c r="G1545" t="s">
        <v>16</v>
      </c>
      <c r="H1545" t="s">
        <v>17</v>
      </c>
      <c r="I1545">
        <v>0</v>
      </c>
      <c r="J1545">
        <v>0</v>
      </c>
      <c r="K1545">
        <v>1</v>
      </c>
    </row>
    <row r="1546" spans="1:11" x14ac:dyDescent="0.25">
      <c r="A1546" t="str">
        <f>"1972"</f>
        <v>1972</v>
      </c>
      <c r="B1546" t="str">
        <f t="shared" si="92"/>
        <v>1</v>
      </c>
      <c r="C1546" t="str">
        <f t="shared" si="93"/>
        <v>81</v>
      </c>
      <c r="D1546" t="str">
        <f>"23"</f>
        <v>23</v>
      </c>
      <c r="E1546" t="str">
        <f>"1-81-23"</f>
        <v>1-81-23</v>
      </c>
      <c r="F1546" t="s">
        <v>15</v>
      </c>
      <c r="G1546" t="s">
        <v>16</v>
      </c>
      <c r="H1546" t="s">
        <v>17</v>
      </c>
      <c r="I1546">
        <v>1</v>
      </c>
      <c r="J1546">
        <v>0</v>
      </c>
      <c r="K1546">
        <v>0</v>
      </c>
    </row>
    <row r="1547" spans="1:11" x14ac:dyDescent="0.25">
      <c r="A1547" t="str">
        <f>"1973"</f>
        <v>1973</v>
      </c>
      <c r="B1547" t="str">
        <f t="shared" si="92"/>
        <v>1</v>
      </c>
      <c r="C1547" t="str">
        <f t="shared" si="93"/>
        <v>81</v>
      </c>
      <c r="D1547" t="str">
        <f>"10"</f>
        <v>10</v>
      </c>
      <c r="E1547" t="str">
        <f>"1-81-10"</f>
        <v>1-81-10</v>
      </c>
      <c r="F1547" t="s">
        <v>15</v>
      </c>
      <c r="G1547" t="s">
        <v>18</v>
      </c>
      <c r="H1547" t="s">
        <v>19</v>
      </c>
      <c r="I1547">
        <v>0</v>
      </c>
      <c r="J1547">
        <v>1</v>
      </c>
      <c r="K1547">
        <v>0</v>
      </c>
    </row>
    <row r="1548" spans="1:11" x14ac:dyDescent="0.25">
      <c r="A1548" t="str">
        <f>"1974"</f>
        <v>1974</v>
      </c>
      <c r="B1548" t="str">
        <f t="shared" si="92"/>
        <v>1</v>
      </c>
      <c r="C1548" t="str">
        <f t="shared" si="93"/>
        <v>81</v>
      </c>
      <c r="D1548" t="str">
        <f>"24"</f>
        <v>24</v>
      </c>
      <c r="E1548" t="str">
        <f>"1-81-24"</f>
        <v>1-81-24</v>
      </c>
      <c r="F1548" t="s">
        <v>15</v>
      </c>
      <c r="G1548" t="s">
        <v>16</v>
      </c>
      <c r="H1548" t="s">
        <v>17</v>
      </c>
      <c r="I1548">
        <v>1</v>
      </c>
      <c r="J1548">
        <v>0</v>
      </c>
      <c r="K1548">
        <v>0</v>
      </c>
    </row>
    <row r="1549" spans="1:11" x14ac:dyDescent="0.25">
      <c r="A1549" t="str">
        <f>"1975"</f>
        <v>1975</v>
      </c>
      <c r="B1549" t="str">
        <f t="shared" si="92"/>
        <v>1</v>
      </c>
      <c r="C1549" t="str">
        <f t="shared" si="93"/>
        <v>81</v>
      </c>
      <c r="D1549" t="str">
        <f>"5"</f>
        <v>5</v>
      </c>
      <c r="E1549" t="str">
        <f>"1-81-5"</f>
        <v>1-81-5</v>
      </c>
      <c r="F1549" t="s">
        <v>15</v>
      </c>
      <c r="G1549" t="s">
        <v>18</v>
      </c>
      <c r="H1549" t="s">
        <v>19</v>
      </c>
      <c r="I1549">
        <v>0</v>
      </c>
      <c r="J1549">
        <v>1</v>
      </c>
      <c r="K1549">
        <v>0</v>
      </c>
    </row>
    <row r="1550" spans="1:11" x14ac:dyDescent="0.25">
      <c r="A1550" t="str">
        <f>"1976"</f>
        <v>1976</v>
      </c>
      <c r="B1550" t="str">
        <f t="shared" si="92"/>
        <v>1</v>
      </c>
      <c r="C1550" t="str">
        <f t="shared" si="93"/>
        <v>81</v>
      </c>
      <c r="D1550" t="str">
        <f>"1"</f>
        <v>1</v>
      </c>
      <c r="E1550" t="str">
        <f>"1-81-1"</f>
        <v>1-81-1</v>
      </c>
      <c r="F1550" t="s">
        <v>15</v>
      </c>
      <c r="G1550" t="s">
        <v>16</v>
      </c>
      <c r="H1550" t="s">
        <v>17</v>
      </c>
      <c r="I1550">
        <v>1</v>
      </c>
      <c r="J1550">
        <v>0</v>
      </c>
      <c r="K1550">
        <v>0</v>
      </c>
    </row>
    <row r="1551" spans="1:11" x14ac:dyDescent="0.25">
      <c r="A1551" t="str">
        <f>"1977"</f>
        <v>1977</v>
      </c>
      <c r="B1551" t="str">
        <f t="shared" si="92"/>
        <v>1</v>
      </c>
      <c r="C1551" t="str">
        <f t="shared" si="93"/>
        <v>81</v>
      </c>
      <c r="D1551" t="str">
        <f>"4"</f>
        <v>4</v>
      </c>
      <c r="E1551" t="str">
        <f>"1-81-4"</f>
        <v>1-81-4</v>
      </c>
      <c r="F1551" t="s">
        <v>15</v>
      </c>
      <c r="G1551" t="s">
        <v>16</v>
      </c>
      <c r="H1551" t="s">
        <v>17</v>
      </c>
      <c r="I1551">
        <v>0</v>
      </c>
      <c r="J1551">
        <v>0</v>
      </c>
      <c r="K1551">
        <v>1</v>
      </c>
    </row>
    <row r="1552" spans="1:11" x14ac:dyDescent="0.25">
      <c r="A1552" t="str">
        <f>"1978"</f>
        <v>1978</v>
      </c>
      <c r="B1552" t="str">
        <f t="shared" si="92"/>
        <v>1</v>
      </c>
      <c r="C1552" t="str">
        <f t="shared" si="93"/>
        <v>81</v>
      </c>
      <c r="D1552" t="str">
        <f>"2"</f>
        <v>2</v>
      </c>
      <c r="E1552" t="str">
        <f>"1-81-2"</f>
        <v>1-81-2</v>
      </c>
      <c r="F1552" t="s">
        <v>15</v>
      </c>
      <c r="G1552" t="s">
        <v>16</v>
      </c>
      <c r="H1552" t="s">
        <v>17</v>
      </c>
      <c r="I1552">
        <v>1</v>
      </c>
      <c r="J1552">
        <v>0</v>
      </c>
      <c r="K1552">
        <v>0</v>
      </c>
    </row>
    <row r="1553" spans="1:11" x14ac:dyDescent="0.25">
      <c r="A1553" t="str">
        <f>"1979"</f>
        <v>1979</v>
      </c>
      <c r="B1553" t="str">
        <f t="shared" si="92"/>
        <v>1</v>
      </c>
      <c r="C1553" t="str">
        <f t="shared" si="93"/>
        <v>81</v>
      </c>
      <c r="D1553" t="str">
        <f>"11"</f>
        <v>11</v>
      </c>
      <c r="E1553" t="str">
        <f>"1-81-11"</f>
        <v>1-81-11</v>
      </c>
      <c r="F1553" t="s">
        <v>15</v>
      </c>
      <c r="G1553" t="s">
        <v>16</v>
      </c>
      <c r="H1553" t="s">
        <v>17</v>
      </c>
      <c r="I1553">
        <v>0</v>
      </c>
      <c r="J1553">
        <v>1</v>
      </c>
      <c r="K1553">
        <v>0</v>
      </c>
    </row>
    <row r="1554" spans="1:11" x14ac:dyDescent="0.25">
      <c r="A1554" t="str">
        <f>"1980"</f>
        <v>1980</v>
      </c>
      <c r="B1554" t="str">
        <f t="shared" si="92"/>
        <v>1</v>
      </c>
      <c r="C1554" t="str">
        <f t="shared" si="93"/>
        <v>81</v>
      </c>
      <c r="D1554" t="str">
        <f>"14"</f>
        <v>14</v>
      </c>
      <c r="E1554" t="str">
        <f>"1-81-14"</f>
        <v>1-81-14</v>
      </c>
      <c r="F1554" t="s">
        <v>15</v>
      </c>
      <c r="G1554" t="s">
        <v>18</v>
      </c>
      <c r="H1554" t="s">
        <v>19</v>
      </c>
      <c r="I1554">
        <v>1</v>
      </c>
      <c r="J1554">
        <v>0</v>
      </c>
      <c r="K1554">
        <v>0</v>
      </c>
    </row>
    <row r="1555" spans="1:11" x14ac:dyDescent="0.25">
      <c r="A1555" t="str">
        <f>"1981"</f>
        <v>1981</v>
      </c>
      <c r="B1555" t="str">
        <f t="shared" si="92"/>
        <v>1</v>
      </c>
      <c r="C1555" t="str">
        <f t="shared" si="93"/>
        <v>81</v>
      </c>
      <c r="D1555" t="str">
        <f>"12"</f>
        <v>12</v>
      </c>
      <c r="E1555" t="str">
        <f>"1-81-12"</f>
        <v>1-81-12</v>
      </c>
      <c r="F1555" t="s">
        <v>15</v>
      </c>
      <c r="G1555" t="s">
        <v>16</v>
      </c>
      <c r="H1555" t="s">
        <v>17</v>
      </c>
      <c r="I1555">
        <v>0</v>
      </c>
      <c r="J1555">
        <v>1</v>
      </c>
      <c r="K1555">
        <v>0</v>
      </c>
    </row>
    <row r="1556" spans="1:11" x14ac:dyDescent="0.25">
      <c r="A1556" t="str">
        <f>"1982"</f>
        <v>1982</v>
      </c>
      <c r="B1556" t="str">
        <f t="shared" si="92"/>
        <v>1</v>
      </c>
      <c r="C1556" t="str">
        <f t="shared" si="93"/>
        <v>81</v>
      </c>
      <c r="D1556" t="str">
        <f>"3"</f>
        <v>3</v>
      </c>
      <c r="E1556" t="str">
        <f>"1-81-3"</f>
        <v>1-81-3</v>
      </c>
      <c r="F1556" t="s">
        <v>15</v>
      </c>
      <c r="G1556" t="s">
        <v>16</v>
      </c>
      <c r="H1556" t="s">
        <v>17</v>
      </c>
      <c r="I1556">
        <v>1</v>
      </c>
      <c r="J1556">
        <v>0</v>
      </c>
      <c r="K1556">
        <v>0</v>
      </c>
    </row>
    <row r="1557" spans="1:11" x14ac:dyDescent="0.25">
      <c r="A1557" t="str">
        <f>"1983"</f>
        <v>1983</v>
      </c>
      <c r="B1557" t="str">
        <f t="shared" si="92"/>
        <v>1</v>
      </c>
      <c r="C1557" t="str">
        <f t="shared" si="93"/>
        <v>81</v>
      </c>
      <c r="D1557" t="str">
        <f>"17"</f>
        <v>17</v>
      </c>
      <c r="E1557" t="str">
        <f>"1-81-17"</f>
        <v>1-81-17</v>
      </c>
      <c r="F1557" t="s">
        <v>15</v>
      </c>
      <c r="G1557" t="s">
        <v>16</v>
      </c>
      <c r="H1557" t="s">
        <v>17</v>
      </c>
      <c r="I1557">
        <v>0</v>
      </c>
      <c r="J1557">
        <v>0</v>
      </c>
      <c r="K1557">
        <v>0</v>
      </c>
    </row>
    <row r="1558" spans="1:11" x14ac:dyDescent="0.25">
      <c r="A1558" t="str">
        <f>"1984"</f>
        <v>1984</v>
      </c>
      <c r="B1558" t="str">
        <f t="shared" si="92"/>
        <v>1</v>
      </c>
      <c r="C1558" t="str">
        <f t="shared" ref="C1558:C1585" si="94">"82"</f>
        <v>82</v>
      </c>
      <c r="D1558" t="str">
        <f>"25"</f>
        <v>25</v>
      </c>
      <c r="E1558" t="str">
        <f>"1-82-25"</f>
        <v>1-82-25</v>
      </c>
      <c r="F1558" t="s">
        <v>15</v>
      </c>
      <c r="G1558" t="s">
        <v>16</v>
      </c>
      <c r="H1558" t="s">
        <v>17</v>
      </c>
      <c r="I1558">
        <v>0</v>
      </c>
      <c r="J1558">
        <v>1</v>
      </c>
      <c r="K1558">
        <v>0</v>
      </c>
    </row>
    <row r="1559" spans="1:11" x14ac:dyDescent="0.25">
      <c r="A1559" t="str">
        <f>"1985"</f>
        <v>1985</v>
      </c>
      <c r="B1559" t="str">
        <f t="shared" si="92"/>
        <v>1</v>
      </c>
      <c r="C1559" t="str">
        <f t="shared" si="94"/>
        <v>82</v>
      </c>
      <c r="D1559" t="str">
        <f>"15"</f>
        <v>15</v>
      </c>
      <c r="E1559" t="str">
        <f>"1-82-15"</f>
        <v>1-82-15</v>
      </c>
      <c r="F1559" t="s">
        <v>15</v>
      </c>
      <c r="G1559" t="s">
        <v>16</v>
      </c>
      <c r="H1559" t="s">
        <v>17</v>
      </c>
      <c r="I1559">
        <v>0</v>
      </c>
      <c r="J1559">
        <v>0</v>
      </c>
      <c r="K1559">
        <v>1</v>
      </c>
    </row>
    <row r="1560" spans="1:11" x14ac:dyDescent="0.25">
      <c r="A1560" t="str">
        <f>"1986"</f>
        <v>1986</v>
      </c>
      <c r="B1560" t="str">
        <f t="shared" si="92"/>
        <v>1</v>
      </c>
      <c r="C1560" t="str">
        <f t="shared" si="94"/>
        <v>82</v>
      </c>
      <c r="D1560" t="str">
        <f>"2"</f>
        <v>2</v>
      </c>
      <c r="E1560" t="str">
        <f>"1-82-2"</f>
        <v>1-82-2</v>
      </c>
      <c r="F1560" t="s">
        <v>15</v>
      </c>
      <c r="G1560" t="s">
        <v>16</v>
      </c>
      <c r="H1560" t="s">
        <v>17</v>
      </c>
      <c r="I1560">
        <v>1</v>
      </c>
      <c r="J1560">
        <v>0</v>
      </c>
      <c r="K1560">
        <v>0</v>
      </c>
    </row>
    <row r="1561" spans="1:11" x14ac:dyDescent="0.25">
      <c r="A1561" t="str">
        <f>"1987"</f>
        <v>1987</v>
      </c>
      <c r="B1561" t="str">
        <f t="shared" si="92"/>
        <v>1</v>
      </c>
      <c r="C1561" t="str">
        <f t="shared" si="94"/>
        <v>82</v>
      </c>
      <c r="D1561" t="str">
        <f>"20"</f>
        <v>20</v>
      </c>
      <c r="E1561" t="str">
        <f>"1-82-20"</f>
        <v>1-82-20</v>
      </c>
      <c r="F1561" t="s">
        <v>15</v>
      </c>
      <c r="G1561" t="s">
        <v>20</v>
      </c>
      <c r="H1561" t="s">
        <v>21</v>
      </c>
      <c r="I1561">
        <v>1</v>
      </c>
      <c r="J1561">
        <v>0</v>
      </c>
      <c r="K1561">
        <v>0</v>
      </c>
    </row>
    <row r="1562" spans="1:11" x14ac:dyDescent="0.25">
      <c r="A1562" t="str">
        <f>"1988"</f>
        <v>1988</v>
      </c>
      <c r="B1562" t="str">
        <f t="shared" si="92"/>
        <v>1</v>
      </c>
      <c r="C1562" t="str">
        <f t="shared" si="94"/>
        <v>82</v>
      </c>
      <c r="D1562" t="str">
        <f>"16"</f>
        <v>16</v>
      </c>
      <c r="E1562" t="str">
        <f>"1-82-16"</f>
        <v>1-82-16</v>
      </c>
      <c r="F1562" t="s">
        <v>15</v>
      </c>
      <c r="G1562" t="s">
        <v>18</v>
      </c>
      <c r="H1562" t="s">
        <v>19</v>
      </c>
      <c r="I1562">
        <v>0</v>
      </c>
      <c r="J1562">
        <v>0</v>
      </c>
      <c r="K1562">
        <v>1</v>
      </c>
    </row>
    <row r="1563" spans="1:11" x14ac:dyDescent="0.25">
      <c r="A1563" t="str">
        <f>"1989"</f>
        <v>1989</v>
      </c>
      <c r="B1563" t="str">
        <f t="shared" si="92"/>
        <v>1</v>
      </c>
      <c r="C1563" t="str">
        <f t="shared" si="94"/>
        <v>82</v>
      </c>
      <c r="D1563" t="str">
        <f>"5"</f>
        <v>5</v>
      </c>
      <c r="E1563" t="str">
        <f>"1-82-5"</f>
        <v>1-82-5</v>
      </c>
      <c r="F1563" t="s">
        <v>15</v>
      </c>
      <c r="G1563" t="s">
        <v>18</v>
      </c>
      <c r="H1563" t="s">
        <v>19</v>
      </c>
      <c r="I1563">
        <v>0</v>
      </c>
      <c r="J1563">
        <v>0</v>
      </c>
      <c r="K1563">
        <v>1</v>
      </c>
    </row>
    <row r="1564" spans="1:11" x14ac:dyDescent="0.25">
      <c r="A1564" t="str">
        <f>"1990"</f>
        <v>1990</v>
      </c>
      <c r="B1564" t="str">
        <f t="shared" si="92"/>
        <v>1</v>
      </c>
      <c r="C1564" t="str">
        <f t="shared" si="94"/>
        <v>82</v>
      </c>
      <c r="D1564" t="str">
        <f>"17"</f>
        <v>17</v>
      </c>
      <c r="E1564" t="str">
        <f>"1-82-17"</f>
        <v>1-82-17</v>
      </c>
      <c r="F1564" t="s">
        <v>15</v>
      </c>
      <c r="G1564" t="s">
        <v>18</v>
      </c>
      <c r="H1564" t="s">
        <v>19</v>
      </c>
      <c r="I1564">
        <v>1</v>
      </c>
      <c r="J1564">
        <v>0</v>
      </c>
      <c r="K1564">
        <v>0</v>
      </c>
    </row>
    <row r="1565" spans="1:11" x14ac:dyDescent="0.25">
      <c r="A1565" t="str">
        <f>"1991"</f>
        <v>1991</v>
      </c>
      <c r="B1565" t="str">
        <f t="shared" si="92"/>
        <v>1</v>
      </c>
      <c r="C1565" t="str">
        <f t="shared" si="94"/>
        <v>82</v>
      </c>
      <c r="D1565" t="str">
        <f>"6"</f>
        <v>6</v>
      </c>
      <c r="E1565" t="str">
        <f>"1-82-6"</f>
        <v>1-82-6</v>
      </c>
      <c r="F1565" t="s">
        <v>15</v>
      </c>
      <c r="G1565" t="s">
        <v>16</v>
      </c>
      <c r="H1565" t="s">
        <v>17</v>
      </c>
      <c r="I1565">
        <v>1</v>
      </c>
      <c r="J1565">
        <v>0</v>
      </c>
      <c r="K1565">
        <v>0</v>
      </c>
    </row>
    <row r="1566" spans="1:11" x14ac:dyDescent="0.25">
      <c r="A1566" t="str">
        <f>"1992"</f>
        <v>1992</v>
      </c>
      <c r="B1566" t="str">
        <f t="shared" si="92"/>
        <v>1</v>
      </c>
      <c r="C1566" t="str">
        <f t="shared" si="94"/>
        <v>82</v>
      </c>
      <c r="D1566" t="str">
        <f>"18"</f>
        <v>18</v>
      </c>
      <c r="E1566" t="str">
        <f>"1-82-18"</f>
        <v>1-82-18</v>
      </c>
      <c r="F1566" t="s">
        <v>15</v>
      </c>
      <c r="G1566" t="s">
        <v>18</v>
      </c>
      <c r="H1566" t="s">
        <v>19</v>
      </c>
      <c r="I1566">
        <v>1</v>
      </c>
      <c r="J1566">
        <v>0</v>
      </c>
      <c r="K1566">
        <v>0</v>
      </c>
    </row>
    <row r="1567" spans="1:11" x14ac:dyDescent="0.25">
      <c r="A1567" t="str">
        <f>"1993"</f>
        <v>1993</v>
      </c>
      <c r="B1567" t="str">
        <f t="shared" si="92"/>
        <v>1</v>
      </c>
      <c r="C1567" t="str">
        <f t="shared" si="94"/>
        <v>82</v>
      </c>
      <c r="D1567" t="str">
        <f>"11"</f>
        <v>11</v>
      </c>
      <c r="E1567" t="str">
        <f>"1-82-11"</f>
        <v>1-82-11</v>
      </c>
      <c r="F1567" t="s">
        <v>15</v>
      </c>
      <c r="G1567" t="s">
        <v>16</v>
      </c>
      <c r="H1567" t="s">
        <v>17</v>
      </c>
      <c r="I1567">
        <v>0</v>
      </c>
      <c r="J1567">
        <v>0</v>
      </c>
      <c r="K1567">
        <v>1</v>
      </c>
    </row>
    <row r="1568" spans="1:11" x14ac:dyDescent="0.25">
      <c r="A1568" t="str">
        <f>"1994"</f>
        <v>1994</v>
      </c>
      <c r="B1568" t="str">
        <f t="shared" si="92"/>
        <v>1</v>
      </c>
      <c r="C1568" t="str">
        <f t="shared" si="94"/>
        <v>82</v>
      </c>
      <c r="D1568" t="str">
        <f>"19"</f>
        <v>19</v>
      </c>
      <c r="E1568" t="str">
        <f>"1-82-19"</f>
        <v>1-82-19</v>
      </c>
      <c r="F1568" t="s">
        <v>15</v>
      </c>
      <c r="G1568" t="s">
        <v>18</v>
      </c>
      <c r="H1568" t="s">
        <v>19</v>
      </c>
      <c r="I1568">
        <v>1</v>
      </c>
      <c r="J1568">
        <v>0</v>
      </c>
      <c r="K1568">
        <v>0</v>
      </c>
    </row>
    <row r="1569" spans="1:11" x14ac:dyDescent="0.25">
      <c r="A1569" t="str">
        <f>"1995"</f>
        <v>1995</v>
      </c>
      <c r="B1569" t="str">
        <f t="shared" si="92"/>
        <v>1</v>
      </c>
      <c r="C1569" t="str">
        <f t="shared" si="94"/>
        <v>82</v>
      </c>
      <c r="D1569" t="str">
        <f>"14"</f>
        <v>14</v>
      </c>
      <c r="E1569" t="str">
        <f>"1-82-14"</f>
        <v>1-82-14</v>
      </c>
      <c r="F1569" t="s">
        <v>15</v>
      </c>
      <c r="G1569" t="s">
        <v>16</v>
      </c>
      <c r="H1569" t="s">
        <v>17</v>
      </c>
      <c r="I1569">
        <v>0</v>
      </c>
      <c r="J1569">
        <v>1</v>
      </c>
      <c r="K1569">
        <v>0</v>
      </c>
    </row>
    <row r="1570" spans="1:11" x14ac:dyDescent="0.25">
      <c r="A1570" t="str">
        <f>"1996"</f>
        <v>1996</v>
      </c>
      <c r="B1570" t="str">
        <f t="shared" si="92"/>
        <v>1</v>
      </c>
      <c r="C1570" t="str">
        <f t="shared" si="94"/>
        <v>82</v>
      </c>
      <c r="D1570" t="str">
        <f>"21"</f>
        <v>21</v>
      </c>
      <c r="E1570" t="str">
        <f>"1-82-21"</f>
        <v>1-82-21</v>
      </c>
      <c r="F1570" t="s">
        <v>15</v>
      </c>
      <c r="G1570" t="s">
        <v>16</v>
      </c>
      <c r="H1570" t="s">
        <v>17</v>
      </c>
      <c r="I1570">
        <v>1</v>
      </c>
      <c r="J1570">
        <v>0</v>
      </c>
      <c r="K1570">
        <v>0</v>
      </c>
    </row>
    <row r="1571" spans="1:11" x14ac:dyDescent="0.25">
      <c r="A1571" t="str">
        <f>"1997"</f>
        <v>1997</v>
      </c>
      <c r="B1571" t="str">
        <f t="shared" si="92"/>
        <v>1</v>
      </c>
      <c r="C1571" t="str">
        <f t="shared" si="94"/>
        <v>82</v>
      </c>
      <c r="D1571" t="str">
        <f>"10"</f>
        <v>10</v>
      </c>
      <c r="E1571" t="str">
        <f>"1-82-10"</f>
        <v>1-82-10</v>
      </c>
      <c r="F1571" t="s">
        <v>15</v>
      </c>
      <c r="G1571" t="s">
        <v>16</v>
      </c>
      <c r="H1571" t="s">
        <v>17</v>
      </c>
      <c r="I1571">
        <v>1</v>
      </c>
      <c r="J1571">
        <v>0</v>
      </c>
      <c r="K1571">
        <v>0</v>
      </c>
    </row>
    <row r="1572" spans="1:11" x14ac:dyDescent="0.25">
      <c r="A1572" t="str">
        <f>"1998"</f>
        <v>1998</v>
      </c>
      <c r="B1572" t="str">
        <f t="shared" si="92"/>
        <v>1</v>
      </c>
      <c r="C1572" t="str">
        <f t="shared" si="94"/>
        <v>82</v>
      </c>
      <c r="D1572" t="str">
        <f>"22"</f>
        <v>22</v>
      </c>
      <c r="E1572" t="str">
        <f>"1-82-22"</f>
        <v>1-82-22</v>
      </c>
      <c r="F1572" t="s">
        <v>15</v>
      </c>
      <c r="G1572" t="s">
        <v>16</v>
      </c>
      <c r="H1572" t="s">
        <v>17</v>
      </c>
      <c r="I1572">
        <v>0</v>
      </c>
      <c r="J1572">
        <v>1</v>
      </c>
      <c r="K1572">
        <v>0</v>
      </c>
    </row>
    <row r="1573" spans="1:11" x14ac:dyDescent="0.25">
      <c r="A1573" t="str">
        <f>"1999"</f>
        <v>1999</v>
      </c>
      <c r="B1573" t="str">
        <f t="shared" si="92"/>
        <v>1</v>
      </c>
      <c r="C1573" t="str">
        <f t="shared" si="94"/>
        <v>82</v>
      </c>
      <c r="D1573" t="str">
        <f>"8"</f>
        <v>8</v>
      </c>
      <c r="E1573" t="str">
        <f>"1-82-8"</f>
        <v>1-82-8</v>
      </c>
      <c r="F1573" t="s">
        <v>15</v>
      </c>
      <c r="G1573" t="s">
        <v>18</v>
      </c>
      <c r="H1573" t="s">
        <v>19</v>
      </c>
      <c r="I1573">
        <v>0</v>
      </c>
      <c r="J1573">
        <v>1</v>
      </c>
      <c r="K1573">
        <v>0</v>
      </c>
    </row>
    <row r="1574" spans="1:11" x14ac:dyDescent="0.25">
      <c r="A1574" t="str">
        <f>"2000"</f>
        <v>2000</v>
      </c>
      <c r="B1574" t="str">
        <f t="shared" si="92"/>
        <v>1</v>
      </c>
      <c r="C1574" t="str">
        <f t="shared" si="94"/>
        <v>82</v>
      </c>
      <c r="D1574" t="str">
        <f>"23"</f>
        <v>23</v>
      </c>
      <c r="E1574" t="str">
        <f>"1-82-23"</f>
        <v>1-82-23</v>
      </c>
      <c r="F1574" t="s">
        <v>15</v>
      </c>
      <c r="G1574" t="s">
        <v>16</v>
      </c>
      <c r="H1574" t="s">
        <v>17</v>
      </c>
      <c r="I1574">
        <v>0</v>
      </c>
      <c r="J1574">
        <v>1</v>
      </c>
      <c r="K1574">
        <v>0</v>
      </c>
    </row>
    <row r="1575" spans="1:11" x14ac:dyDescent="0.25">
      <c r="A1575" t="str">
        <f>"2001"</f>
        <v>2001</v>
      </c>
      <c r="B1575" t="str">
        <f t="shared" si="92"/>
        <v>1</v>
      </c>
      <c r="C1575" t="str">
        <f t="shared" si="94"/>
        <v>82</v>
      </c>
      <c r="D1575" t="str">
        <f>"13"</f>
        <v>13</v>
      </c>
      <c r="E1575" t="str">
        <f>"1-82-13"</f>
        <v>1-82-13</v>
      </c>
      <c r="F1575" t="s">
        <v>15</v>
      </c>
      <c r="G1575" t="s">
        <v>18</v>
      </c>
      <c r="H1575" t="s">
        <v>19</v>
      </c>
      <c r="I1575">
        <v>0</v>
      </c>
      <c r="J1575">
        <v>1</v>
      </c>
      <c r="K1575">
        <v>0</v>
      </c>
    </row>
    <row r="1576" spans="1:11" x14ac:dyDescent="0.25">
      <c r="A1576" t="str">
        <f>"2002"</f>
        <v>2002</v>
      </c>
      <c r="B1576" t="str">
        <f t="shared" si="92"/>
        <v>1</v>
      </c>
      <c r="C1576" t="str">
        <f t="shared" si="94"/>
        <v>82</v>
      </c>
      <c r="D1576" t="str">
        <f>"24"</f>
        <v>24</v>
      </c>
      <c r="E1576" t="str">
        <f>"1-82-24"</f>
        <v>1-82-24</v>
      </c>
      <c r="F1576" t="s">
        <v>15</v>
      </c>
      <c r="G1576" t="s">
        <v>16</v>
      </c>
      <c r="H1576" t="s">
        <v>17</v>
      </c>
      <c r="I1576">
        <v>0</v>
      </c>
      <c r="J1576">
        <v>1</v>
      </c>
      <c r="K1576">
        <v>0</v>
      </c>
    </row>
    <row r="1577" spans="1:11" x14ac:dyDescent="0.25">
      <c r="A1577" t="str">
        <f>"2003"</f>
        <v>2003</v>
      </c>
      <c r="B1577" t="str">
        <f t="shared" si="92"/>
        <v>1</v>
      </c>
      <c r="C1577" t="str">
        <f t="shared" si="94"/>
        <v>82</v>
      </c>
      <c r="D1577" t="str">
        <f>"7"</f>
        <v>7</v>
      </c>
      <c r="E1577" t="str">
        <f>"1-82-7"</f>
        <v>1-82-7</v>
      </c>
      <c r="F1577" t="s">
        <v>15</v>
      </c>
      <c r="G1577" t="s">
        <v>18</v>
      </c>
      <c r="H1577" t="s">
        <v>19</v>
      </c>
      <c r="I1577">
        <v>1</v>
      </c>
      <c r="J1577">
        <v>0</v>
      </c>
      <c r="K1577">
        <v>0</v>
      </c>
    </row>
    <row r="1578" spans="1:11" x14ac:dyDescent="0.25">
      <c r="A1578" t="str">
        <f>"2004"</f>
        <v>2004</v>
      </c>
      <c r="B1578" t="str">
        <f t="shared" si="92"/>
        <v>1</v>
      </c>
      <c r="C1578" t="str">
        <f t="shared" si="94"/>
        <v>82</v>
      </c>
      <c r="D1578" t="str">
        <f>"1"</f>
        <v>1</v>
      </c>
      <c r="E1578" t="str">
        <f>"1-82-1"</f>
        <v>1-82-1</v>
      </c>
      <c r="F1578" t="s">
        <v>15</v>
      </c>
      <c r="G1578" t="s">
        <v>18</v>
      </c>
      <c r="H1578" t="s">
        <v>19</v>
      </c>
      <c r="I1578">
        <v>0</v>
      </c>
      <c r="J1578">
        <v>1</v>
      </c>
      <c r="K1578">
        <v>0</v>
      </c>
    </row>
    <row r="1579" spans="1:11" x14ac:dyDescent="0.25">
      <c r="A1579" t="str">
        <f>"2005"</f>
        <v>2005</v>
      </c>
      <c r="B1579" t="str">
        <f t="shared" si="92"/>
        <v>1</v>
      </c>
      <c r="C1579" t="str">
        <f t="shared" si="94"/>
        <v>82</v>
      </c>
      <c r="D1579" t="str">
        <f>"27"</f>
        <v>27</v>
      </c>
      <c r="E1579" t="str">
        <f>"1-82-27"</f>
        <v>1-82-27</v>
      </c>
      <c r="F1579" t="s">
        <v>15</v>
      </c>
      <c r="G1579" t="s">
        <v>20</v>
      </c>
      <c r="H1579" t="s">
        <v>21</v>
      </c>
      <c r="I1579">
        <v>1</v>
      </c>
      <c r="J1579">
        <v>0</v>
      </c>
      <c r="K1579">
        <v>0</v>
      </c>
    </row>
    <row r="1580" spans="1:11" x14ac:dyDescent="0.25">
      <c r="A1580" t="str">
        <f>"2006"</f>
        <v>2006</v>
      </c>
      <c r="B1580" t="str">
        <f t="shared" si="92"/>
        <v>1</v>
      </c>
      <c r="C1580" t="str">
        <f t="shared" si="94"/>
        <v>82</v>
      </c>
      <c r="D1580" t="str">
        <f>"9"</f>
        <v>9</v>
      </c>
      <c r="E1580" t="str">
        <f>"1-82-9"</f>
        <v>1-82-9</v>
      </c>
      <c r="F1580" t="s">
        <v>15</v>
      </c>
      <c r="G1580" t="s">
        <v>18</v>
      </c>
      <c r="H1580" t="s">
        <v>19</v>
      </c>
      <c r="I1580">
        <v>1</v>
      </c>
      <c r="J1580">
        <v>0</v>
      </c>
      <c r="K1580">
        <v>0</v>
      </c>
    </row>
    <row r="1581" spans="1:11" x14ac:dyDescent="0.25">
      <c r="A1581" t="str">
        <f>"2007"</f>
        <v>2007</v>
      </c>
      <c r="B1581" t="str">
        <f t="shared" si="92"/>
        <v>1</v>
      </c>
      <c r="C1581" t="str">
        <f t="shared" si="94"/>
        <v>82</v>
      </c>
      <c r="D1581" t="str">
        <f>"28"</f>
        <v>28</v>
      </c>
      <c r="E1581" t="str">
        <f>"1-82-28"</f>
        <v>1-82-28</v>
      </c>
      <c r="F1581" t="s">
        <v>15</v>
      </c>
      <c r="G1581" t="s">
        <v>20</v>
      </c>
      <c r="H1581" t="s">
        <v>21</v>
      </c>
      <c r="I1581">
        <v>0</v>
      </c>
      <c r="J1581">
        <v>1</v>
      </c>
      <c r="K1581">
        <v>0</v>
      </c>
    </row>
    <row r="1582" spans="1:11" x14ac:dyDescent="0.25">
      <c r="A1582" t="str">
        <f>"2008"</f>
        <v>2008</v>
      </c>
      <c r="B1582" t="str">
        <f t="shared" si="92"/>
        <v>1</v>
      </c>
      <c r="C1582" t="str">
        <f t="shared" si="94"/>
        <v>82</v>
      </c>
      <c r="D1582" t="str">
        <f>"3"</f>
        <v>3</v>
      </c>
      <c r="E1582" t="str">
        <f>"1-82-3"</f>
        <v>1-82-3</v>
      </c>
      <c r="F1582" t="s">
        <v>15</v>
      </c>
      <c r="G1582" t="s">
        <v>18</v>
      </c>
      <c r="H1582" t="s">
        <v>19</v>
      </c>
      <c r="I1582">
        <v>0</v>
      </c>
      <c r="J1582">
        <v>0</v>
      </c>
      <c r="K1582">
        <v>1</v>
      </c>
    </row>
    <row r="1583" spans="1:11" x14ac:dyDescent="0.25">
      <c r="A1583" t="str">
        <f>"2009"</f>
        <v>2009</v>
      </c>
      <c r="B1583" t="str">
        <f t="shared" si="92"/>
        <v>1</v>
      </c>
      <c r="C1583" t="str">
        <f t="shared" si="94"/>
        <v>82</v>
      </c>
      <c r="D1583" t="str">
        <f>"4"</f>
        <v>4</v>
      </c>
      <c r="E1583" t="str">
        <f>"1-82-4"</f>
        <v>1-82-4</v>
      </c>
      <c r="F1583" t="s">
        <v>15</v>
      </c>
      <c r="G1583" t="s">
        <v>18</v>
      </c>
      <c r="H1583" t="s">
        <v>19</v>
      </c>
      <c r="I1583">
        <v>0</v>
      </c>
      <c r="J1583">
        <v>0</v>
      </c>
      <c r="K1583">
        <v>1</v>
      </c>
    </row>
    <row r="1584" spans="1:11" x14ac:dyDescent="0.25">
      <c r="A1584" t="str">
        <f>"2010"</f>
        <v>2010</v>
      </c>
      <c r="B1584" t="str">
        <f t="shared" ref="B1584:B1627" si="95">"1"</f>
        <v>1</v>
      </c>
      <c r="C1584" t="str">
        <f t="shared" si="94"/>
        <v>82</v>
      </c>
      <c r="D1584" t="str">
        <f>"12"</f>
        <v>12</v>
      </c>
      <c r="E1584" t="str">
        <f>"1-82-12"</f>
        <v>1-82-12</v>
      </c>
      <c r="F1584" t="s">
        <v>15</v>
      </c>
      <c r="G1584" t="s">
        <v>16</v>
      </c>
      <c r="H1584" t="s">
        <v>17</v>
      </c>
      <c r="I1584">
        <v>0</v>
      </c>
      <c r="J1584">
        <v>0</v>
      </c>
      <c r="K1584">
        <v>0</v>
      </c>
    </row>
    <row r="1585" spans="1:11" x14ac:dyDescent="0.25">
      <c r="A1585" t="str">
        <f>"2011"</f>
        <v>2011</v>
      </c>
      <c r="B1585" t="str">
        <f t="shared" si="95"/>
        <v>1</v>
      </c>
      <c r="C1585" t="str">
        <f t="shared" si="94"/>
        <v>82</v>
      </c>
      <c r="D1585" t="str">
        <f>"26"</f>
        <v>26</v>
      </c>
      <c r="E1585" t="str">
        <f>"1-82-26"</f>
        <v>1-82-26</v>
      </c>
      <c r="F1585" t="s">
        <v>15</v>
      </c>
      <c r="G1585" t="s">
        <v>16</v>
      </c>
      <c r="H1585" t="s">
        <v>17</v>
      </c>
      <c r="I1585">
        <v>0</v>
      </c>
      <c r="J1585">
        <v>0</v>
      </c>
      <c r="K1585">
        <v>0</v>
      </c>
    </row>
    <row r="1586" spans="1:11" x14ac:dyDescent="0.25">
      <c r="A1586" t="str">
        <f>"2012"</f>
        <v>2012</v>
      </c>
      <c r="B1586" t="str">
        <f t="shared" si="95"/>
        <v>1</v>
      </c>
      <c r="C1586" t="str">
        <f t="shared" ref="C1586:C1607" si="96">"83"</f>
        <v>83</v>
      </c>
      <c r="D1586" t="str">
        <f>"21"</f>
        <v>21</v>
      </c>
      <c r="E1586" t="str">
        <f>"1-83-21"</f>
        <v>1-83-21</v>
      </c>
      <c r="F1586" t="s">
        <v>15</v>
      </c>
      <c r="G1586" t="s">
        <v>16</v>
      </c>
      <c r="H1586" t="s">
        <v>17</v>
      </c>
      <c r="I1586">
        <v>0</v>
      </c>
      <c r="J1586">
        <v>1</v>
      </c>
      <c r="K1586">
        <v>0</v>
      </c>
    </row>
    <row r="1587" spans="1:11" x14ac:dyDescent="0.25">
      <c r="A1587" t="str">
        <f>"2013"</f>
        <v>2013</v>
      </c>
      <c r="B1587" t="str">
        <f t="shared" si="95"/>
        <v>1</v>
      </c>
      <c r="C1587" t="str">
        <f t="shared" si="96"/>
        <v>83</v>
      </c>
      <c r="D1587" t="str">
        <f>"20"</f>
        <v>20</v>
      </c>
      <c r="E1587" t="str">
        <f>"1-83-20"</f>
        <v>1-83-20</v>
      </c>
      <c r="F1587" t="s">
        <v>15</v>
      </c>
      <c r="G1587" t="s">
        <v>16</v>
      </c>
      <c r="H1587" t="s">
        <v>17</v>
      </c>
      <c r="I1587">
        <v>0</v>
      </c>
      <c r="J1587">
        <v>1</v>
      </c>
      <c r="K1587">
        <v>0</v>
      </c>
    </row>
    <row r="1588" spans="1:11" x14ac:dyDescent="0.25">
      <c r="A1588" t="str">
        <f>"2014"</f>
        <v>2014</v>
      </c>
      <c r="B1588" t="str">
        <f t="shared" si="95"/>
        <v>1</v>
      </c>
      <c r="C1588" t="str">
        <f t="shared" si="96"/>
        <v>83</v>
      </c>
      <c r="D1588" t="str">
        <f>"17"</f>
        <v>17</v>
      </c>
      <c r="E1588" t="str">
        <f>"1-83-17"</f>
        <v>1-83-17</v>
      </c>
      <c r="F1588" t="s">
        <v>15</v>
      </c>
      <c r="G1588" t="s">
        <v>20</v>
      </c>
      <c r="H1588" t="s">
        <v>21</v>
      </c>
      <c r="I1588">
        <v>0</v>
      </c>
      <c r="J1588">
        <v>0</v>
      </c>
      <c r="K1588">
        <v>1</v>
      </c>
    </row>
    <row r="1589" spans="1:11" x14ac:dyDescent="0.25">
      <c r="A1589" t="str">
        <f>"2015"</f>
        <v>2015</v>
      </c>
      <c r="B1589" t="str">
        <f t="shared" si="95"/>
        <v>1</v>
      </c>
      <c r="C1589" t="str">
        <f t="shared" si="96"/>
        <v>83</v>
      </c>
      <c r="D1589" t="str">
        <f>"15"</f>
        <v>15</v>
      </c>
      <c r="E1589" t="str">
        <f>"1-83-15"</f>
        <v>1-83-15</v>
      </c>
      <c r="F1589" t="s">
        <v>15</v>
      </c>
      <c r="G1589" t="s">
        <v>16</v>
      </c>
      <c r="H1589" t="s">
        <v>17</v>
      </c>
      <c r="I1589">
        <v>0</v>
      </c>
      <c r="J1589">
        <v>0</v>
      </c>
      <c r="K1589">
        <v>1</v>
      </c>
    </row>
    <row r="1590" spans="1:11" x14ac:dyDescent="0.25">
      <c r="A1590" t="str">
        <f>"2016"</f>
        <v>2016</v>
      </c>
      <c r="B1590" t="str">
        <f t="shared" si="95"/>
        <v>1</v>
      </c>
      <c r="C1590" t="str">
        <f t="shared" si="96"/>
        <v>83</v>
      </c>
      <c r="D1590" t="str">
        <f>"2"</f>
        <v>2</v>
      </c>
      <c r="E1590" t="str">
        <f>"1-83-2"</f>
        <v>1-83-2</v>
      </c>
      <c r="F1590" t="s">
        <v>15</v>
      </c>
      <c r="G1590" t="s">
        <v>16</v>
      </c>
      <c r="H1590" t="s">
        <v>17</v>
      </c>
      <c r="I1590">
        <v>1</v>
      </c>
      <c r="J1590">
        <v>0</v>
      </c>
      <c r="K1590">
        <v>0</v>
      </c>
    </row>
    <row r="1591" spans="1:11" x14ac:dyDescent="0.25">
      <c r="A1591" t="str">
        <f>"2017"</f>
        <v>2017</v>
      </c>
      <c r="B1591" t="str">
        <f t="shared" si="95"/>
        <v>1</v>
      </c>
      <c r="C1591" t="str">
        <f t="shared" si="96"/>
        <v>83</v>
      </c>
      <c r="D1591" t="str">
        <f>"16"</f>
        <v>16</v>
      </c>
      <c r="E1591" t="str">
        <f>"1-83-16"</f>
        <v>1-83-16</v>
      </c>
      <c r="F1591" t="s">
        <v>15</v>
      </c>
      <c r="G1591" t="s">
        <v>16</v>
      </c>
      <c r="H1591" t="s">
        <v>17</v>
      </c>
      <c r="I1591">
        <v>0</v>
      </c>
      <c r="J1591">
        <v>0</v>
      </c>
      <c r="K1591">
        <v>1</v>
      </c>
    </row>
    <row r="1592" spans="1:11" x14ac:dyDescent="0.25">
      <c r="A1592" t="str">
        <f>"2018"</f>
        <v>2018</v>
      </c>
      <c r="B1592" t="str">
        <f t="shared" si="95"/>
        <v>1</v>
      </c>
      <c r="C1592" t="str">
        <f t="shared" si="96"/>
        <v>83</v>
      </c>
      <c r="D1592" t="str">
        <f>"3"</f>
        <v>3</v>
      </c>
      <c r="E1592" t="str">
        <f>"1-83-3"</f>
        <v>1-83-3</v>
      </c>
      <c r="F1592" t="s">
        <v>15</v>
      </c>
      <c r="G1592" t="s">
        <v>16</v>
      </c>
      <c r="H1592" t="s">
        <v>17</v>
      </c>
      <c r="I1592">
        <v>1</v>
      </c>
      <c r="J1592">
        <v>0</v>
      </c>
      <c r="K1592">
        <v>0</v>
      </c>
    </row>
    <row r="1593" spans="1:11" x14ac:dyDescent="0.25">
      <c r="A1593" t="str">
        <f>"2019"</f>
        <v>2019</v>
      </c>
      <c r="B1593" t="str">
        <f t="shared" si="95"/>
        <v>1</v>
      </c>
      <c r="C1593" t="str">
        <f t="shared" si="96"/>
        <v>83</v>
      </c>
      <c r="D1593" t="str">
        <f>"18"</f>
        <v>18</v>
      </c>
      <c r="E1593" t="str">
        <f>"1-83-18"</f>
        <v>1-83-18</v>
      </c>
      <c r="F1593" t="s">
        <v>15</v>
      </c>
      <c r="G1593" t="s">
        <v>16</v>
      </c>
      <c r="H1593" t="s">
        <v>17</v>
      </c>
      <c r="I1593">
        <v>0</v>
      </c>
      <c r="J1593">
        <v>1</v>
      </c>
      <c r="K1593">
        <v>0</v>
      </c>
    </row>
    <row r="1594" spans="1:11" x14ac:dyDescent="0.25">
      <c r="A1594" t="str">
        <f>"2020"</f>
        <v>2020</v>
      </c>
      <c r="B1594" t="str">
        <f t="shared" si="95"/>
        <v>1</v>
      </c>
      <c r="C1594" t="str">
        <f t="shared" si="96"/>
        <v>83</v>
      </c>
      <c r="D1594" t="str">
        <f>"1"</f>
        <v>1</v>
      </c>
      <c r="E1594" t="str">
        <f>"1-83-1"</f>
        <v>1-83-1</v>
      </c>
      <c r="F1594" t="s">
        <v>15</v>
      </c>
      <c r="G1594" t="s">
        <v>16</v>
      </c>
      <c r="H1594" t="s">
        <v>17</v>
      </c>
      <c r="I1594">
        <v>1</v>
      </c>
      <c r="J1594">
        <v>0</v>
      </c>
      <c r="K1594">
        <v>0</v>
      </c>
    </row>
    <row r="1595" spans="1:11" x14ac:dyDescent="0.25">
      <c r="A1595" t="str">
        <f>"2021"</f>
        <v>2021</v>
      </c>
      <c r="B1595" t="str">
        <f t="shared" si="95"/>
        <v>1</v>
      </c>
      <c r="C1595" t="str">
        <f t="shared" si="96"/>
        <v>83</v>
      </c>
      <c r="D1595" t="str">
        <f>"19"</f>
        <v>19</v>
      </c>
      <c r="E1595" t="str">
        <f>"1-83-19"</f>
        <v>1-83-19</v>
      </c>
      <c r="F1595" t="s">
        <v>15</v>
      </c>
      <c r="G1595" t="s">
        <v>16</v>
      </c>
      <c r="H1595" t="s">
        <v>17</v>
      </c>
      <c r="I1595">
        <v>0</v>
      </c>
      <c r="J1595">
        <v>0</v>
      </c>
      <c r="K1595">
        <v>1</v>
      </c>
    </row>
    <row r="1596" spans="1:11" x14ac:dyDescent="0.25">
      <c r="A1596" t="str">
        <f>"2022"</f>
        <v>2022</v>
      </c>
      <c r="B1596" t="str">
        <f t="shared" si="95"/>
        <v>1</v>
      </c>
      <c r="C1596" t="str">
        <f t="shared" si="96"/>
        <v>83</v>
      </c>
      <c r="D1596" t="str">
        <f>"22"</f>
        <v>22</v>
      </c>
      <c r="E1596" t="str">
        <f>"1-83-22"</f>
        <v>1-83-22</v>
      </c>
      <c r="F1596" t="s">
        <v>15</v>
      </c>
      <c r="G1596" t="s">
        <v>16</v>
      </c>
      <c r="H1596" t="s">
        <v>17</v>
      </c>
      <c r="I1596">
        <v>0</v>
      </c>
      <c r="J1596">
        <v>1</v>
      </c>
      <c r="K1596">
        <v>0</v>
      </c>
    </row>
    <row r="1597" spans="1:11" x14ac:dyDescent="0.25">
      <c r="A1597" t="str">
        <f>"2023"</f>
        <v>2023</v>
      </c>
      <c r="B1597" t="str">
        <f t="shared" si="95"/>
        <v>1</v>
      </c>
      <c r="C1597" t="str">
        <f t="shared" si="96"/>
        <v>83</v>
      </c>
      <c r="D1597" t="str">
        <f>"11"</f>
        <v>11</v>
      </c>
      <c r="E1597" t="str">
        <f>"1-83-11"</f>
        <v>1-83-11</v>
      </c>
      <c r="F1597" t="s">
        <v>15</v>
      </c>
      <c r="G1597" t="s">
        <v>18</v>
      </c>
      <c r="H1597" t="s">
        <v>19</v>
      </c>
      <c r="I1597">
        <v>1</v>
      </c>
      <c r="J1597">
        <v>0</v>
      </c>
      <c r="K1597">
        <v>0</v>
      </c>
    </row>
    <row r="1598" spans="1:11" x14ac:dyDescent="0.25">
      <c r="A1598" t="str">
        <f>"2024"</f>
        <v>2024</v>
      </c>
      <c r="B1598" t="str">
        <f t="shared" si="95"/>
        <v>1</v>
      </c>
      <c r="C1598" t="str">
        <f t="shared" si="96"/>
        <v>83</v>
      </c>
      <c r="D1598" t="str">
        <f>"4"</f>
        <v>4</v>
      </c>
      <c r="E1598" t="str">
        <f>"1-83-4"</f>
        <v>1-83-4</v>
      </c>
      <c r="F1598" t="s">
        <v>15</v>
      </c>
      <c r="G1598" t="s">
        <v>20</v>
      </c>
      <c r="H1598" t="s">
        <v>21</v>
      </c>
      <c r="I1598">
        <v>1</v>
      </c>
      <c r="J1598">
        <v>0</v>
      </c>
      <c r="K1598">
        <v>0</v>
      </c>
    </row>
    <row r="1599" spans="1:11" x14ac:dyDescent="0.25">
      <c r="A1599" t="str">
        <f>"2025"</f>
        <v>2025</v>
      </c>
      <c r="B1599" t="str">
        <f t="shared" si="95"/>
        <v>1</v>
      </c>
      <c r="C1599" t="str">
        <f t="shared" si="96"/>
        <v>83</v>
      </c>
      <c r="D1599" t="str">
        <f>"10"</f>
        <v>10</v>
      </c>
      <c r="E1599" t="str">
        <f>"1-83-10"</f>
        <v>1-83-10</v>
      </c>
      <c r="F1599" t="s">
        <v>15</v>
      </c>
      <c r="G1599" t="s">
        <v>18</v>
      </c>
      <c r="H1599" t="s">
        <v>19</v>
      </c>
      <c r="I1599">
        <v>1</v>
      </c>
      <c r="J1599">
        <v>0</v>
      </c>
      <c r="K1599">
        <v>0</v>
      </c>
    </row>
    <row r="1600" spans="1:11" x14ac:dyDescent="0.25">
      <c r="A1600" t="str">
        <f>"2026"</f>
        <v>2026</v>
      </c>
      <c r="B1600" t="str">
        <f t="shared" si="95"/>
        <v>1</v>
      </c>
      <c r="C1600" t="str">
        <f t="shared" si="96"/>
        <v>83</v>
      </c>
      <c r="D1600" t="str">
        <f>"6"</f>
        <v>6</v>
      </c>
      <c r="E1600" t="str">
        <f>"1-83-6"</f>
        <v>1-83-6</v>
      </c>
      <c r="F1600" t="s">
        <v>15</v>
      </c>
      <c r="G1600" t="s">
        <v>20</v>
      </c>
      <c r="H1600" t="s">
        <v>21</v>
      </c>
      <c r="I1600">
        <v>0</v>
      </c>
      <c r="J1600">
        <v>0</v>
      </c>
      <c r="K1600">
        <v>1</v>
      </c>
    </row>
    <row r="1601" spans="1:11" x14ac:dyDescent="0.25">
      <c r="A1601" t="str">
        <f>"2027"</f>
        <v>2027</v>
      </c>
      <c r="B1601" t="str">
        <f t="shared" si="95"/>
        <v>1</v>
      </c>
      <c r="C1601" t="str">
        <f t="shared" si="96"/>
        <v>83</v>
      </c>
      <c r="D1601" t="str">
        <f>"5"</f>
        <v>5</v>
      </c>
      <c r="E1601" t="str">
        <f>"1-83-5"</f>
        <v>1-83-5</v>
      </c>
      <c r="F1601" t="s">
        <v>15</v>
      </c>
      <c r="G1601" t="s">
        <v>20</v>
      </c>
      <c r="H1601" t="s">
        <v>21</v>
      </c>
      <c r="I1601">
        <v>1</v>
      </c>
      <c r="J1601">
        <v>0</v>
      </c>
      <c r="K1601">
        <v>0</v>
      </c>
    </row>
    <row r="1602" spans="1:11" x14ac:dyDescent="0.25">
      <c r="A1602" t="str">
        <f>"2028"</f>
        <v>2028</v>
      </c>
      <c r="B1602" t="str">
        <f t="shared" si="95"/>
        <v>1</v>
      </c>
      <c r="C1602" t="str">
        <f t="shared" si="96"/>
        <v>83</v>
      </c>
      <c r="D1602" t="str">
        <f>"8"</f>
        <v>8</v>
      </c>
      <c r="E1602" t="str">
        <f>"1-83-8"</f>
        <v>1-83-8</v>
      </c>
      <c r="F1602" t="s">
        <v>15</v>
      </c>
      <c r="G1602" t="s">
        <v>16</v>
      </c>
      <c r="H1602" t="s">
        <v>17</v>
      </c>
      <c r="I1602">
        <v>1</v>
      </c>
      <c r="J1602">
        <v>0</v>
      </c>
      <c r="K1602">
        <v>0</v>
      </c>
    </row>
    <row r="1603" spans="1:11" x14ac:dyDescent="0.25">
      <c r="A1603" t="str">
        <f>"2029"</f>
        <v>2029</v>
      </c>
      <c r="B1603" t="str">
        <f t="shared" si="95"/>
        <v>1</v>
      </c>
      <c r="C1603" t="str">
        <f t="shared" si="96"/>
        <v>83</v>
      </c>
      <c r="D1603" t="str">
        <f>"14"</f>
        <v>14</v>
      </c>
      <c r="E1603" t="str">
        <f>"1-83-14"</f>
        <v>1-83-14</v>
      </c>
      <c r="F1603" t="s">
        <v>15</v>
      </c>
      <c r="G1603" t="s">
        <v>16</v>
      </c>
      <c r="H1603" t="s">
        <v>17</v>
      </c>
      <c r="I1603">
        <v>0</v>
      </c>
      <c r="J1603">
        <v>0</v>
      </c>
      <c r="K1603">
        <v>1</v>
      </c>
    </row>
    <row r="1604" spans="1:11" x14ac:dyDescent="0.25">
      <c r="A1604" t="str">
        <f>"2030"</f>
        <v>2030</v>
      </c>
      <c r="B1604" t="str">
        <f t="shared" si="95"/>
        <v>1</v>
      </c>
      <c r="C1604" t="str">
        <f t="shared" si="96"/>
        <v>83</v>
      </c>
      <c r="D1604" t="str">
        <f>"7"</f>
        <v>7</v>
      </c>
      <c r="E1604" t="str">
        <f>"1-83-7"</f>
        <v>1-83-7</v>
      </c>
      <c r="F1604" t="s">
        <v>15</v>
      </c>
      <c r="G1604" t="s">
        <v>20</v>
      </c>
      <c r="H1604" t="s">
        <v>21</v>
      </c>
      <c r="I1604">
        <v>1</v>
      </c>
      <c r="J1604">
        <v>0</v>
      </c>
      <c r="K1604">
        <v>0</v>
      </c>
    </row>
    <row r="1605" spans="1:11" x14ac:dyDescent="0.25">
      <c r="A1605" t="str">
        <f>"2031"</f>
        <v>2031</v>
      </c>
      <c r="B1605" t="str">
        <f t="shared" si="95"/>
        <v>1</v>
      </c>
      <c r="C1605" t="str">
        <f t="shared" si="96"/>
        <v>83</v>
      </c>
      <c r="D1605" t="str">
        <f>"13"</f>
        <v>13</v>
      </c>
      <c r="E1605" t="str">
        <f>"1-83-13"</f>
        <v>1-83-13</v>
      </c>
      <c r="F1605" t="s">
        <v>15</v>
      </c>
      <c r="G1605" t="s">
        <v>16</v>
      </c>
      <c r="H1605" t="s">
        <v>17</v>
      </c>
      <c r="I1605">
        <v>0</v>
      </c>
      <c r="J1605">
        <v>1</v>
      </c>
      <c r="K1605">
        <v>0</v>
      </c>
    </row>
    <row r="1606" spans="1:11" x14ac:dyDescent="0.25">
      <c r="A1606" t="str">
        <f>"2032"</f>
        <v>2032</v>
      </c>
      <c r="B1606" t="str">
        <f t="shared" si="95"/>
        <v>1</v>
      </c>
      <c r="C1606" t="str">
        <f t="shared" si="96"/>
        <v>83</v>
      </c>
      <c r="D1606" t="str">
        <f>"9"</f>
        <v>9</v>
      </c>
      <c r="E1606" t="str">
        <f>"1-83-9"</f>
        <v>1-83-9</v>
      </c>
      <c r="F1606" t="s">
        <v>15</v>
      </c>
      <c r="G1606" t="s">
        <v>16</v>
      </c>
      <c r="H1606" t="s">
        <v>17</v>
      </c>
      <c r="I1606">
        <v>0</v>
      </c>
      <c r="J1606">
        <v>1</v>
      </c>
      <c r="K1606">
        <v>0</v>
      </c>
    </row>
    <row r="1607" spans="1:11" x14ac:dyDescent="0.25">
      <c r="A1607" t="str">
        <f>"2033"</f>
        <v>2033</v>
      </c>
      <c r="B1607" t="str">
        <f t="shared" si="95"/>
        <v>1</v>
      </c>
      <c r="C1607" t="str">
        <f t="shared" si="96"/>
        <v>83</v>
      </c>
      <c r="D1607" t="str">
        <f>"12"</f>
        <v>12</v>
      </c>
      <c r="E1607" t="str">
        <f>"1-83-12"</f>
        <v>1-83-12</v>
      </c>
      <c r="F1607" t="s">
        <v>15</v>
      </c>
      <c r="G1607" t="s">
        <v>16</v>
      </c>
      <c r="H1607" t="s">
        <v>17</v>
      </c>
      <c r="I1607">
        <v>0</v>
      </c>
      <c r="J1607">
        <v>0</v>
      </c>
      <c r="K1607">
        <v>0</v>
      </c>
    </row>
    <row r="1608" spans="1:11" x14ac:dyDescent="0.25">
      <c r="A1608" t="str">
        <f>"2054"</f>
        <v>2054</v>
      </c>
      <c r="B1608" t="str">
        <f t="shared" si="95"/>
        <v>1</v>
      </c>
      <c r="C1608" t="str">
        <f t="shared" ref="C1608:C1632" si="97">"85"</f>
        <v>85</v>
      </c>
      <c r="D1608" t="str">
        <f>"16"</f>
        <v>16</v>
      </c>
      <c r="E1608" t="str">
        <f>"1-85-16"</f>
        <v>1-85-16</v>
      </c>
      <c r="F1608" t="s">
        <v>15</v>
      </c>
      <c r="G1608" t="s">
        <v>16</v>
      </c>
      <c r="H1608" t="s">
        <v>17</v>
      </c>
      <c r="I1608">
        <v>0</v>
      </c>
      <c r="J1608">
        <v>1</v>
      </c>
      <c r="K1608">
        <v>0</v>
      </c>
    </row>
    <row r="1609" spans="1:11" x14ac:dyDescent="0.25">
      <c r="A1609" t="str">
        <f>"2055"</f>
        <v>2055</v>
      </c>
      <c r="B1609" t="str">
        <f t="shared" si="95"/>
        <v>1</v>
      </c>
      <c r="C1609" t="str">
        <f t="shared" si="97"/>
        <v>85</v>
      </c>
      <c r="D1609" t="str">
        <f>"3"</f>
        <v>3</v>
      </c>
      <c r="E1609" t="str">
        <f>"1-85-3"</f>
        <v>1-85-3</v>
      </c>
      <c r="F1609" t="s">
        <v>15</v>
      </c>
      <c r="G1609" t="s">
        <v>18</v>
      </c>
      <c r="H1609" t="s">
        <v>19</v>
      </c>
      <c r="I1609">
        <v>0</v>
      </c>
      <c r="J1609">
        <v>1</v>
      </c>
      <c r="K1609">
        <v>0</v>
      </c>
    </row>
    <row r="1610" spans="1:11" x14ac:dyDescent="0.25">
      <c r="A1610" t="str">
        <f>"2056"</f>
        <v>2056</v>
      </c>
      <c r="B1610" t="str">
        <f t="shared" si="95"/>
        <v>1</v>
      </c>
      <c r="C1610" t="str">
        <f t="shared" si="97"/>
        <v>85</v>
      </c>
      <c r="D1610" t="str">
        <f>"17"</f>
        <v>17</v>
      </c>
      <c r="E1610" t="str">
        <f>"1-85-17"</f>
        <v>1-85-17</v>
      </c>
      <c r="F1610" t="s">
        <v>15</v>
      </c>
      <c r="G1610" t="s">
        <v>16</v>
      </c>
      <c r="H1610" t="s">
        <v>17</v>
      </c>
      <c r="I1610">
        <v>0</v>
      </c>
      <c r="J1610">
        <v>1</v>
      </c>
      <c r="K1610">
        <v>0</v>
      </c>
    </row>
    <row r="1611" spans="1:11" x14ac:dyDescent="0.25">
      <c r="A1611" t="str">
        <f>"2057"</f>
        <v>2057</v>
      </c>
      <c r="B1611" t="str">
        <f t="shared" si="95"/>
        <v>1</v>
      </c>
      <c r="C1611" t="str">
        <f t="shared" si="97"/>
        <v>85</v>
      </c>
      <c r="D1611" t="str">
        <f>"14"</f>
        <v>14</v>
      </c>
      <c r="E1611" t="str">
        <f>"1-85-14"</f>
        <v>1-85-14</v>
      </c>
      <c r="F1611" t="s">
        <v>15</v>
      </c>
      <c r="G1611" t="s">
        <v>16</v>
      </c>
      <c r="H1611" t="s">
        <v>17</v>
      </c>
      <c r="I1611">
        <v>1</v>
      </c>
      <c r="J1611">
        <v>0</v>
      </c>
      <c r="K1611">
        <v>0</v>
      </c>
    </row>
    <row r="1612" spans="1:11" x14ac:dyDescent="0.25">
      <c r="A1612" t="str">
        <f>"2058"</f>
        <v>2058</v>
      </c>
      <c r="B1612" t="str">
        <f t="shared" si="95"/>
        <v>1</v>
      </c>
      <c r="C1612" t="str">
        <f t="shared" si="97"/>
        <v>85</v>
      </c>
      <c r="D1612" t="str">
        <f>"18"</f>
        <v>18</v>
      </c>
      <c r="E1612" t="str">
        <f>"1-85-18"</f>
        <v>1-85-18</v>
      </c>
      <c r="F1612" t="s">
        <v>15</v>
      </c>
      <c r="G1612" t="s">
        <v>16</v>
      </c>
      <c r="H1612" t="s">
        <v>17</v>
      </c>
      <c r="I1612">
        <v>0</v>
      </c>
      <c r="J1612">
        <v>0</v>
      </c>
      <c r="K1612">
        <v>1</v>
      </c>
    </row>
    <row r="1613" spans="1:11" x14ac:dyDescent="0.25">
      <c r="A1613" t="str">
        <f>"2059"</f>
        <v>2059</v>
      </c>
      <c r="B1613" t="str">
        <f t="shared" si="95"/>
        <v>1</v>
      </c>
      <c r="C1613" t="str">
        <f t="shared" si="97"/>
        <v>85</v>
      </c>
      <c r="D1613" t="str">
        <f>"2"</f>
        <v>2</v>
      </c>
      <c r="E1613" t="str">
        <f>"1-85-2"</f>
        <v>1-85-2</v>
      </c>
      <c r="F1613" t="s">
        <v>15</v>
      </c>
      <c r="G1613" t="s">
        <v>18</v>
      </c>
      <c r="H1613" t="s">
        <v>19</v>
      </c>
      <c r="I1613">
        <v>0</v>
      </c>
      <c r="J1613">
        <v>1</v>
      </c>
      <c r="K1613">
        <v>0</v>
      </c>
    </row>
    <row r="1614" spans="1:11" x14ac:dyDescent="0.25">
      <c r="A1614" t="str">
        <f>"2060"</f>
        <v>2060</v>
      </c>
      <c r="B1614" t="str">
        <f t="shared" si="95"/>
        <v>1</v>
      </c>
      <c r="C1614" t="str">
        <f t="shared" si="97"/>
        <v>85</v>
      </c>
      <c r="D1614" t="str">
        <f>"4"</f>
        <v>4</v>
      </c>
      <c r="E1614" t="str">
        <f>"1-85-4"</f>
        <v>1-85-4</v>
      </c>
      <c r="F1614" t="s">
        <v>15</v>
      </c>
      <c r="G1614" t="s">
        <v>16</v>
      </c>
      <c r="H1614" t="s">
        <v>17</v>
      </c>
      <c r="I1614">
        <v>0</v>
      </c>
      <c r="J1614">
        <v>1</v>
      </c>
      <c r="K1614">
        <v>0</v>
      </c>
    </row>
    <row r="1615" spans="1:11" x14ac:dyDescent="0.25">
      <c r="A1615" t="str">
        <f>"2061"</f>
        <v>2061</v>
      </c>
      <c r="B1615" t="str">
        <f t="shared" si="95"/>
        <v>1</v>
      </c>
      <c r="C1615" t="str">
        <f t="shared" si="97"/>
        <v>85</v>
      </c>
      <c r="D1615" t="str">
        <f>"5"</f>
        <v>5</v>
      </c>
      <c r="E1615" t="str">
        <f>"1-85-5"</f>
        <v>1-85-5</v>
      </c>
      <c r="F1615" t="s">
        <v>15</v>
      </c>
      <c r="G1615" t="s">
        <v>16</v>
      </c>
      <c r="H1615" t="s">
        <v>17</v>
      </c>
      <c r="I1615">
        <v>0</v>
      </c>
      <c r="J1615">
        <v>1</v>
      </c>
      <c r="K1615">
        <v>0</v>
      </c>
    </row>
    <row r="1616" spans="1:11" x14ac:dyDescent="0.25">
      <c r="A1616" t="str">
        <f>"2062"</f>
        <v>2062</v>
      </c>
      <c r="B1616" t="str">
        <f t="shared" si="95"/>
        <v>1</v>
      </c>
      <c r="C1616" t="str">
        <f t="shared" si="97"/>
        <v>85</v>
      </c>
      <c r="D1616" t="str">
        <f>"21"</f>
        <v>21</v>
      </c>
      <c r="E1616" t="str">
        <f>"1-85-21"</f>
        <v>1-85-21</v>
      </c>
      <c r="F1616" t="s">
        <v>15</v>
      </c>
      <c r="G1616" t="s">
        <v>16</v>
      </c>
      <c r="H1616" t="s">
        <v>17</v>
      </c>
      <c r="I1616">
        <v>0</v>
      </c>
      <c r="J1616">
        <v>1</v>
      </c>
      <c r="K1616">
        <v>0</v>
      </c>
    </row>
    <row r="1617" spans="1:11" x14ac:dyDescent="0.25">
      <c r="A1617" t="str">
        <f>"2063"</f>
        <v>2063</v>
      </c>
      <c r="B1617" t="str">
        <f t="shared" si="95"/>
        <v>1</v>
      </c>
      <c r="C1617" t="str">
        <f t="shared" si="97"/>
        <v>85</v>
      </c>
      <c r="D1617" t="str">
        <f>"1"</f>
        <v>1</v>
      </c>
      <c r="E1617" t="str">
        <f>"1-85-1"</f>
        <v>1-85-1</v>
      </c>
      <c r="F1617" t="s">
        <v>15</v>
      </c>
      <c r="G1617" t="s">
        <v>18</v>
      </c>
      <c r="H1617" t="s">
        <v>19</v>
      </c>
      <c r="I1617">
        <v>1</v>
      </c>
      <c r="J1617">
        <v>0</v>
      </c>
      <c r="K1617">
        <v>0</v>
      </c>
    </row>
    <row r="1618" spans="1:11" x14ac:dyDescent="0.25">
      <c r="A1618" t="str">
        <f>"2064"</f>
        <v>2064</v>
      </c>
      <c r="B1618" t="str">
        <f t="shared" si="95"/>
        <v>1</v>
      </c>
      <c r="C1618" t="str">
        <f t="shared" si="97"/>
        <v>85</v>
      </c>
      <c r="D1618" t="str">
        <f>"22"</f>
        <v>22</v>
      </c>
      <c r="E1618" t="str">
        <f>"1-85-22"</f>
        <v>1-85-22</v>
      </c>
      <c r="F1618" t="s">
        <v>15</v>
      </c>
      <c r="G1618" t="s">
        <v>16</v>
      </c>
      <c r="H1618" t="s">
        <v>17</v>
      </c>
      <c r="I1618">
        <v>0</v>
      </c>
      <c r="J1618">
        <v>1</v>
      </c>
      <c r="K1618">
        <v>0</v>
      </c>
    </row>
    <row r="1619" spans="1:11" x14ac:dyDescent="0.25">
      <c r="A1619" t="str">
        <f>"2065"</f>
        <v>2065</v>
      </c>
      <c r="B1619" t="str">
        <f t="shared" si="95"/>
        <v>1</v>
      </c>
      <c r="C1619" t="str">
        <f t="shared" si="97"/>
        <v>85</v>
      </c>
      <c r="D1619" t="str">
        <f>"10"</f>
        <v>10</v>
      </c>
      <c r="E1619" t="str">
        <f>"1-85-10"</f>
        <v>1-85-10</v>
      </c>
      <c r="F1619" t="s">
        <v>15</v>
      </c>
      <c r="G1619" t="s">
        <v>16</v>
      </c>
      <c r="H1619" t="s">
        <v>17</v>
      </c>
      <c r="I1619">
        <v>0</v>
      </c>
      <c r="J1619">
        <v>1</v>
      </c>
      <c r="K1619">
        <v>0</v>
      </c>
    </row>
    <row r="1620" spans="1:11" x14ac:dyDescent="0.25">
      <c r="A1620" t="str">
        <f>"2066"</f>
        <v>2066</v>
      </c>
      <c r="B1620" t="str">
        <f t="shared" si="95"/>
        <v>1</v>
      </c>
      <c r="C1620" t="str">
        <f t="shared" si="97"/>
        <v>85</v>
      </c>
      <c r="D1620" t="str">
        <f>"23"</f>
        <v>23</v>
      </c>
      <c r="E1620" t="str">
        <f>"1-85-23"</f>
        <v>1-85-23</v>
      </c>
      <c r="F1620" t="s">
        <v>15</v>
      </c>
      <c r="G1620" t="s">
        <v>16</v>
      </c>
      <c r="H1620" t="s">
        <v>17</v>
      </c>
      <c r="I1620">
        <v>0</v>
      </c>
      <c r="J1620">
        <v>1</v>
      </c>
      <c r="K1620">
        <v>0</v>
      </c>
    </row>
    <row r="1621" spans="1:11" x14ac:dyDescent="0.25">
      <c r="A1621" t="str">
        <f>"2067"</f>
        <v>2067</v>
      </c>
      <c r="B1621" t="str">
        <f t="shared" si="95"/>
        <v>1</v>
      </c>
      <c r="C1621" t="str">
        <f t="shared" si="97"/>
        <v>85</v>
      </c>
      <c r="D1621" t="str">
        <f>"9"</f>
        <v>9</v>
      </c>
      <c r="E1621" t="str">
        <f>"1-85-9"</f>
        <v>1-85-9</v>
      </c>
      <c r="F1621" t="s">
        <v>15</v>
      </c>
      <c r="G1621" t="s">
        <v>18</v>
      </c>
      <c r="H1621" t="s">
        <v>19</v>
      </c>
      <c r="I1621">
        <v>0</v>
      </c>
      <c r="J1621">
        <v>0</v>
      </c>
      <c r="K1621">
        <v>1</v>
      </c>
    </row>
    <row r="1622" spans="1:11" x14ac:dyDescent="0.25">
      <c r="A1622" t="str">
        <f>"2068"</f>
        <v>2068</v>
      </c>
      <c r="B1622" t="str">
        <f t="shared" si="95"/>
        <v>1</v>
      </c>
      <c r="C1622" t="str">
        <f t="shared" si="97"/>
        <v>85</v>
      </c>
      <c r="D1622" t="str">
        <f>"24"</f>
        <v>24</v>
      </c>
      <c r="E1622" t="str">
        <f>"1-85-24"</f>
        <v>1-85-24</v>
      </c>
      <c r="F1622" t="s">
        <v>15</v>
      </c>
      <c r="G1622" t="s">
        <v>16</v>
      </c>
      <c r="H1622" t="s">
        <v>17</v>
      </c>
      <c r="I1622">
        <v>0</v>
      </c>
      <c r="J1622">
        <v>0</v>
      </c>
      <c r="K1622">
        <v>1</v>
      </c>
    </row>
    <row r="1623" spans="1:11" x14ac:dyDescent="0.25">
      <c r="A1623" t="str">
        <f>"2069"</f>
        <v>2069</v>
      </c>
      <c r="B1623" t="str">
        <f t="shared" si="95"/>
        <v>1</v>
      </c>
      <c r="C1623" t="str">
        <f t="shared" si="97"/>
        <v>85</v>
      </c>
      <c r="D1623" t="str">
        <f>"7"</f>
        <v>7</v>
      </c>
      <c r="E1623" t="str">
        <f>"1-85-7"</f>
        <v>1-85-7</v>
      </c>
      <c r="F1623" t="s">
        <v>15</v>
      </c>
      <c r="G1623" t="s">
        <v>16</v>
      </c>
      <c r="H1623" t="s">
        <v>17</v>
      </c>
      <c r="I1623">
        <v>1</v>
      </c>
      <c r="J1623">
        <v>0</v>
      </c>
      <c r="K1623">
        <v>0</v>
      </c>
    </row>
    <row r="1624" spans="1:11" x14ac:dyDescent="0.25">
      <c r="A1624" t="str">
        <f>"2070"</f>
        <v>2070</v>
      </c>
      <c r="B1624" t="str">
        <f t="shared" si="95"/>
        <v>1</v>
      </c>
      <c r="C1624" t="str">
        <f t="shared" si="97"/>
        <v>85</v>
      </c>
      <c r="D1624" t="str">
        <f>"25"</f>
        <v>25</v>
      </c>
      <c r="E1624" t="str">
        <f>"1-85-25"</f>
        <v>1-85-25</v>
      </c>
      <c r="F1624" t="s">
        <v>15</v>
      </c>
      <c r="G1624" t="s">
        <v>20</v>
      </c>
      <c r="H1624" t="s">
        <v>21</v>
      </c>
      <c r="I1624">
        <v>0</v>
      </c>
      <c r="J1624">
        <v>1</v>
      </c>
      <c r="K1624">
        <v>0</v>
      </c>
    </row>
    <row r="1625" spans="1:11" x14ac:dyDescent="0.25">
      <c r="A1625" t="str">
        <f>"2071"</f>
        <v>2071</v>
      </c>
      <c r="B1625" t="str">
        <f t="shared" si="95"/>
        <v>1</v>
      </c>
      <c r="C1625" t="str">
        <f t="shared" si="97"/>
        <v>85</v>
      </c>
      <c r="D1625" t="str">
        <f>"6"</f>
        <v>6</v>
      </c>
      <c r="E1625" t="str">
        <f>"1-85-6"</f>
        <v>1-85-6</v>
      </c>
      <c r="F1625" t="s">
        <v>15</v>
      </c>
      <c r="G1625" t="s">
        <v>16</v>
      </c>
      <c r="H1625" t="s">
        <v>17</v>
      </c>
      <c r="I1625">
        <v>0</v>
      </c>
      <c r="J1625">
        <v>0</v>
      </c>
      <c r="K1625">
        <v>1</v>
      </c>
    </row>
    <row r="1626" spans="1:11" x14ac:dyDescent="0.25">
      <c r="A1626" t="str">
        <f>"2072"</f>
        <v>2072</v>
      </c>
      <c r="B1626" t="str">
        <f t="shared" si="95"/>
        <v>1</v>
      </c>
      <c r="C1626" t="str">
        <f t="shared" si="97"/>
        <v>85</v>
      </c>
      <c r="D1626" t="str">
        <f>"13"</f>
        <v>13</v>
      </c>
      <c r="E1626" t="str">
        <f>"1-85-13"</f>
        <v>1-85-13</v>
      </c>
      <c r="F1626" t="s">
        <v>15</v>
      </c>
      <c r="G1626" t="s">
        <v>16</v>
      </c>
      <c r="H1626" t="s">
        <v>17</v>
      </c>
      <c r="I1626">
        <v>0</v>
      </c>
      <c r="J1626">
        <v>0</v>
      </c>
      <c r="K1626">
        <v>1</v>
      </c>
    </row>
    <row r="1627" spans="1:11" x14ac:dyDescent="0.25">
      <c r="A1627" t="str">
        <f>"2073"</f>
        <v>2073</v>
      </c>
      <c r="B1627" t="str">
        <f t="shared" si="95"/>
        <v>1</v>
      </c>
      <c r="C1627" t="str">
        <f t="shared" si="97"/>
        <v>85</v>
      </c>
      <c r="D1627" t="str">
        <f>"11"</f>
        <v>11</v>
      </c>
      <c r="E1627" t="str">
        <f>"1-85-11"</f>
        <v>1-85-11</v>
      </c>
      <c r="F1627" t="s">
        <v>15</v>
      </c>
      <c r="G1627" t="s">
        <v>18</v>
      </c>
      <c r="H1627" t="s">
        <v>19</v>
      </c>
      <c r="I1627">
        <v>1</v>
      </c>
      <c r="J1627">
        <v>0</v>
      </c>
      <c r="K1627">
        <v>0</v>
      </c>
    </row>
    <row r="1628" spans="1:11" x14ac:dyDescent="0.25">
      <c r="A1628" t="str">
        <f>"2074"</f>
        <v>2074</v>
      </c>
      <c r="B1628" t="str">
        <f t="shared" ref="B1628:B1637" si="98">"1"</f>
        <v>1</v>
      </c>
      <c r="C1628" t="str">
        <f t="shared" si="97"/>
        <v>85</v>
      </c>
      <c r="D1628" t="str">
        <f>"8"</f>
        <v>8</v>
      </c>
      <c r="E1628" t="str">
        <f>"1-85-8"</f>
        <v>1-85-8</v>
      </c>
      <c r="F1628" t="s">
        <v>15</v>
      </c>
      <c r="G1628" t="s">
        <v>16</v>
      </c>
      <c r="H1628" t="s">
        <v>17</v>
      </c>
      <c r="I1628">
        <v>1</v>
      </c>
      <c r="J1628">
        <v>0</v>
      </c>
      <c r="K1628">
        <v>0</v>
      </c>
    </row>
    <row r="1629" spans="1:11" x14ac:dyDescent="0.25">
      <c r="A1629" t="str">
        <f>"2075"</f>
        <v>2075</v>
      </c>
      <c r="B1629" t="str">
        <f t="shared" si="98"/>
        <v>1</v>
      </c>
      <c r="C1629" t="str">
        <f t="shared" si="97"/>
        <v>85</v>
      </c>
      <c r="D1629" t="str">
        <f>"12"</f>
        <v>12</v>
      </c>
      <c r="E1629" t="str">
        <f>"1-85-12"</f>
        <v>1-85-12</v>
      </c>
      <c r="F1629" t="s">
        <v>15</v>
      </c>
      <c r="G1629" t="s">
        <v>18</v>
      </c>
      <c r="H1629" t="s">
        <v>19</v>
      </c>
      <c r="I1629">
        <v>1</v>
      </c>
      <c r="J1629">
        <v>0</v>
      </c>
      <c r="K1629">
        <v>0</v>
      </c>
    </row>
    <row r="1630" spans="1:11" x14ac:dyDescent="0.25">
      <c r="A1630" t="str">
        <f>"2076"</f>
        <v>2076</v>
      </c>
      <c r="B1630" t="str">
        <f t="shared" si="98"/>
        <v>1</v>
      </c>
      <c r="C1630" t="str">
        <f t="shared" si="97"/>
        <v>85</v>
      </c>
      <c r="D1630" t="str">
        <f>"15"</f>
        <v>15</v>
      </c>
      <c r="E1630" t="str">
        <f>"1-85-15"</f>
        <v>1-85-15</v>
      </c>
      <c r="F1630" t="s">
        <v>15</v>
      </c>
      <c r="G1630" t="s">
        <v>16</v>
      </c>
      <c r="H1630" t="s">
        <v>17</v>
      </c>
      <c r="I1630">
        <v>0</v>
      </c>
      <c r="J1630">
        <v>0</v>
      </c>
      <c r="K1630">
        <v>0</v>
      </c>
    </row>
    <row r="1631" spans="1:11" x14ac:dyDescent="0.25">
      <c r="A1631" t="str">
        <f>"2077"</f>
        <v>2077</v>
      </c>
      <c r="B1631" t="str">
        <f t="shared" si="98"/>
        <v>1</v>
      </c>
      <c r="C1631" t="str">
        <f t="shared" si="97"/>
        <v>85</v>
      </c>
      <c r="D1631" t="str">
        <f>"19"</f>
        <v>19</v>
      </c>
      <c r="E1631" t="str">
        <f>"1-85-19"</f>
        <v>1-85-19</v>
      </c>
      <c r="F1631" t="s">
        <v>15</v>
      </c>
      <c r="G1631" t="s">
        <v>16</v>
      </c>
      <c r="H1631" t="s">
        <v>17</v>
      </c>
      <c r="I1631">
        <v>0</v>
      </c>
      <c r="J1631">
        <v>0</v>
      </c>
      <c r="K1631">
        <v>0</v>
      </c>
    </row>
    <row r="1632" spans="1:11" x14ac:dyDescent="0.25">
      <c r="A1632" t="str">
        <f>"2078"</f>
        <v>2078</v>
      </c>
      <c r="B1632" t="str">
        <f t="shared" si="98"/>
        <v>1</v>
      </c>
      <c r="C1632" t="str">
        <f t="shared" si="97"/>
        <v>85</v>
      </c>
      <c r="D1632" t="str">
        <f>"20"</f>
        <v>20</v>
      </c>
      <c r="E1632" t="str">
        <f>"1-85-20"</f>
        <v>1-85-20</v>
      </c>
      <c r="F1632" t="s">
        <v>15</v>
      </c>
      <c r="G1632" t="s">
        <v>16</v>
      </c>
      <c r="H1632" t="s">
        <v>17</v>
      </c>
      <c r="I1632">
        <v>0</v>
      </c>
      <c r="J1632">
        <v>0</v>
      </c>
      <c r="K1632">
        <v>0</v>
      </c>
    </row>
    <row r="1633" spans="1:11" x14ac:dyDescent="0.25">
      <c r="A1633" t="str">
        <f>"2130"</f>
        <v>2130</v>
      </c>
      <c r="B1633" t="str">
        <f t="shared" si="98"/>
        <v>1</v>
      </c>
      <c r="C1633" t="str">
        <f t="shared" ref="C1633:C1646" si="99">"88"</f>
        <v>88</v>
      </c>
      <c r="D1633" t="str">
        <f>"17"</f>
        <v>17</v>
      </c>
      <c r="E1633" t="str">
        <f>"1-88-17"</f>
        <v>1-88-17</v>
      </c>
      <c r="F1633" t="s">
        <v>15</v>
      </c>
      <c r="G1633" t="s">
        <v>20</v>
      </c>
      <c r="H1633" t="s">
        <v>21</v>
      </c>
      <c r="I1633">
        <v>0</v>
      </c>
      <c r="J1633">
        <v>0</v>
      </c>
      <c r="K1633">
        <v>1</v>
      </c>
    </row>
    <row r="1634" spans="1:11" x14ac:dyDescent="0.25">
      <c r="A1634" t="str">
        <f>"2131"</f>
        <v>2131</v>
      </c>
      <c r="B1634" t="str">
        <f t="shared" si="98"/>
        <v>1</v>
      </c>
      <c r="C1634" t="str">
        <f t="shared" si="99"/>
        <v>88</v>
      </c>
      <c r="D1634" t="str">
        <f>"15"</f>
        <v>15</v>
      </c>
      <c r="E1634" t="str">
        <f>"1-88-15"</f>
        <v>1-88-15</v>
      </c>
      <c r="F1634" t="s">
        <v>15</v>
      </c>
      <c r="G1634" t="s">
        <v>20</v>
      </c>
      <c r="H1634" t="s">
        <v>21</v>
      </c>
      <c r="I1634">
        <v>0</v>
      </c>
      <c r="J1634">
        <v>1</v>
      </c>
      <c r="K1634">
        <v>0</v>
      </c>
    </row>
    <row r="1635" spans="1:11" x14ac:dyDescent="0.25">
      <c r="A1635" t="str">
        <f>"2133"</f>
        <v>2133</v>
      </c>
      <c r="B1635" t="str">
        <f t="shared" si="98"/>
        <v>1</v>
      </c>
      <c r="C1635" t="str">
        <f t="shared" si="99"/>
        <v>88</v>
      </c>
      <c r="D1635" t="str">
        <f>"16"</f>
        <v>16</v>
      </c>
      <c r="E1635" t="str">
        <f>"1-88-16"</f>
        <v>1-88-16</v>
      </c>
      <c r="F1635" t="s">
        <v>15</v>
      </c>
      <c r="G1635" t="s">
        <v>20</v>
      </c>
      <c r="H1635" t="s">
        <v>21</v>
      </c>
      <c r="I1635">
        <v>1</v>
      </c>
      <c r="J1635">
        <v>0</v>
      </c>
      <c r="K1635">
        <v>0</v>
      </c>
    </row>
    <row r="1636" spans="1:11" x14ac:dyDescent="0.25">
      <c r="A1636" t="str">
        <f>"2135"</f>
        <v>2135</v>
      </c>
      <c r="B1636" t="str">
        <f t="shared" si="98"/>
        <v>1</v>
      </c>
      <c r="C1636" t="str">
        <f t="shared" si="99"/>
        <v>88</v>
      </c>
      <c r="D1636" t="str">
        <f>"18"</f>
        <v>18</v>
      </c>
      <c r="E1636" t="str">
        <f>"1-88-18"</f>
        <v>1-88-18</v>
      </c>
      <c r="F1636" t="s">
        <v>15</v>
      </c>
      <c r="G1636" t="s">
        <v>20</v>
      </c>
      <c r="H1636" t="s">
        <v>21</v>
      </c>
      <c r="I1636">
        <v>0</v>
      </c>
      <c r="J1636">
        <v>0</v>
      </c>
      <c r="K1636">
        <v>1</v>
      </c>
    </row>
    <row r="1637" spans="1:11" x14ac:dyDescent="0.25">
      <c r="A1637" t="str">
        <f>"2137"</f>
        <v>2137</v>
      </c>
      <c r="B1637" t="str">
        <f t="shared" si="98"/>
        <v>1</v>
      </c>
      <c r="C1637" t="str">
        <f t="shared" si="99"/>
        <v>88</v>
      </c>
      <c r="D1637" t="str">
        <f>"19"</f>
        <v>19</v>
      </c>
      <c r="E1637" t="str">
        <f>"1-88-19"</f>
        <v>1-88-19</v>
      </c>
      <c r="F1637" t="s">
        <v>15</v>
      </c>
      <c r="G1637" t="s">
        <v>20</v>
      </c>
      <c r="H1637" t="s">
        <v>21</v>
      </c>
      <c r="I1637">
        <v>0</v>
      </c>
      <c r="J1637">
        <v>0</v>
      </c>
      <c r="K1637">
        <v>1</v>
      </c>
    </row>
    <row r="1638" spans="1:11" x14ac:dyDescent="0.25">
      <c r="A1638" t="str">
        <f>"2139"</f>
        <v>2139</v>
      </c>
      <c r="B1638" t="str">
        <f t="shared" ref="B1638:B1690" si="100">"1"</f>
        <v>1</v>
      </c>
      <c r="C1638" t="str">
        <f t="shared" si="99"/>
        <v>88</v>
      </c>
      <c r="D1638" t="str">
        <f>"20"</f>
        <v>20</v>
      </c>
      <c r="E1638" t="str">
        <f>"1-88-20"</f>
        <v>1-88-20</v>
      </c>
      <c r="F1638" t="s">
        <v>15</v>
      </c>
      <c r="G1638" t="s">
        <v>20</v>
      </c>
      <c r="H1638" t="s">
        <v>21</v>
      </c>
      <c r="I1638">
        <v>0</v>
      </c>
      <c r="J1638">
        <v>1</v>
      </c>
      <c r="K1638">
        <v>0</v>
      </c>
    </row>
    <row r="1639" spans="1:11" x14ac:dyDescent="0.25">
      <c r="A1639" t="str">
        <f>"2141"</f>
        <v>2141</v>
      </c>
      <c r="B1639" t="str">
        <f t="shared" si="100"/>
        <v>1</v>
      </c>
      <c r="C1639" t="str">
        <f t="shared" si="99"/>
        <v>88</v>
      </c>
      <c r="D1639" t="str">
        <f>"21"</f>
        <v>21</v>
      </c>
      <c r="E1639" t="str">
        <f>"1-88-21"</f>
        <v>1-88-21</v>
      </c>
      <c r="F1639" t="s">
        <v>15</v>
      </c>
      <c r="G1639" t="s">
        <v>20</v>
      </c>
      <c r="H1639" t="s">
        <v>21</v>
      </c>
      <c r="I1639">
        <v>0</v>
      </c>
      <c r="J1639">
        <v>1</v>
      </c>
      <c r="K1639">
        <v>0</v>
      </c>
    </row>
    <row r="1640" spans="1:11" x14ac:dyDescent="0.25">
      <c r="A1640" t="str">
        <f>"2143"</f>
        <v>2143</v>
      </c>
      <c r="B1640" t="str">
        <f t="shared" si="100"/>
        <v>1</v>
      </c>
      <c r="C1640" t="str">
        <f t="shared" si="99"/>
        <v>88</v>
      </c>
      <c r="D1640" t="str">
        <f>"22"</f>
        <v>22</v>
      </c>
      <c r="E1640" t="str">
        <f>"1-88-22"</f>
        <v>1-88-22</v>
      </c>
      <c r="F1640" t="s">
        <v>15</v>
      </c>
      <c r="G1640" t="s">
        <v>20</v>
      </c>
      <c r="H1640" t="s">
        <v>21</v>
      </c>
      <c r="I1640">
        <v>0</v>
      </c>
      <c r="J1640">
        <v>1</v>
      </c>
      <c r="K1640">
        <v>0</v>
      </c>
    </row>
    <row r="1641" spans="1:11" x14ac:dyDescent="0.25">
      <c r="A1641" t="str">
        <f>"2145"</f>
        <v>2145</v>
      </c>
      <c r="B1641" t="str">
        <f t="shared" si="100"/>
        <v>1</v>
      </c>
      <c r="C1641" t="str">
        <f t="shared" si="99"/>
        <v>88</v>
      </c>
      <c r="D1641" t="str">
        <f>"23"</f>
        <v>23</v>
      </c>
      <c r="E1641" t="str">
        <f>"1-88-23"</f>
        <v>1-88-23</v>
      </c>
      <c r="F1641" t="s">
        <v>15</v>
      </c>
      <c r="G1641" t="s">
        <v>20</v>
      </c>
      <c r="H1641" t="s">
        <v>21</v>
      </c>
      <c r="I1641">
        <v>1</v>
      </c>
      <c r="J1641">
        <v>0</v>
      </c>
      <c r="K1641">
        <v>0</v>
      </c>
    </row>
    <row r="1642" spans="1:11" x14ac:dyDescent="0.25">
      <c r="A1642" t="str">
        <f>"2147"</f>
        <v>2147</v>
      </c>
      <c r="B1642" t="str">
        <f t="shared" si="100"/>
        <v>1</v>
      </c>
      <c r="C1642" t="str">
        <f t="shared" si="99"/>
        <v>88</v>
      </c>
      <c r="D1642" t="str">
        <f>"24"</f>
        <v>24</v>
      </c>
      <c r="E1642" t="str">
        <f>"1-88-24"</f>
        <v>1-88-24</v>
      </c>
      <c r="F1642" t="s">
        <v>15</v>
      </c>
      <c r="G1642" t="s">
        <v>20</v>
      </c>
      <c r="H1642" t="s">
        <v>21</v>
      </c>
      <c r="I1642">
        <v>0</v>
      </c>
      <c r="J1642">
        <v>1</v>
      </c>
      <c r="K1642">
        <v>0</v>
      </c>
    </row>
    <row r="1643" spans="1:11" x14ac:dyDescent="0.25">
      <c r="A1643" t="str">
        <f>"2149"</f>
        <v>2149</v>
      </c>
      <c r="B1643" t="str">
        <f t="shared" si="100"/>
        <v>1</v>
      </c>
      <c r="C1643" t="str">
        <f t="shared" si="99"/>
        <v>88</v>
      </c>
      <c r="D1643" t="str">
        <f>"25"</f>
        <v>25</v>
      </c>
      <c r="E1643" t="str">
        <f>"1-88-25"</f>
        <v>1-88-25</v>
      </c>
      <c r="F1643" t="s">
        <v>15</v>
      </c>
      <c r="G1643" t="s">
        <v>20</v>
      </c>
      <c r="H1643" t="s">
        <v>21</v>
      </c>
      <c r="I1643">
        <v>1</v>
      </c>
      <c r="J1643">
        <v>0</v>
      </c>
      <c r="K1643">
        <v>0</v>
      </c>
    </row>
    <row r="1644" spans="1:11" x14ac:dyDescent="0.25">
      <c r="A1644" t="str">
        <f>"2151"</f>
        <v>2151</v>
      </c>
      <c r="B1644" t="str">
        <f t="shared" si="100"/>
        <v>1</v>
      </c>
      <c r="C1644" t="str">
        <f t="shared" si="99"/>
        <v>88</v>
      </c>
      <c r="D1644" t="str">
        <f>"26"</f>
        <v>26</v>
      </c>
      <c r="E1644" t="str">
        <f>"1-88-26"</f>
        <v>1-88-26</v>
      </c>
      <c r="F1644" t="s">
        <v>15</v>
      </c>
      <c r="G1644" t="s">
        <v>20</v>
      </c>
      <c r="H1644" t="s">
        <v>21</v>
      </c>
      <c r="I1644">
        <v>1</v>
      </c>
      <c r="J1644">
        <v>0</v>
      </c>
      <c r="K1644">
        <v>0</v>
      </c>
    </row>
    <row r="1645" spans="1:11" x14ac:dyDescent="0.25">
      <c r="A1645" t="str">
        <f>"2153"</f>
        <v>2153</v>
      </c>
      <c r="B1645" t="str">
        <f t="shared" si="100"/>
        <v>1</v>
      </c>
      <c r="C1645" t="str">
        <f t="shared" si="99"/>
        <v>88</v>
      </c>
      <c r="D1645" t="str">
        <f>"27"</f>
        <v>27</v>
      </c>
      <c r="E1645" t="str">
        <f>"1-88-27"</f>
        <v>1-88-27</v>
      </c>
      <c r="F1645" t="s">
        <v>15</v>
      </c>
      <c r="G1645" t="s">
        <v>20</v>
      </c>
      <c r="H1645" t="s">
        <v>21</v>
      </c>
      <c r="I1645">
        <v>1</v>
      </c>
      <c r="J1645">
        <v>0</v>
      </c>
      <c r="K1645">
        <v>0</v>
      </c>
    </row>
    <row r="1646" spans="1:11" x14ac:dyDescent="0.25">
      <c r="A1646" t="str">
        <f>"2155"</f>
        <v>2155</v>
      </c>
      <c r="B1646" t="str">
        <f t="shared" si="100"/>
        <v>1</v>
      </c>
      <c r="C1646" t="str">
        <f t="shared" si="99"/>
        <v>88</v>
      </c>
      <c r="D1646" t="str">
        <f>"28"</f>
        <v>28</v>
      </c>
      <c r="E1646" t="str">
        <f>"1-88-28"</f>
        <v>1-88-28</v>
      </c>
      <c r="F1646" t="s">
        <v>15</v>
      </c>
      <c r="G1646" t="s">
        <v>20</v>
      </c>
      <c r="H1646" t="s">
        <v>21</v>
      </c>
      <c r="I1646">
        <v>0</v>
      </c>
      <c r="J1646">
        <v>0</v>
      </c>
      <c r="K1646">
        <v>1</v>
      </c>
    </row>
    <row r="1647" spans="1:11" x14ac:dyDescent="0.25">
      <c r="A1647" t="str">
        <f>"2158"</f>
        <v>2158</v>
      </c>
      <c r="B1647" t="str">
        <f t="shared" si="100"/>
        <v>1</v>
      </c>
      <c r="C1647" t="str">
        <f t="shared" ref="C1647:C1675" si="101">"89"</f>
        <v>89</v>
      </c>
      <c r="D1647" t="str">
        <f>"26"</f>
        <v>26</v>
      </c>
      <c r="E1647" t="str">
        <f>"1-89-26"</f>
        <v>1-89-26</v>
      </c>
      <c r="F1647" t="s">
        <v>15</v>
      </c>
      <c r="G1647" t="s">
        <v>18</v>
      </c>
      <c r="H1647" t="s">
        <v>19</v>
      </c>
      <c r="I1647">
        <v>0</v>
      </c>
      <c r="J1647">
        <v>1</v>
      </c>
      <c r="K1647">
        <v>0</v>
      </c>
    </row>
    <row r="1648" spans="1:11" x14ac:dyDescent="0.25">
      <c r="A1648" t="str">
        <f>"2159"</f>
        <v>2159</v>
      </c>
      <c r="B1648" t="str">
        <f t="shared" si="100"/>
        <v>1</v>
      </c>
      <c r="C1648" t="str">
        <f t="shared" si="101"/>
        <v>89</v>
      </c>
      <c r="D1648" t="str">
        <f>"15"</f>
        <v>15</v>
      </c>
      <c r="E1648" t="str">
        <f>"1-89-15"</f>
        <v>1-89-15</v>
      </c>
      <c r="F1648" t="s">
        <v>15</v>
      </c>
      <c r="G1648" t="s">
        <v>18</v>
      </c>
      <c r="H1648" t="s">
        <v>19</v>
      </c>
      <c r="I1648">
        <v>0</v>
      </c>
      <c r="J1648">
        <v>1</v>
      </c>
      <c r="K1648">
        <v>0</v>
      </c>
    </row>
    <row r="1649" spans="1:11" x14ac:dyDescent="0.25">
      <c r="A1649" t="str">
        <f>"2160"</f>
        <v>2160</v>
      </c>
      <c r="B1649" t="str">
        <f t="shared" si="100"/>
        <v>1</v>
      </c>
      <c r="C1649" t="str">
        <f t="shared" si="101"/>
        <v>89</v>
      </c>
      <c r="D1649" t="str">
        <f>"1"</f>
        <v>1</v>
      </c>
      <c r="E1649" t="str">
        <f>"1-89-1"</f>
        <v>1-89-1</v>
      </c>
      <c r="F1649" t="s">
        <v>15</v>
      </c>
      <c r="G1649" t="s">
        <v>18</v>
      </c>
      <c r="H1649" t="s">
        <v>19</v>
      </c>
      <c r="I1649">
        <v>0</v>
      </c>
      <c r="J1649">
        <v>1</v>
      </c>
      <c r="K1649">
        <v>0</v>
      </c>
    </row>
    <row r="1650" spans="1:11" x14ac:dyDescent="0.25">
      <c r="A1650" t="str">
        <f>"2161"</f>
        <v>2161</v>
      </c>
      <c r="B1650" t="str">
        <f t="shared" si="100"/>
        <v>1</v>
      </c>
      <c r="C1650" t="str">
        <f t="shared" si="101"/>
        <v>89</v>
      </c>
      <c r="D1650" t="str">
        <f>"22"</f>
        <v>22</v>
      </c>
      <c r="E1650" t="str">
        <f>"1-89-22"</f>
        <v>1-89-22</v>
      </c>
      <c r="F1650" t="s">
        <v>15</v>
      </c>
      <c r="G1650" t="s">
        <v>18</v>
      </c>
      <c r="H1650" t="s">
        <v>19</v>
      </c>
      <c r="I1650">
        <v>0</v>
      </c>
      <c r="J1650">
        <v>0</v>
      </c>
      <c r="K1650">
        <v>1</v>
      </c>
    </row>
    <row r="1651" spans="1:11" x14ac:dyDescent="0.25">
      <c r="A1651" t="str">
        <f>"2162"</f>
        <v>2162</v>
      </c>
      <c r="B1651" t="str">
        <f t="shared" si="100"/>
        <v>1</v>
      </c>
      <c r="C1651" t="str">
        <f t="shared" si="101"/>
        <v>89</v>
      </c>
      <c r="D1651" t="str">
        <f>"16"</f>
        <v>16</v>
      </c>
      <c r="E1651" t="str">
        <f>"1-89-16"</f>
        <v>1-89-16</v>
      </c>
      <c r="F1651" t="s">
        <v>15</v>
      </c>
      <c r="G1651" t="s">
        <v>18</v>
      </c>
      <c r="H1651" t="s">
        <v>19</v>
      </c>
      <c r="I1651">
        <v>0</v>
      </c>
      <c r="J1651">
        <v>1</v>
      </c>
      <c r="K1651">
        <v>0</v>
      </c>
    </row>
    <row r="1652" spans="1:11" x14ac:dyDescent="0.25">
      <c r="A1652" t="str">
        <f>"2163"</f>
        <v>2163</v>
      </c>
      <c r="B1652" t="str">
        <f t="shared" si="100"/>
        <v>1</v>
      </c>
      <c r="C1652" t="str">
        <f t="shared" si="101"/>
        <v>89</v>
      </c>
      <c r="D1652" t="str">
        <f>"3"</f>
        <v>3</v>
      </c>
      <c r="E1652" t="str">
        <f>"1-89-3"</f>
        <v>1-89-3</v>
      </c>
      <c r="F1652" t="s">
        <v>15</v>
      </c>
      <c r="G1652" t="s">
        <v>18</v>
      </c>
      <c r="H1652" t="s">
        <v>19</v>
      </c>
      <c r="I1652">
        <v>0</v>
      </c>
      <c r="J1652">
        <v>1</v>
      </c>
      <c r="K1652">
        <v>0</v>
      </c>
    </row>
    <row r="1653" spans="1:11" x14ac:dyDescent="0.25">
      <c r="A1653" t="str">
        <f>"2164"</f>
        <v>2164</v>
      </c>
      <c r="B1653" t="str">
        <f t="shared" si="100"/>
        <v>1</v>
      </c>
      <c r="C1653" t="str">
        <f t="shared" si="101"/>
        <v>89</v>
      </c>
      <c r="D1653" t="str">
        <f>"17"</f>
        <v>17</v>
      </c>
      <c r="E1653" t="str">
        <f>"1-89-17"</f>
        <v>1-89-17</v>
      </c>
      <c r="F1653" t="s">
        <v>15</v>
      </c>
      <c r="G1653" t="s">
        <v>18</v>
      </c>
      <c r="H1653" t="s">
        <v>19</v>
      </c>
      <c r="I1653">
        <v>0</v>
      </c>
      <c r="J1653">
        <v>1</v>
      </c>
      <c r="K1653">
        <v>0</v>
      </c>
    </row>
    <row r="1654" spans="1:11" x14ac:dyDescent="0.25">
      <c r="A1654" t="str">
        <f>"2165"</f>
        <v>2165</v>
      </c>
      <c r="B1654" t="str">
        <f t="shared" si="100"/>
        <v>1</v>
      </c>
      <c r="C1654" t="str">
        <f t="shared" si="101"/>
        <v>89</v>
      </c>
      <c r="D1654" t="str">
        <f>"8"</f>
        <v>8</v>
      </c>
      <c r="E1654" t="str">
        <f>"1-89-8"</f>
        <v>1-89-8</v>
      </c>
      <c r="F1654" t="s">
        <v>15</v>
      </c>
      <c r="G1654" t="s">
        <v>18</v>
      </c>
      <c r="H1654" t="s">
        <v>19</v>
      </c>
      <c r="I1654">
        <v>0</v>
      </c>
      <c r="J1654">
        <v>0</v>
      </c>
      <c r="K1654">
        <v>1</v>
      </c>
    </row>
    <row r="1655" spans="1:11" x14ac:dyDescent="0.25">
      <c r="A1655" t="str">
        <f>"2166"</f>
        <v>2166</v>
      </c>
      <c r="B1655" t="str">
        <f t="shared" si="100"/>
        <v>1</v>
      </c>
      <c r="C1655" t="str">
        <f t="shared" si="101"/>
        <v>89</v>
      </c>
      <c r="D1655" t="str">
        <f>"18"</f>
        <v>18</v>
      </c>
      <c r="E1655" t="str">
        <f>"1-89-18"</f>
        <v>1-89-18</v>
      </c>
      <c r="F1655" t="s">
        <v>15</v>
      </c>
      <c r="G1655" t="s">
        <v>18</v>
      </c>
      <c r="H1655" t="s">
        <v>19</v>
      </c>
      <c r="I1655">
        <v>0</v>
      </c>
      <c r="J1655">
        <v>1</v>
      </c>
      <c r="K1655">
        <v>0</v>
      </c>
    </row>
    <row r="1656" spans="1:11" x14ac:dyDescent="0.25">
      <c r="A1656" t="str">
        <f>"2167"</f>
        <v>2167</v>
      </c>
      <c r="B1656" t="str">
        <f t="shared" si="100"/>
        <v>1</v>
      </c>
      <c r="C1656" t="str">
        <f t="shared" si="101"/>
        <v>89</v>
      </c>
      <c r="D1656" t="str">
        <f>"14"</f>
        <v>14</v>
      </c>
      <c r="E1656" t="str">
        <f>"1-89-14"</f>
        <v>1-89-14</v>
      </c>
      <c r="F1656" t="s">
        <v>15</v>
      </c>
      <c r="G1656" t="s">
        <v>16</v>
      </c>
      <c r="H1656" t="s">
        <v>17</v>
      </c>
      <c r="I1656">
        <v>0</v>
      </c>
      <c r="J1656">
        <v>1</v>
      </c>
      <c r="K1656">
        <v>0</v>
      </c>
    </row>
    <row r="1657" spans="1:11" x14ac:dyDescent="0.25">
      <c r="A1657" t="str">
        <f>"2168"</f>
        <v>2168</v>
      </c>
      <c r="B1657" t="str">
        <f t="shared" si="100"/>
        <v>1</v>
      </c>
      <c r="C1657" t="str">
        <f t="shared" si="101"/>
        <v>89</v>
      </c>
      <c r="D1657" t="str">
        <f>"19"</f>
        <v>19</v>
      </c>
      <c r="E1657" t="str">
        <f>"1-89-19"</f>
        <v>1-89-19</v>
      </c>
      <c r="F1657" t="s">
        <v>15</v>
      </c>
      <c r="G1657" t="s">
        <v>18</v>
      </c>
      <c r="H1657" t="s">
        <v>19</v>
      </c>
      <c r="I1657">
        <v>0</v>
      </c>
      <c r="J1657">
        <v>0</v>
      </c>
      <c r="K1657">
        <v>1</v>
      </c>
    </row>
    <row r="1658" spans="1:11" x14ac:dyDescent="0.25">
      <c r="A1658" t="str">
        <f>"2169"</f>
        <v>2169</v>
      </c>
      <c r="B1658" t="str">
        <f t="shared" si="100"/>
        <v>1</v>
      </c>
      <c r="C1658" t="str">
        <f t="shared" si="101"/>
        <v>89</v>
      </c>
      <c r="D1658" t="str">
        <f>"10"</f>
        <v>10</v>
      </c>
      <c r="E1658" t="str">
        <f>"1-89-10"</f>
        <v>1-89-10</v>
      </c>
      <c r="F1658" t="s">
        <v>15</v>
      </c>
      <c r="G1658" t="s">
        <v>16</v>
      </c>
      <c r="H1658" t="s">
        <v>17</v>
      </c>
      <c r="I1658">
        <v>0</v>
      </c>
      <c r="J1658">
        <v>0</v>
      </c>
      <c r="K1658">
        <v>1</v>
      </c>
    </row>
    <row r="1659" spans="1:11" x14ac:dyDescent="0.25">
      <c r="A1659" t="str">
        <f>"2170"</f>
        <v>2170</v>
      </c>
      <c r="B1659" t="str">
        <f t="shared" si="100"/>
        <v>1</v>
      </c>
      <c r="C1659" t="str">
        <f t="shared" si="101"/>
        <v>89</v>
      </c>
      <c r="D1659" t="str">
        <f>"20"</f>
        <v>20</v>
      </c>
      <c r="E1659" t="str">
        <f>"1-89-20"</f>
        <v>1-89-20</v>
      </c>
      <c r="F1659" t="s">
        <v>15</v>
      </c>
      <c r="G1659" t="s">
        <v>18</v>
      </c>
      <c r="H1659" t="s">
        <v>19</v>
      </c>
      <c r="I1659">
        <v>0</v>
      </c>
      <c r="J1659">
        <v>0</v>
      </c>
      <c r="K1659">
        <v>1</v>
      </c>
    </row>
    <row r="1660" spans="1:11" x14ac:dyDescent="0.25">
      <c r="A1660" t="str">
        <f>"2171"</f>
        <v>2171</v>
      </c>
      <c r="B1660" t="str">
        <f t="shared" si="100"/>
        <v>1</v>
      </c>
      <c r="C1660" t="str">
        <f t="shared" si="101"/>
        <v>89</v>
      </c>
      <c r="D1660" t="str">
        <f>"7"</f>
        <v>7</v>
      </c>
      <c r="E1660" t="str">
        <f>"1-89-7"</f>
        <v>1-89-7</v>
      </c>
      <c r="F1660" t="s">
        <v>15</v>
      </c>
      <c r="G1660" t="s">
        <v>18</v>
      </c>
      <c r="H1660" t="s">
        <v>19</v>
      </c>
      <c r="I1660">
        <v>1</v>
      </c>
      <c r="J1660">
        <v>0</v>
      </c>
      <c r="K1660">
        <v>0</v>
      </c>
    </row>
    <row r="1661" spans="1:11" x14ac:dyDescent="0.25">
      <c r="A1661" t="str">
        <f>"2172"</f>
        <v>2172</v>
      </c>
      <c r="B1661" t="str">
        <f t="shared" si="100"/>
        <v>1</v>
      </c>
      <c r="C1661" t="str">
        <f t="shared" si="101"/>
        <v>89</v>
      </c>
      <c r="D1661" t="str">
        <f>"21"</f>
        <v>21</v>
      </c>
      <c r="E1661" t="str">
        <f>"1-89-21"</f>
        <v>1-89-21</v>
      </c>
      <c r="F1661" t="s">
        <v>15</v>
      </c>
      <c r="G1661" t="s">
        <v>18</v>
      </c>
      <c r="H1661" t="s">
        <v>19</v>
      </c>
      <c r="I1661">
        <v>0</v>
      </c>
      <c r="J1661">
        <v>0</v>
      </c>
      <c r="K1661">
        <v>1</v>
      </c>
    </row>
    <row r="1662" spans="1:11" x14ac:dyDescent="0.25">
      <c r="A1662" t="str">
        <f>"2173"</f>
        <v>2173</v>
      </c>
      <c r="B1662" t="str">
        <f t="shared" si="100"/>
        <v>1</v>
      </c>
      <c r="C1662" t="str">
        <f t="shared" si="101"/>
        <v>89</v>
      </c>
      <c r="D1662" t="str">
        <f>"2"</f>
        <v>2</v>
      </c>
      <c r="E1662" t="str">
        <f>"1-89-2"</f>
        <v>1-89-2</v>
      </c>
      <c r="F1662" t="s">
        <v>15</v>
      </c>
      <c r="G1662" t="s">
        <v>18</v>
      </c>
      <c r="H1662" t="s">
        <v>19</v>
      </c>
      <c r="I1662">
        <v>0</v>
      </c>
      <c r="J1662">
        <v>1</v>
      </c>
      <c r="K1662">
        <v>0</v>
      </c>
    </row>
    <row r="1663" spans="1:11" x14ac:dyDescent="0.25">
      <c r="A1663" t="str">
        <f>"2174"</f>
        <v>2174</v>
      </c>
      <c r="B1663" t="str">
        <f t="shared" si="100"/>
        <v>1</v>
      </c>
      <c r="C1663" t="str">
        <f t="shared" si="101"/>
        <v>89</v>
      </c>
      <c r="D1663" t="str">
        <f>"23"</f>
        <v>23</v>
      </c>
      <c r="E1663" t="str">
        <f>"1-89-23"</f>
        <v>1-89-23</v>
      </c>
      <c r="F1663" t="s">
        <v>15</v>
      </c>
      <c r="G1663" t="s">
        <v>18</v>
      </c>
      <c r="H1663" t="s">
        <v>19</v>
      </c>
      <c r="I1663">
        <v>0</v>
      </c>
      <c r="J1663">
        <v>0</v>
      </c>
      <c r="K1663">
        <v>1</v>
      </c>
    </row>
    <row r="1664" spans="1:11" x14ac:dyDescent="0.25">
      <c r="A1664" t="str">
        <f>"2175"</f>
        <v>2175</v>
      </c>
      <c r="B1664" t="str">
        <f t="shared" si="100"/>
        <v>1</v>
      </c>
      <c r="C1664" t="str">
        <f t="shared" si="101"/>
        <v>89</v>
      </c>
      <c r="D1664" t="str">
        <f>"5"</f>
        <v>5</v>
      </c>
      <c r="E1664" t="str">
        <f>"1-89-5"</f>
        <v>1-89-5</v>
      </c>
      <c r="F1664" t="s">
        <v>15</v>
      </c>
      <c r="G1664" t="s">
        <v>18</v>
      </c>
      <c r="H1664" t="s">
        <v>19</v>
      </c>
      <c r="I1664">
        <v>1</v>
      </c>
      <c r="J1664">
        <v>0</v>
      </c>
      <c r="K1664">
        <v>0</v>
      </c>
    </row>
    <row r="1665" spans="1:11" x14ac:dyDescent="0.25">
      <c r="A1665" t="str">
        <f>"2176"</f>
        <v>2176</v>
      </c>
      <c r="B1665" t="str">
        <f t="shared" si="100"/>
        <v>1</v>
      </c>
      <c r="C1665" t="str">
        <f t="shared" si="101"/>
        <v>89</v>
      </c>
      <c r="D1665" t="str">
        <f>"24"</f>
        <v>24</v>
      </c>
      <c r="E1665" t="str">
        <f>"1-89-24"</f>
        <v>1-89-24</v>
      </c>
      <c r="F1665" t="s">
        <v>15</v>
      </c>
      <c r="G1665" t="s">
        <v>18</v>
      </c>
      <c r="H1665" t="s">
        <v>19</v>
      </c>
      <c r="I1665">
        <v>0</v>
      </c>
      <c r="J1665">
        <v>0</v>
      </c>
      <c r="K1665">
        <v>1</v>
      </c>
    </row>
    <row r="1666" spans="1:11" x14ac:dyDescent="0.25">
      <c r="A1666" t="str">
        <f>"2177"</f>
        <v>2177</v>
      </c>
      <c r="B1666" t="str">
        <f t="shared" si="100"/>
        <v>1</v>
      </c>
      <c r="C1666" t="str">
        <f t="shared" si="101"/>
        <v>89</v>
      </c>
      <c r="D1666" t="str">
        <f>"6"</f>
        <v>6</v>
      </c>
      <c r="E1666" t="str">
        <f>"1-89-6"</f>
        <v>1-89-6</v>
      </c>
      <c r="F1666" t="s">
        <v>15</v>
      </c>
      <c r="G1666" t="s">
        <v>18</v>
      </c>
      <c r="H1666" t="s">
        <v>19</v>
      </c>
      <c r="I1666">
        <v>0</v>
      </c>
      <c r="J1666">
        <v>1</v>
      </c>
      <c r="K1666">
        <v>0</v>
      </c>
    </row>
    <row r="1667" spans="1:11" x14ac:dyDescent="0.25">
      <c r="A1667" t="str">
        <f>"2178"</f>
        <v>2178</v>
      </c>
      <c r="B1667" t="str">
        <f t="shared" si="100"/>
        <v>1</v>
      </c>
      <c r="C1667" t="str">
        <f t="shared" si="101"/>
        <v>89</v>
      </c>
      <c r="D1667" t="str">
        <f>"25"</f>
        <v>25</v>
      </c>
      <c r="E1667" t="str">
        <f>"1-89-25"</f>
        <v>1-89-25</v>
      </c>
      <c r="F1667" t="s">
        <v>15</v>
      </c>
      <c r="G1667" t="s">
        <v>18</v>
      </c>
      <c r="H1667" t="s">
        <v>19</v>
      </c>
      <c r="I1667">
        <v>0</v>
      </c>
      <c r="J1667">
        <v>0</v>
      </c>
      <c r="K1667">
        <v>1</v>
      </c>
    </row>
    <row r="1668" spans="1:11" x14ac:dyDescent="0.25">
      <c r="A1668" t="str">
        <f>"2179"</f>
        <v>2179</v>
      </c>
      <c r="B1668" t="str">
        <f t="shared" si="100"/>
        <v>1</v>
      </c>
      <c r="C1668" t="str">
        <f t="shared" si="101"/>
        <v>89</v>
      </c>
      <c r="D1668" t="str">
        <f>"12"</f>
        <v>12</v>
      </c>
      <c r="E1668" t="str">
        <f>"1-89-12"</f>
        <v>1-89-12</v>
      </c>
      <c r="F1668" t="s">
        <v>15</v>
      </c>
      <c r="G1668" t="s">
        <v>18</v>
      </c>
      <c r="H1668" t="s">
        <v>19</v>
      </c>
      <c r="I1668">
        <v>0</v>
      </c>
      <c r="J1668">
        <v>1</v>
      </c>
      <c r="K1668">
        <v>0</v>
      </c>
    </row>
    <row r="1669" spans="1:11" x14ac:dyDescent="0.25">
      <c r="A1669" t="str">
        <f>"2180"</f>
        <v>2180</v>
      </c>
      <c r="B1669" t="str">
        <f t="shared" si="100"/>
        <v>1</v>
      </c>
      <c r="C1669" t="str">
        <f t="shared" si="101"/>
        <v>89</v>
      </c>
      <c r="D1669" t="str">
        <f>"27"</f>
        <v>27</v>
      </c>
      <c r="E1669" t="str">
        <f>"1-89-27"</f>
        <v>1-89-27</v>
      </c>
      <c r="F1669" t="s">
        <v>15</v>
      </c>
      <c r="G1669" t="s">
        <v>18</v>
      </c>
      <c r="H1669" t="s">
        <v>19</v>
      </c>
      <c r="I1669">
        <v>0</v>
      </c>
      <c r="J1669">
        <v>1</v>
      </c>
      <c r="K1669">
        <v>0</v>
      </c>
    </row>
    <row r="1670" spans="1:11" x14ac:dyDescent="0.25">
      <c r="A1670" t="str">
        <f>"2181"</f>
        <v>2181</v>
      </c>
      <c r="B1670" t="str">
        <f t="shared" si="100"/>
        <v>1</v>
      </c>
      <c r="C1670" t="str">
        <f t="shared" si="101"/>
        <v>89</v>
      </c>
      <c r="D1670" t="str">
        <f>"13"</f>
        <v>13</v>
      </c>
      <c r="E1670" t="str">
        <f>"1-89-13"</f>
        <v>1-89-13</v>
      </c>
      <c r="F1670" t="s">
        <v>15</v>
      </c>
      <c r="G1670" t="s">
        <v>18</v>
      </c>
      <c r="H1670" t="s">
        <v>19</v>
      </c>
      <c r="I1670">
        <v>0</v>
      </c>
      <c r="J1670">
        <v>1</v>
      </c>
      <c r="K1670">
        <v>0</v>
      </c>
    </row>
    <row r="1671" spans="1:11" x14ac:dyDescent="0.25">
      <c r="A1671" t="str">
        <f>"2182"</f>
        <v>2182</v>
      </c>
      <c r="B1671" t="str">
        <f t="shared" si="100"/>
        <v>1</v>
      </c>
      <c r="C1671" t="str">
        <f t="shared" si="101"/>
        <v>89</v>
      </c>
      <c r="D1671" t="str">
        <f>"28"</f>
        <v>28</v>
      </c>
      <c r="E1671" t="str">
        <f>"1-89-28"</f>
        <v>1-89-28</v>
      </c>
      <c r="F1671" t="s">
        <v>15</v>
      </c>
      <c r="G1671" t="s">
        <v>18</v>
      </c>
      <c r="H1671" t="s">
        <v>19</v>
      </c>
      <c r="I1671">
        <v>0</v>
      </c>
      <c r="J1671">
        <v>0</v>
      </c>
      <c r="K1671">
        <v>1</v>
      </c>
    </row>
    <row r="1672" spans="1:11" x14ac:dyDescent="0.25">
      <c r="A1672" t="str">
        <f>"2183"</f>
        <v>2183</v>
      </c>
      <c r="B1672" t="str">
        <f t="shared" si="100"/>
        <v>1</v>
      </c>
      <c r="C1672" t="str">
        <f t="shared" si="101"/>
        <v>89</v>
      </c>
      <c r="D1672" t="str">
        <f>"4"</f>
        <v>4</v>
      </c>
      <c r="E1672" t="str">
        <f>"1-89-4"</f>
        <v>1-89-4</v>
      </c>
      <c r="F1672" t="s">
        <v>15</v>
      </c>
      <c r="G1672" t="s">
        <v>18</v>
      </c>
      <c r="H1672" t="s">
        <v>19</v>
      </c>
      <c r="I1672">
        <v>0</v>
      </c>
      <c r="J1672">
        <v>1</v>
      </c>
      <c r="K1672">
        <v>0</v>
      </c>
    </row>
    <row r="1673" spans="1:11" x14ac:dyDescent="0.25">
      <c r="A1673" t="str">
        <f>"2184"</f>
        <v>2184</v>
      </c>
      <c r="B1673" t="str">
        <f t="shared" si="100"/>
        <v>1</v>
      </c>
      <c r="C1673" t="str">
        <f t="shared" si="101"/>
        <v>89</v>
      </c>
      <c r="D1673" t="str">
        <f>"29"</f>
        <v>29</v>
      </c>
      <c r="E1673" t="str">
        <f>"1-89-29"</f>
        <v>1-89-29</v>
      </c>
      <c r="F1673" t="s">
        <v>15</v>
      </c>
      <c r="G1673" t="s">
        <v>18</v>
      </c>
      <c r="H1673" t="s">
        <v>19</v>
      </c>
      <c r="I1673">
        <v>0</v>
      </c>
      <c r="J1673">
        <v>0</v>
      </c>
      <c r="K1673">
        <v>1</v>
      </c>
    </row>
    <row r="1674" spans="1:11" x14ac:dyDescent="0.25">
      <c r="A1674" t="str">
        <f>"2185"</f>
        <v>2185</v>
      </c>
      <c r="B1674" t="str">
        <f t="shared" si="100"/>
        <v>1</v>
      </c>
      <c r="C1674" t="str">
        <f t="shared" si="101"/>
        <v>89</v>
      </c>
      <c r="D1674" t="str">
        <f>"11"</f>
        <v>11</v>
      </c>
      <c r="E1674" t="str">
        <f>"1-89-11"</f>
        <v>1-89-11</v>
      </c>
      <c r="F1674" t="s">
        <v>15</v>
      </c>
      <c r="G1674" t="s">
        <v>18</v>
      </c>
      <c r="H1674" t="s">
        <v>19</v>
      </c>
      <c r="I1674">
        <v>0</v>
      </c>
      <c r="J1674">
        <v>1</v>
      </c>
      <c r="K1674">
        <v>0</v>
      </c>
    </row>
    <row r="1675" spans="1:11" x14ac:dyDescent="0.25">
      <c r="A1675" t="str">
        <f>"2186"</f>
        <v>2186</v>
      </c>
      <c r="B1675" t="str">
        <f t="shared" si="100"/>
        <v>1</v>
      </c>
      <c r="C1675" t="str">
        <f t="shared" si="101"/>
        <v>89</v>
      </c>
      <c r="D1675" t="str">
        <f>"9"</f>
        <v>9</v>
      </c>
      <c r="E1675" t="str">
        <f>"1-89-9"</f>
        <v>1-89-9</v>
      </c>
      <c r="F1675" t="s">
        <v>15</v>
      </c>
      <c r="G1675" t="s">
        <v>18</v>
      </c>
      <c r="H1675" t="s">
        <v>19</v>
      </c>
      <c r="I1675">
        <v>0</v>
      </c>
      <c r="J1675">
        <v>0</v>
      </c>
      <c r="K1675">
        <v>1</v>
      </c>
    </row>
    <row r="1676" spans="1:11" x14ac:dyDescent="0.25">
      <c r="A1676" t="str">
        <f>"2187"</f>
        <v>2187</v>
      </c>
      <c r="B1676" t="str">
        <f t="shared" si="100"/>
        <v>1</v>
      </c>
      <c r="C1676" t="str">
        <f t="shared" ref="C1676:C1700" si="102">"90"</f>
        <v>90</v>
      </c>
      <c r="D1676" t="str">
        <f>"3"</f>
        <v>3</v>
      </c>
      <c r="E1676" t="str">
        <f>"1-90-3"</f>
        <v>1-90-3</v>
      </c>
      <c r="F1676" t="s">
        <v>15</v>
      </c>
      <c r="G1676" t="s">
        <v>18</v>
      </c>
      <c r="H1676" t="s">
        <v>19</v>
      </c>
      <c r="I1676">
        <v>1</v>
      </c>
      <c r="J1676">
        <v>0</v>
      </c>
      <c r="K1676">
        <v>0</v>
      </c>
    </row>
    <row r="1677" spans="1:11" x14ac:dyDescent="0.25">
      <c r="A1677" t="str">
        <f>"2188"</f>
        <v>2188</v>
      </c>
      <c r="B1677" t="str">
        <f t="shared" si="100"/>
        <v>1</v>
      </c>
      <c r="C1677" t="str">
        <f t="shared" si="102"/>
        <v>90</v>
      </c>
      <c r="D1677" t="str">
        <f>"21"</f>
        <v>21</v>
      </c>
      <c r="E1677" t="str">
        <f>"1-90-21"</f>
        <v>1-90-21</v>
      </c>
      <c r="F1677" t="s">
        <v>15</v>
      </c>
      <c r="G1677" t="s">
        <v>18</v>
      </c>
      <c r="H1677" t="s">
        <v>19</v>
      </c>
      <c r="I1677">
        <v>0</v>
      </c>
      <c r="J1677">
        <v>1</v>
      </c>
      <c r="K1677">
        <v>0</v>
      </c>
    </row>
    <row r="1678" spans="1:11" x14ac:dyDescent="0.25">
      <c r="A1678" t="str">
        <f>"2189"</f>
        <v>2189</v>
      </c>
      <c r="B1678" t="str">
        <f t="shared" si="100"/>
        <v>1</v>
      </c>
      <c r="C1678" t="str">
        <f t="shared" si="102"/>
        <v>90</v>
      </c>
      <c r="D1678" t="str">
        <f>"16"</f>
        <v>16</v>
      </c>
      <c r="E1678" t="str">
        <f>"1-90-16"</f>
        <v>1-90-16</v>
      </c>
      <c r="F1678" t="s">
        <v>15</v>
      </c>
      <c r="G1678" t="s">
        <v>18</v>
      </c>
      <c r="H1678" t="s">
        <v>19</v>
      </c>
      <c r="I1678">
        <v>0</v>
      </c>
      <c r="J1678">
        <v>1</v>
      </c>
      <c r="K1678">
        <v>0</v>
      </c>
    </row>
    <row r="1679" spans="1:11" x14ac:dyDescent="0.25">
      <c r="A1679" t="str">
        <f>"2190"</f>
        <v>2190</v>
      </c>
      <c r="B1679" t="str">
        <f t="shared" si="100"/>
        <v>1</v>
      </c>
      <c r="C1679" t="str">
        <f t="shared" si="102"/>
        <v>90</v>
      </c>
      <c r="D1679" t="str">
        <f>"6"</f>
        <v>6</v>
      </c>
      <c r="E1679" t="str">
        <f>"1-90-6"</f>
        <v>1-90-6</v>
      </c>
      <c r="F1679" t="s">
        <v>15</v>
      </c>
      <c r="G1679" t="s">
        <v>18</v>
      </c>
      <c r="H1679" t="s">
        <v>19</v>
      </c>
      <c r="I1679">
        <v>0</v>
      </c>
      <c r="J1679">
        <v>0</v>
      </c>
      <c r="K1679">
        <v>1</v>
      </c>
    </row>
    <row r="1680" spans="1:11" x14ac:dyDescent="0.25">
      <c r="A1680" t="str">
        <f>"2191"</f>
        <v>2191</v>
      </c>
      <c r="B1680" t="str">
        <f t="shared" si="100"/>
        <v>1</v>
      </c>
      <c r="C1680" t="str">
        <f t="shared" si="102"/>
        <v>90</v>
      </c>
      <c r="D1680" t="str">
        <f>"17"</f>
        <v>17</v>
      </c>
      <c r="E1680" t="str">
        <f>"1-90-17"</f>
        <v>1-90-17</v>
      </c>
      <c r="F1680" t="s">
        <v>15</v>
      </c>
      <c r="G1680" t="s">
        <v>18</v>
      </c>
      <c r="H1680" t="s">
        <v>19</v>
      </c>
      <c r="I1680">
        <v>0</v>
      </c>
      <c r="J1680">
        <v>1</v>
      </c>
      <c r="K1680">
        <v>0</v>
      </c>
    </row>
    <row r="1681" spans="1:11" x14ac:dyDescent="0.25">
      <c r="A1681" t="str">
        <f>"2192"</f>
        <v>2192</v>
      </c>
      <c r="B1681" t="str">
        <f t="shared" si="100"/>
        <v>1</v>
      </c>
      <c r="C1681" t="str">
        <f t="shared" si="102"/>
        <v>90</v>
      </c>
      <c r="D1681" t="str">
        <f>"5"</f>
        <v>5</v>
      </c>
      <c r="E1681" t="str">
        <f>"1-90-5"</f>
        <v>1-90-5</v>
      </c>
      <c r="F1681" t="s">
        <v>15</v>
      </c>
      <c r="G1681" t="s">
        <v>18</v>
      </c>
      <c r="H1681" t="s">
        <v>19</v>
      </c>
      <c r="I1681">
        <v>1</v>
      </c>
      <c r="J1681">
        <v>0</v>
      </c>
      <c r="K1681">
        <v>0</v>
      </c>
    </row>
    <row r="1682" spans="1:11" x14ac:dyDescent="0.25">
      <c r="A1682" t="str">
        <f>"2193"</f>
        <v>2193</v>
      </c>
      <c r="B1682" t="str">
        <f t="shared" si="100"/>
        <v>1</v>
      </c>
      <c r="C1682" t="str">
        <f t="shared" si="102"/>
        <v>90</v>
      </c>
      <c r="D1682" t="str">
        <f>"18"</f>
        <v>18</v>
      </c>
      <c r="E1682" t="str">
        <f>"1-90-18"</f>
        <v>1-90-18</v>
      </c>
      <c r="F1682" t="s">
        <v>15</v>
      </c>
      <c r="G1682" t="s">
        <v>18</v>
      </c>
      <c r="H1682" t="s">
        <v>19</v>
      </c>
      <c r="I1682">
        <v>0</v>
      </c>
      <c r="J1682">
        <v>1</v>
      </c>
      <c r="K1682">
        <v>0</v>
      </c>
    </row>
    <row r="1683" spans="1:11" x14ac:dyDescent="0.25">
      <c r="A1683" t="str">
        <f>"2194"</f>
        <v>2194</v>
      </c>
      <c r="B1683" t="str">
        <f t="shared" si="100"/>
        <v>1</v>
      </c>
      <c r="C1683" t="str">
        <f t="shared" si="102"/>
        <v>90</v>
      </c>
      <c r="D1683" t="str">
        <f>"13"</f>
        <v>13</v>
      </c>
      <c r="E1683" t="str">
        <f>"1-90-13"</f>
        <v>1-90-13</v>
      </c>
      <c r="F1683" t="s">
        <v>15</v>
      </c>
      <c r="G1683" t="s">
        <v>18</v>
      </c>
      <c r="H1683" t="s">
        <v>19</v>
      </c>
      <c r="I1683">
        <v>0</v>
      </c>
      <c r="J1683">
        <v>0</v>
      </c>
      <c r="K1683">
        <v>1</v>
      </c>
    </row>
    <row r="1684" spans="1:11" x14ac:dyDescent="0.25">
      <c r="A1684" t="str">
        <f>"2195"</f>
        <v>2195</v>
      </c>
      <c r="B1684" t="str">
        <f t="shared" si="100"/>
        <v>1</v>
      </c>
      <c r="C1684" t="str">
        <f t="shared" si="102"/>
        <v>90</v>
      </c>
      <c r="D1684" t="str">
        <f>"19"</f>
        <v>19</v>
      </c>
      <c r="E1684" t="str">
        <f>"1-90-19"</f>
        <v>1-90-19</v>
      </c>
      <c r="F1684" t="s">
        <v>15</v>
      </c>
      <c r="G1684" t="s">
        <v>18</v>
      </c>
      <c r="H1684" t="s">
        <v>19</v>
      </c>
      <c r="I1684">
        <v>0</v>
      </c>
      <c r="J1684">
        <v>0</v>
      </c>
      <c r="K1684">
        <v>1</v>
      </c>
    </row>
    <row r="1685" spans="1:11" x14ac:dyDescent="0.25">
      <c r="A1685" t="str">
        <f>"2196"</f>
        <v>2196</v>
      </c>
      <c r="B1685" t="str">
        <f t="shared" si="100"/>
        <v>1</v>
      </c>
      <c r="C1685" t="str">
        <f t="shared" si="102"/>
        <v>90</v>
      </c>
      <c r="D1685" t="str">
        <f>"7"</f>
        <v>7</v>
      </c>
      <c r="E1685" t="str">
        <f>"1-90-7"</f>
        <v>1-90-7</v>
      </c>
      <c r="F1685" t="s">
        <v>15</v>
      </c>
      <c r="G1685" t="s">
        <v>18</v>
      </c>
      <c r="H1685" t="s">
        <v>19</v>
      </c>
      <c r="I1685">
        <v>0</v>
      </c>
      <c r="J1685">
        <v>0</v>
      </c>
      <c r="K1685">
        <v>1</v>
      </c>
    </row>
    <row r="1686" spans="1:11" x14ac:dyDescent="0.25">
      <c r="A1686" t="str">
        <f>"2197"</f>
        <v>2197</v>
      </c>
      <c r="B1686" t="str">
        <f t="shared" si="100"/>
        <v>1</v>
      </c>
      <c r="C1686" t="str">
        <f t="shared" si="102"/>
        <v>90</v>
      </c>
      <c r="D1686" t="str">
        <f>"20"</f>
        <v>20</v>
      </c>
      <c r="E1686" t="str">
        <f>"1-90-20"</f>
        <v>1-90-20</v>
      </c>
      <c r="F1686" t="s">
        <v>15</v>
      </c>
      <c r="G1686" t="s">
        <v>18</v>
      </c>
      <c r="H1686" t="s">
        <v>19</v>
      </c>
      <c r="I1686">
        <v>1</v>
      </c>
      <c r="J1686">
        <v>0</v>
      </c>
      <c r="K1686">
        <v>0</v>
      </c>
    </row>
    <row r="1687" spans="1:11" x14ac:dyDescent="0.25">
      <c r="A1687" t="str">
        <f>"2198"</f>
        <v>2198</v>
      </c>
      <c r="B1687" t="str">
        <f t="shared" si="100"/>
        <v>1</v>
      </c>
      <c r="C1687" t="str">
        <f t="shared" si="102"/>
        <v>90</v>
      </c>
      <c r="D1687" t="str">
        <f>"9"</f>
        <v>9</v>
      </c>
      <c r="E1687" t="str">
        <f>"1-90-9"</f>
        <v>1-90-9</v>
      </c>
      <c r="F1687" t="s">
        <v>15</v>
      </c>
      <c r="G1687" t="s">
        <v>18</v>
      </c>
      <c r="H1687" t="s">
        <v>19</v>
      </c>
      <c r="I1687">
        <v>0</v>
      </c>
      <c r="J1687">
        <v>0</v>
      </c>
      <c r="K1687">
        <v>1</v>
      </c>
    </row>
    <row r="1688" spans="1:11" x14ac:dyDescent="0.25">
      <c r="A1688" t="str">
        <f>"2199"</f>
        <v>2199</v>
      </c>
      <c r="B1688" t="str">
        <f t="shared" si="100"/>
        <v>1</v>
      </c>
      <c r="C1688" t="str">
        <f t="shared" si="102"/>
        <v>90</v>
      </c>
      <c r="D1688" t="str">
        <f>"22"</f>
        <v>22</v>
      </c>
      <c r="E1688" t="str">
        <f>"1-90-22"</f>
        <v>1-90-22</v>
      </c>
      <c r="F1688" t="s">
        <v>15</v>
      </c>
      <c r="G1688" t="s">
        <v>18</v>
      </c>
      <c r="H1688" t="s">
        <v>19</v>
      </c>
      <c r="I1688">
        <v>0</v>
      </c>
      <c r="J1688">
        <v>0</v>
      </c>
      <c r="K1688">
        <v>1</v>
      </c>
    </row>
    <row r="1689" spans="1:11" x14ac:dyDescent="0.25">
      <c r="A1689" t="str">
        <f>"2200"</f>
        <v>2200</v>
      </c>
      <c r="B1689" t="str">
        <f t="shared" si="100"/>
        <v>1</v>
      </c>
      <c r="C1689" t="str">
        <f t="shared" si="102"/>
        <v>90</v>
      </c>
      <c r="D1689" t="str">
        <f>"11"</f>
        <v>11</v>
      </c>
      <c r="E1689" t="str">
        <f>"1-90-11"</f>
        <v>1-90-11</v>
      </c>
      <c r="F1689" t="s">
        <v>15</v>
      </c>
      <c r="G1689" t="s">
        <v>18</v>
      </c>
      <c r="H1689" t="s">
        <v>19</v>
      </c>
      <c r="I1689">
        <v>1</v>
      </c>
      <c r="J1689">
        <v>0</v>
      </c>
      <c r="K1689">
        <v>0</v>
      </c>
    </row>
    <row r="1690" spans="1:11" x14ac:dyDescent="0.25">
      <c r="A1690" t="str">
        <f>"2201"</f>
        <v>2201</v>
      </c>
      <c r="B1690" t="str">
        <f t="shared" si="100"/>
        <v>1</v>
      </c>
      <c r="C1690" t="str">
        <f t="shared" si="102"/>
        <v>90</v>
      </c>
      <c r="D1690" t="str">
        <f>"23"</f>
        <v>23</v>
      </c>
      <c r="E1690" t="str">
        <f>"1-90-23"</f>
        <v>1-90-23</v>
      </c>
      <c r="F1690" t="s">
        <v>15</v>
      </c>
      <c r="G1690" t="s">
        <v>18</v>
      </c>
      <c r="H1690" t="s">
        <v>19</v>
      </c>
      <c r="I1690">
        <v>1</v>
      </c>
      <c r="J1690">
        <v>0</v>
      </c>
      <c r="K1690">
        <v>0</v>
      </c>
    </row>
    <row r="1691" spans="1:11" x14ac:dyDescent="0.25">
      <c r="A1691" t="str">
        <f>"2202"</f>
        <v>2202</v>
      </c>
      <c r="B1691" t="str">
        <f t="shared" ref="B1691:B1754" si="103">"1"</f>
        <v>1</v>
      </c>
      <c r="C1691" t="str">
        <f t="shared" si="102"/>
        <v>90</v>
      </c>
      <c r="D1691" t="str">
        <f>"8"</f>
        <v>8</v>
      </c>
      <c r="E1691" t="str">
        <f>"1-90-8"</f>
        <v>1-90-8</v>
      </c>
      <c r="F1691" t="s">
        <v>15</v>
      </c>
      <c r="G1691" t="s">
        <v>18</v>
      </c>
      <c r="H1691" t="s">
        <v>19</v>
      </c>
      <c r="I1691">
        <v>1</v>
      </c>
      <c r="J1691">
        <v>0</v>
      </c>
      <c r="K1691">
        <v>0</v>
      </c>
    </row>
    <row r="1692" spans="1:11" x14ac:dyDescent="0.25">
      <c r="A1692" t="str">
        <f>"2203"</f>
        <v>2203</v>
      </c>
      <c r="B1692" t="str">
        <f t="shared" si="103"/>
        <v>1</v>
      </c>
      <c r="C1692" t="str">
        <f t="shared" si="102"/>
        <v>90</v>
      </c>
      <c r="D1692" t="str">
        <f>"24"</f>
        <v>24</v>
      </c>
      <c r="E1692" t="str">
        <f>"1-90-24"</f>
        <v>1-90-24</v>
      </c>
      <c r="F1692" t="s">
        <v>15</v>
      </c>
      <c r="G1692" t="s">
        <v>18</v>
      </c>
      <c r="H1692" t="s">
        <v>19</v>
      </c>
      <c r="I1692">
        <v>1</v>
      </c>
      <c r="J1692">
        <v>0</v>
      </c>
      <c r="K1692">
        <v>0</v>
      </c>
    </row>
    <row r="1693" spans="1:11" x14ac:dyDescent="0.25">
      <c r="A1693" t="str">
        <f>"2204"</f>
        <v>2204</v>
      </c>
      <c r="B1693" t="str">
        <f t="shared" si="103"/>
        <v>1</v>
      </c>
      <c r="C1693" t="str">
        <f t="shared" si="102"/>
        <v>90</v>
      </c>
      <c r="D1693" t="str">
        <f>"1"</f>
        <v>1</v>
      </c>
      <c r="E1693" t="str">
        <f>"1-90-1"</f>
        <v>1-90-1</v>
      </c>
      <c r="F1693" t="s">
        <v>15</v>
      </c>
      <c r="G1693" t="s">
        <v>18</v>
      </c>
      <c r="H1693" t="s">
        <v>19</v>
      </c>
      <c r="I1693">
        <v>0</v>
      </c>
      <c r="J1693">
        <v>1</v>
      </c>
      <c r="K1693">
        <v>0</v>
      </c>
    </row>
    <row r="1694" spans="1:11" x14ac:dyDescent="0.25">
      <c r="A1694" t="str">
        <f>"2205"</f>
        <v>2205</v>
      </c>
      <c r="B1694" t="str">
        <f t="shared" si="103"/>
        <v>1</v>
      </c>
      <c r="C1694" t="str">
        <f t="shared" si="102"/>
        <v>90</v>
      </c>
      <c r="D1694" t="str">
        <f>"25"</f>
        <v>25</v>
      </c>
      <c r="E1694" t="str">
        <f>"1-90-25"</f>
        <v>1-90-25</v>
      </c>
      <c r="F1694" t="s">
        <v>15</v>
      </c>
      <c r="G1694" t="s">
        <v>18</v>
      </c>
      <c r="H1694" t="s">
        <v>19</v>
      </c>
      <c r="I1694">
        <v>1</v>
      </c>
      <c r="J1694">
        <v>0</v>
      </c>
      <c r="K1694">
        <v>0</v>
      </c>
    </row>
    <row r="1695" spans="1:11" x14ac:dyDescent="0.25">
      <c r="A1695" t="str">
        <f>"2206"</f>
        <v>2206</v>
      </c>
      <c r="B1695" t="str">
        <f t="shared" si="103"/>
        <v>1</v>
      </c>
      <c r="C1695" t="str">
        <f t="shared" si="102"/>
        <v>90</v>
      </c>
      <c r="D1695" t="str">
        <f>"12"</f>
        <v>12</v>
      </c>
      <c r="E1695" t="str">
        <f>"1-90-12"</f>
        <v>1-90-12</v>
      </c>
      <c r="F1695" t="s">
        <v>15</v>
      </c>
      <c r="G1695" t="s">
        <v>16</v>
      </c>
      <c r="H1695" t="s">
        <v>17</v>
      </c>
      <c r="I1695">
        <v>0</v>
      </c>
      <c r="J1695">
        <v>1</v>
      </c>
      <c r="K1695">
        <v>0</v>
      </c>
    </row>
    <row r="1696" spans="1:11" x14ac:dyDescent="0.25">
      <c r="A1696" t="str">
        <f>"2207"</f>
        <v>2207</v>
      </c>
      <c r="B1696" t="str">
        <f t="shared" si="103"/>
        <v>1</v>
      </c>
      <c r="C1696" t="str">
        <f t="shared" si="102"/>
        <v>90</v>
      </c>
      <c r="D1696" t="str">
        <f>"14"</f>
        <v>14</v>
      </c>
      <c r="E1696" t="str">
        <f>"1-90-14"</f>
        <v>1-90-14</v>
      </c>
      <c r="F1696" t="s">
        <v>15</v>
      </c>
      <c r="G1696" t="s">
        <v>18</v>
      </c>
      <c r="H1696" t="s">
        <v>19</v>
      </c>
      <c r="I1696">
        <v>1</v>
      </c>
      <c r="J1696">
        <v>0</v>
      </c>
      <c r="K1696">
        <v>0</v>
      </c>
    </row>
    <row r="1697" spans="1:11" x14ac:dyDescent="0.25">
      <c r="A1697" t="str">
        <f>"2208"</f>
        <v>2208</v>
      </c>
      <c r="B1697" t="str">
        <f t="shared" si="103"/>
        <v>1</v>
      </c>
      <c r="C1697" t="str">
        <f t="shared" si="102"/>
        <v>90</v>
      </c>
      <c r="D1697" t="str">
        <f>"4"</f>
        <v>4</v>
      </c>
      <c r="E1697" t="str">
        <f>"1-90-4"</f>
        <v>1-90-4</v>
      </c>
      <c r="F1697" t="s">
        <v>15</v>
      </c>
      <c r="G1697" t="s">
        <v>18</v>
      </c>
      <c r="H1697" t="s">
        <v>19</v>
      </c>
      <c r="I1697">
        <v>1</v>
      </c>
      <c r="J1697">
        <v>0</v>
      </c>
      <c r="K1697">
        <v>0</v>
      </c>
    </row>
    <row r="1698" spans="1:11" x14ac:dyDescent="0.25">
      <c r="A1698" t="str">
        <f>"2209"</f>
        <v>2209</v>
      </c>
      <c r="B1698" t="str">
        <f t="shared" si="103"/>
        <v>1</v>
      </c>
      <c r="C1698" t="str">
        <f t="shared" si="102"/>
        <v>90</v>
      </c>
      <c r="D1698" t="str">
        <f>"10"</f>
        <v>10</v>
      </c>
      <c r="E1698" t="str">
        <f>"1-90-10"</f>
        <v>1-90-10</v>
      </c>
      <c r="F1698" t="s">
        <v>15</v>
      </c>
      <c r="G1698" t="s">
        <v>18</v>
      </c>
      <c r="H1698" t="s">
        <v>19</v>
      </c>
      <c r="I1698">
        <v>1</v>
      </c>
      <c r="J1698">
        <v>0</v>
      </c>
      <c r="K1698">
        <v>0</v>
      </c>
    </row>
    <row r="1699" spans="1:11" x14ac:dyDescent="0.25">
      <c r="A1699" t="str">
        <f>"2210"</f>
        <v>2210</v>
      </c>
      <c r="B1699" t="str">
        <f t="shared" si="103"/>
        <v>1</v>
      </c>
      <c r="C1699" t="str">
        <f t="shared" si="102"/>
        <v>90</v>
      </c>
      <c r="D1699" t="str">
        <f>"2"</f>
        <v>2</v>
      </c>
      <c r="E1699" t="str">
        <f>"1-90-2"</f>
        <v>1-90-2</v>
      </c>
      <c r="F1699" t="s">
        <v>15</v>
      </c>
      <c r="G1699" t="s">
        <v>18</v>
      </c>
      <c r="H1699" t="s">
        <v>19</v>
      </c>
      <c r="I1699">
        <v>0</v>
      </c>
      <c r="J1699">
        <v>1</v>
      </c>
      <c r="K1699">
        <v>0</v>
      </c>
    </row>
    <row r="1700" spans="1:11" x14ac:dyDescent="0.25">
      <c r="A1700" t="str">
        <f>"2211"</f>
        <v>2211</v>
      </c>
      <c r="B1700" t="str">
        <f t="shared" si="103"/>
        <v>1</v>
      </c>
      <c r="C1700" t="str">
        <f t="shared" si="102"/>
        <v>90</v>
      </c>
      <c r="D1700" t="str">
        <f>"15"</f>
        <v>15</v>
      </c>
      <c r="E1700" t="str">
        <f>"1-90-15"</f>
        <v>1-90-15</v>
      </c>
      <c r="F1700" t="s">
        <v>15</v>
      </c>
      <c r="G1700" t="s">
        <v>18</v>
      </c>
      <c r="H1700" t="s">
        <v>19</v>
      </c>
      <c r="I1700">
        <v>0</v>
      </c>
      <c r="J1700">
        <v>0</v>
      </c>
      <c r="K1700">
        <v>0</v>
      </c>
    </row>
    <row r="1701" spans="1:11" x14ac:dyDescent="0.25">
      <c r="A1701" t="str">
        <f>"2212"</f>
        <v>2212</v>
      </c>
      <c r="B1701" t="str">
        <f t="shared" si="103"/>
        <v>1</v>
      </c>
      <c r="C1701" t="str">
        <f t="shared" ref="C1701:C1722" si="104">"91"</f>
        <v>91</v>
      </c>
      <c r="D1701" t="str">
        <f>"21"</f>
        <v>21</v>
      </c>
      <c r="E1701" t="str">
        <f>"1-91-21"</f>
        <v>1-91-21</v>
      </c>
      <c r="F1701" t="s">
        <v>15</v>
      </c>
      <c r="G1701" t="s">
        <v>20</v>
      </c>
      <c r="H1701" t="s">
        <v>21</v>
      </c>
      <c r="I1701">
        <v>1</v>
      </c>
      <c r="J1701">
        <v>0</v>
      </c>
      <c r="K1701">
        <v>0</v>
      </c>
    </row>
    <row r="1702" spans="1:11" x14ac:dyDescent="0.25">
      <c r="A1702" t="str">
        <f>"2213"</f>
        <v>2213</v>
      </c>
      <c r="B1702" t="str">
        <f t="shared" si="103"/>
        <v>1</v>
      </c>
      <c r="C1702" t="str">
        <f t="shared" si="104"/>
        <v>91</v>
      </c>
      <c r="D1702" t="str">
        <f>"20"</f>
        <v>20</v>
      </c>
      <c r="E1702" t="str">
        <f>"1-91-20"</f>
        <v>1-91-20</v>
      </c>
      <c r="F1702" t="s">
        <v>15</v>
      </c>
      <c r="G1702" t="s">
        <v>20</v>
      </c>
      <c r="H1702" t="s">
        <v>21</v>
      </c>
      <c r="I1702">
        <v>0</v>
      </c>
      <c r="J1702">
        <v>0</v>
      </c>
      <c r="K1702">
        <v>1</v>
      </c>
    </row>
    <row r="1703" spans="1:11" x14ac:dyDescent="0.25">
      <c r="A1703" t="str">
        <f>"2214"</f>
        <v>2214</v>
      </c>
      <c r="B1703" t="str">
        <f t="shared" si="103"/>
        <v>1</v>
      </c>
      <c r="C1703" t="str">
        <f t="shared" si="104"/>
        <v>91</v>
      </c>
      <c r="D1703" t="str">
        <f>"17"</f>
        <v>17</v>
      </c>
      <c r="E1703" t="str">
        <f>"1-91-17"</f>
        <v>1-91-17</v>
      </c>
      <c r="F1703" t="s">
        <v>15</v>
      </c>
      <c r="G1703" t="s">
        <v>20</v>
      </c>
      <c r="H1703" t="s">
        <v>21</v>
      </c>
      <c r="I1703">
        <v>1</v>
      </c>
      <c r="J1703">
        <v>0</v>
      </c>
      <c r="K1703">
        <v>0</v>
      </c>
    </row>
    <row r="1704" spans="1:11" x14ac:dyDescent="0.25">
      <c r="A1704" t="str">
        <f>"2215"</f>
        <v>2215</v>
      </c>
      <c r="B1704" t="str">
        <f t="shared" si="103"/>
        <v>1</v>
      </c>
      <c r="C1704" t="str">
        <f t="shared" si="104"/>
        <v>91</v>
      </c>
      <c r="D1704" t="str">
        <f>"15"</f>
        <v>15</v>
      </c>
      <c r="E1704" t="str">
        <f>"1-91-15"</f>
        <v>1-91-15</v>
      </c>
      <c r="F1704" t="s">
        <v>15</v>
      </c>
      <c r="G1704" t="s">
        <v>20</v>
      </c>
      <c r="H1704" t="s">
        <v>21</v>
      </c>
      <c r="I1704">
        <v>0</v>
      </c>
      <c r="J1704">
        <v>1</v>
      </c>
      <c r="K1704">
        <v>0</v>
      </c>
    </row>
    <row r="1705" spans="1:11" x14ac:dyDescent="0.25">
      <c r="A1705" t="str">
        <f>"2216"</f>
        <v>2216</v>
      </c>
      <c r="B1705" t="str">
        <f t="shared" si="103"/>
        <v>1</v>
      </c>
      <c r="C1705" t="str">
        <f t="shared" si="104"/>
        <v>91</v>
      </c>
      <c r="D1705" t="str">
        <f>"6"</f>
        <v>6</v>
      </c>
      <c r="E1705" t="str">
        <f>"1-91-6"</f>
        <v>1-91-6</v>
      </c>
      <c r="F1705" t="s">
        <v>15</v>
      </c>
      <c r="G1705" t="s">
        <v>20</v>
      </c>
      <c r="H1705" t="s">
        <v>21</v>
      </c>
      <c r="I1705">
        <v>1</v>
      </c>
      <c r="J1705">
        <v>0</v>
      </c>
      <c r="K1705">
        <v>0</v>
      </c>
    </row>
    <row r="1706" spans="1:11" x14ac:dyDescent="0.25">
      <c r="A1706" t="str">
        <f>"2217"</f>
        <v>2217</v>
      </c>
      <c r="B1706" t="str">
        <f t="shared" si="103"/>
        <v>1</v>
      </c>
      <c r="C1706" t="str">
        <f t="shared" si="104"/>
        <v>91</v>
      </c>
      <c r="D1706" t="str">
        <f>"16"</f>
        <v>16</v>
      </c>
      <c r="E1706" t="str">
        <f>"1-91-16"</f>
        <v>1-91-16</v>
      </c>
      <c r="F1706" t="s">
        <v>15</v>
      </c>
      <c r="G1706" t="s">
        <v>20</v>
      </c>
      <c r="H1706" t="s">
        <v>21</v>
      </c>
      <c r="I1706">
        <v>0</v>
      </c>
      <c r="J1706">
        <v>1</v>
      </c>
      <c r="K1706">
        <v>0</v>
      </c>
    </row>
    <row r="1707" spans="1:11" x14ac:dyDescent="0.25">
      <c r="A1707" t="str">
        <f>"2218"</f>
        <v>2218</v>
      </c>
      <c r="B1707" t="str">
        <f t="shared" si="103"/>
        <v>1</v>
      </c>
      <c r="C1707" t="str">
        <f t="shared" si="104"/>
        <v>91</v>
      </c>
      <c r="D1707" t="str">
        <f>"18"</f>
        <v>18</v>
      </c>
      <c r="E1707" t="str">
        <f>"1-91-18"</f>
        <v>1-91-18</v>
      </c>
      <c r="F1707" t="s">
        <v>15</v>
      </c>
      <c r="G1707" t="s">
        <v>20</v>
      </c>
      <c r="H1707" t="s">
        <v>21</v>
      </c>
      <c r="I1707">
        <v>1</v>
      </c>
      <c r="J1707">
        <v>0</v>
      </c>
      <c r="K1707">
        <v>0</v>
      </c>
    </row>
    <row r="1708" spans="1:11" x14ac:dyDescent="0.25">
      <c r="A1708" t="str">
        <f>"2219"</f>
        <v>2219</v>
      </c>
      <c r="B1708" t="str">
        <f t="shared" si="103"/>
        <v>1</v>
      </c>
      <c r="C1708" t="str">
        <f t="shared" si="104"/>
        <v>91</v>
      </c>
      <c r="D1708" t="str">
        <f>"7"</f>
        <v>7</v>
      </c>
      <c r="E1708" t="str">
        <f>"1-91-7"</f>
        <v>1-91-7</v>
      </c>
      <c r="F1708" t="s">
        <v>15</v>
      </c>
      <c r="G1708" t="s">
        <v>20</v>
      </c>
      <c r="H1708" t="s">
        <v>21</v>
      </c>
      <c r="I1708">
        <v>1</v>
      </c>
      <c r="J1708">
        <v>0</v>
      </c>
      <c r="K1708">
        <v>0</v>
      </c>
    </row>
    <row r="1709" spans="1:11" x14ac:dyDescent="0.25">
      <c r="A1709" t="str">
        <f>"2220"</f>
        <v>2220</v>
      </c>
      <c r="B1709" t="str">
        <f t="shared" si="103"/>
        <v>1</v>
      </c>
      <c r="C1709" t="str">
        <f t="shared" si="104"/>
        <v>91</v>
      </c>
      <c r="D1709" t="str">
        <f>"19"</f>
        <v>19</v>
      </c>
      <c r="E1709" t="str">
        <f>"1-91-19"</f>
        <v>1-91-19</v>
      </c>
      <c r="F1709" t="s">
        <v>15</v>
      </c>
      <c r="G1709" t="s">
        <v>20</v>
      </c>
      <c r="H1709" t="s">
        <v>21</v>
      </c>
      <c r="I1709">
        <v>1</v>
      </c>
      <c r="J1709">
        <v>0</v>
      </c>
      <c r="K1709">
        <v>0</v>
      </c>
    </row>
    <row r="1710" spans="1:11" x14ac:dyDescent="0.25">
      <c r="A1710" t="str">
        <f>"2221"</f>
        <v>2221</v>
      </c>
      <c r="B1710" t="str">
        <f t="shared" si="103"/>
        <v>1</v>
      </c>
      <c r="C1710" t="str">
        <f t="shared" si="104"/>
        <v>91</v>
      </c>
      <c r="D1710" t="str">
        <f>"9"</f>
        <v>9</v>
      </c>
      <c r="E1710" t="str">
        <f>"1-91-9"</f>
        <v>1-91-9</v>
      </c>
      <c r="F1710" t="s">
        <v>15</v>
      </c>
      <c r="G1710" t="s">
        <v>20</v>
      </c>
      <c r="H1710" t="s">
        <v>21</v>
      </c>
      <c r="I1710">
        <v>0</v>
      </c>
      <c r="J1710">
        <v>0</v>
      </c>
      <c r="K1710">
        <v>1</v>
      </c>
    </row>
    <row r="1711" spans="1:11" x14ac:dyDescent="0.25">
      <c r="A1711" t="str">
        <f>"2222"</f>
        <v>2222</v>
      </c>
      <c r="B1711" t="str">
        <f t="shared" si="103"/>
        <v>1</v>
      </c>
      <c r="C1711" t="str">
        <f t="shared" si="104"/>
        <v>91</v>
      </c>
      <c r="D1711" t="str">
        <f>"22"</f>
        <v>22</v>
      </c>
      <c r="E1711" t="str">
        <f>"1-91-22"</f>
        <v>1-91-22</v>
      </c>
      <c r="F1711" t="s">
        <v>15</v>
      </c>
      <c r="G1711" t="s">
        <v>20</v>
      </c>
      <c r="H1711" t="s">
        <v>21</v>
      </c>
      <c r="I1711">
        <v>1</v>
      </c>
      <c r="J1711">
        <v>0</v>
      </c>
      <c r="K1711">
        <v>0</v>
      </c>
    </row>
    <row r="1712" spans="1:11" x14ac:dyDescent="0.25">
      <c r="A1712" t="str">
        <f>"2223"</f>
        <v>2223</v>
      </c>
      <c r="B1712" t="str">
        <f t="shared" si="103"/>
        <v>1</v>
      </c>
      <c r="C1712" t="str">
        <f t="shared" si="104"/>
        <v>91</v>
      </c>
      <c r="D1712" t="str">
        <f>"11"</f>
        <v>11</v>
      </c>
      <c r="E1712" t="str">
        <f>"1-91-11"</f>
        <v>1-91-11</v>
      </c>
      <c r="F1712" t="s">
        <v>15</v>
      </c>
      <c r="G1712" t="s">
        <v>20</v>
      </c>
      <c r="H1712" t="s">
        <v>21</v>
      </c>
      <c r="I1712">
        <v>0</v>
      </c>
      <c r="J1712">
        <v>1</v>
      </c>
      <c r="K1712">
        <v>0</v>
      </c>
    </row>
    <row r="1713" spans="1:11" x14ac:dyDescent="0.25">
      <c r="A1713" t="str">
        <f>"2224"</f>
        <v>2224</v>
      </c>
      <c r="B1713" t="str">
        <f t="shared" si="103"/>
        <v>1</v>
      </c>
      <c r="C1713" t="str">
        <f t="shared" si="104"/>
        <v>91</v>
      </c>
      <c r="D1713" t="str">
        <f>"13"</f>
        <v>13</v>
      </c>
      <c r="E1713" t="str">
        <f>"1-91-13"</f>
        <v>1-91-13</v>
      </c>
      <c r="F1713" t="s">
        <v>15</v>
      </c>
      <c r="G1713" t="s">
        <v>20</v>
      </c>
      <c r="H1713" t="s">
        <v>21</v>
      </c>
      <c r="I1713">
        <v>0</v>
      </c>
      <c r="J1713">
        <v>1</v>
      </c>
      <c r="K1713">
        <v>0</v>
      </c>
    </row>
    <row r="1714" spans="1:11" x14ac:dyDescent="0.25">
      <c r="A1714" t="str">
        <f>"2225"</f>
        <v>2225</v>
      </c>
      <c r="B1714" t="str">
        <f t="shared" si="103"/>
        <v>1</v>
      </c>
      <c r="C1714" t="str">
        <f t="shared" si="104"/>
        <v>91</v>
      </c>
      <c r="D1714" t="str">
        <f>"10"</f>
        <v>10</v>
      </c>
      <c r="E1714" t="str">
        <f>"1-91-10"</f>
        <v>1-91-10</v>
      </c>
      <c r="F1714" t="s">
        <v>15</v>
      </c>
      <c r="G1714" t="s">
        <v>20</v>
      </c>
      <c r="H1714" t="s">
        <v>21</v>
      </c>
      <c r="I1714">
        <v>0</v>
      </c>
      <c r="J1714">
        <v>1</v>
      </c>
      <c r="K1714">
        <v>0</v>
      </c>
    </row>
    <row r="1715" spans="1:11" x14ac:dyDescent="0.25">
      <c r="A1715" t="str">
        <f>"2226"</f>
        <v>2226</v>
      </c>
      <c r="B1715" t="str">
        <f t="shared" si="103"/>
        <v>1</v>
      </c>
      <c r="C1715" t="str">
        <f t="shared" si="104"/>
        <v>91</v>
      </c>
      <c r="D1715" t="str">
        <f>"1"</f>
        <v>1</v>
      </c>
      <c r="E1715" t="str">
        <f>"1-91-1"</f>
        <v>1-91-1</v>
      </c>
      <c r="F1715" t="s">
        <v>15</v>
      </c>
      <c r="G1715" t="s">
        <v>20</v>
      </c>
      <c r="H1715" t="s">
        <v>21</v>
      </c>
      <c r="I1715">
        <v>0</v>
      </c>
      <c r="J1715">
        <v>0</v>
      </c>
      <c r="K1715">
        <v>1</v>
      </c>
    </row>
    <row r="1716" spans="1:11" x14ac:dyDescent="0.25">
      <c r="A1716" t="str">
        <f>"2227"</f>
        <v>2227</v>
      </c>
      <c r="B1716" t="str">
        <f t="shared" si="103"/>
        <v>1</v>
      </c>
      <c r="C1716" t="str">
        <f t="shared" si="104"/>
        <v>91</v>
      </c>
      <c r="D1716" t="str">
        <f>"5"</f>
        <v>5</v>
      </c>
      <c r="E1716" t="str">
        <f>"1-91-5"</f>
        <v>1-91-5</v>
      </c>
      <c r="F1716" t="s">
        <v>15</v>
      </c>
      <c r="G1716" t="s">
        <v>20</v>
      </c>
      <c r="H1716" t="s">
        <v>21</v>
      </c>
      <c r="I1716">
        <v>1</v>
      </c>
      <c r="J1716">
        <v>0</v>
      </c>
      <c r="K1716">
        <v>0</v>
      </c>
    </row>
    <row r="1717" spans="1:11" x14ac:dyDescent="0.25">
      <c r="A1717" t="str">
        <f>"2228"</f>
        <v>2228</v>
      </c>
      <c r="B1717" t="str">
        <f t="shared" si="103"/>
        <v>1</v>
      </c>
      <c r="C1717" t="str">
        <f t="shared" si="104"/>
        <v>91</v>
      </c>
      <c r="D1717" t="str">
        <f>"8"</f>
        <v>8</v>
      </c>
      <c r="E1717" t="str">
        <f>"1-91-8"</f>
        <v>1-91-8</v>
      </c>
      <c r="F1717" t="s">
        <v>15</v>
      </c>
      <c r="G1717" t="s">
        <v>20</v>
      </c>
      <c r="H1717" t="s">
        <v>21</v>
      </c>
      <c r="I1717">
        <v>0</v>
      </c>
      <c r="J1717">
        <v>0</v>
      </c>
      <c r="K1717">
        <v>1</v>
      </c>
    </row>
    <row r="1718" spans="1:11" x14ac:dyDescent="0.25">
      <c r="A1718" t="str">
        <f>"2229"</f>
        <v>2229</v>
      </c>
      <c r="B1718" t="str">
        <f t="shared" si="103"/>
        <v>1</v>
      </c>
      <c r="C1718" t="str">
        <f t="shared" si="104"/>
        <v>91</v>
      </c>
      <c r="D1718" t="str">
        <f>"12"</f>
        <v>12</v>
      </c>
      <c r="E1718" t="str">
        <f>"1-91-12"</f>
        <v>1-91-12</v>
      </c>
      <c r="F1718" t="s">
        <v>15</v>
      </c>
      <c r="G1718" t="s">
        <v>20</v>
      </c>
      <c r="H1718" t="s">
        <v>21</v>
      </c>
      <c r="I1718">
        <v>0</v>
      </c>
      <c r="J1718">
        <v>0</v>
      </c>
      <c r="K1718">
        <v>1</v>
      </c>
    </row>
    <row r="1719" spans="1:11" x14ac:dyDescent="0.25">
      <c r="A1719" t="str">
        <f>"2230"</f>
        <v>2230</v>
      </c>
      <c r="B1719" t="str">
        <f t="shared" si="103"/>
        <v>1</v>
      </c>
      <c r="C1719" t="str">
        <f t="shared" si="104"/>
        <v>91</v>
      </c>
      <c r="D1719" t="str">
        <f>"3"</f>
        <v>3</v>
      </c>
      <c r="E1719" t="str">
        <f>"1-91-3"</f>
        <v>1-91-3</v>
      </c>
      <c r="F1719" t="s">
        <v>15</v>
      </c>
      <c r="G1719" t="s">
        <v>20</v>
      </c>
      <c r="H1719" t="s">
        <v>21</v>
      </c>
      <c r="I1719">
        <v>0</v>
      </c>
      <c r="J1719">
        <v>0</v>
      </c>
      <c r="K1719">
        <v>1</v>
      </c>
    </row>
    <row r="1720" spans="1:11" x14ac:dyDescent="0.25">
      <c r="A1720" t="str">
        <f>"2231"</f>
        <v>2231</v>
      </c>
      <c r="B1720" t="str">
        <f t="shared" si="103"/>
        <v>1</v>
      </c>
      <c r="C1720" t="str">
        <f t="shared" si="104"/>
        <v>91</v>
      </c>
      <c r="D1720" t="str">
        <f>"4"</f>
        <v>4</v>
      </c>
      <c r="E1720" t="str">
        <f>"1-91-4"</f>
        <v>1-91-4</v>
      </c>
      <c r="F1720" t="s">
        <v>15</v>
      </c>
      <c r="G1720" t="s">
        <v>20</v>
      </c>
      <c r="H1720" t="s">
        <v>21</v>
      </c>
      <c r="I1720">
        <v>0</v>
      </c>
      <c r="J1720">
        <v>0</v>
      </c>
      <c r="K1720">
        <v>0</v>
      </c>
    </row>
    <row r="1721" spans="1:11" x14ac:dyDescent="0.25">
      <c r="A1721" t="str">
        <f>"2232"</f>
        <v>2232</v>
      </c>
      <c r="B1721" t="str">
        <f t="shared" si="103"/>
        <v>1</v>
      </c>
      <c r="C1721" t="str">
        <f t="shared" si="104"/>
        <v>91</v>
      </c>
      <c r="D1721" t="str">
        <f>"14"</f>
        <v>14</v>
      </c>
      <c r="E1721" t="str">
        <f>"1-91-14"</f>
        <v>1-91-14</v>
      </c>
      <c r="F1721" t="s">
        <v>15</v>
      </c>
      <c r="G1721" t="s">
        <v>20</v>
      </c>
      <c r="H1721" t="s">
        <v>21</v>
      </c>
      <c r="I1721">
        <v>0</v>
      </c>
      <c r="J1721">
        <v>0</v>
      </c>
      <c r="K1721">
        <v>0</v>
      </c>
    </row>
    <row r="1722" spans="1:11" x14ac:dyDescent="0.25">
      <c r="A1722" t="str">
        <f>"2233"</f>
        <v>2233</v>
      </c>
      <c r="B1722" t="str">
        <f t="shared" si="103"/>
        <v>1</v>
      </c>
      <c r="C1722" t="str">
        <f t="shared" si="104"/>
        <v>91</v>
      </c>
      <c r="D1722" t="str">
        <f>"2"</f>
        <v>2</v>
      </c>
      <c r="E1722" t="str">
        <f>"1-91-2"</f>
        <v>1-91-2</v>
      </c>
      <c r="F1722" t="s">
        <v>15</v>
      </c>
      <c r="G1722" t="s">
        <v>20</v>
      </c>
      <c r="H1722" t="s">
        <v>21</v>
      </c>
      <c r="I1722">
        <v>0</v>
      </c>
      <c r="J1722">
        <v>0</v>
      </c>
      <c r="K1722">
        <v>0</v>
      </c>
    </row>
    <row r="1723" spans="1:11" x14ac:dyDescent="0.25">
      <c r="A1723" t="str">
        <f>"2234"</f>
        <v>2234</v>
      </c>
      <c r="B1723" t="str">
        <f t="shared" si="103"/>
        <v>1</v>
      </c>
      <c r="C1723" t="str">
        <f t="shared" ref="C1723:C1747" si="105">"92"</f>
        <v>92</v>
      </c>
      <c r="D1723" t="str">
        <f>"15"</f>
        <v>15</v>
      </c>
      <c r="E1723" t="str">
        <f>"1-92-15"</f>
        <v>1-92-15</v>
      </c>
      <c r="F1723" t="s">
        <v>15</v>
      </c>
      <c r="G1723" t="s">
        <v>18</v>
      </c>
      <c r="H1723" t="s">
        <v>19</v>
      </c>
      <c r="I1723">
        <v>0</v>
      </c>
      <c r="J1723">
        <v>1</v>
      </c>
      <c r="K1723">
        <v>0</v>
      </c>
    </row>
    <row r="1724" spans="1:11" x14ac:dyDescent="0.25">
      <c r="A1724" t="str">
        <f>"2235"</f>
        <v>2235</v>
      </c>
      <c r="B1724" t="str">
        <f t="shared" si="103"/>
        <v>1</v>
      </c>
      <c r="C1724" t="str">
        <f t="shared" si="105"/>
        <v>92</v>
      </c>
      <c r="D1724" t="str">
        <f>"13"</f>
        <v>13</v>
      </c>
      <c r="E1724" t="str">
        <f>"1-92-13"</f>
        <v>1-92-13</v>
      </c>
      <c r="F1724" t="s">
        <v>15</v>
      </c>
      <c r="G1724" t="s">
        <v>18</v>
      </c>
      <c r="H1724" t="s">
        <v>19</v>
      </c>
      <c r="I1724">
        <v>1</v>
      </c>
      <c r="J1724">
        <v>0</v>
      </c>
      <c r="K1724">
        <v>0</v>
      </c>
    </row>
    <row r="1725" spans="1:11" x14ac:dyDescent="0.25">
      <c r="A1725" t="str">
        <f>"2236"</f>
        <v>2236</v>
      </c>
      <c r="B1725" t="str">
        <f t="shared" si="103"/>
        <v>1</v>
      </c>
      <c r="C1725" t="str">
        <f t="shared" si="105"/>
        <v>92</v>
      </c>
      <c r="D1725" t="str">
        <f>"16"</f>
        <v>16</v>
      </c>
      <c r="E1725" t="str">
        <f>"1-92-16"</f>
        <v>1-92-16</v>
      </c>
      <c r="F1725" t="s">
        <v>15</v>
      </c>
      <c r="G1725" t="s">
        <v>18</v>
      </c>
      <c r="H1725" t="s">
        <v>19</v>
      </c>
      <c r="I1725">
        <v>0</v>
      </c>
      <c r="J1725">
        <v>1</v>
      </c>
      <c r="K1725">
        <v>0</v>
      </c>
    </row>
    <row r="1726" spans="1:11" x14ac:dyDescent="0.25">
      <c r="A1726" t="str">
        <f>"2237"</f>
        <v>2237</v>
      </c>
      <c r="B1726" t="str">
        <f t="shared" si="103"/>
        <v>1</v>
      </c>
      <c r="C1726" t="str">
        <f t="shared" si="105"/>
        <v>92</v>
      </c>
      <c r="D1726" t="str">
        <f>"12"</f>
        <v>12</v>
      </c>
      <c r="E1726" t="str">
        <f>"1-92-12"</f>
        <v>1-92-12</v>
      </c>
      <c r="F1726" t="s">
        <v>15</v>
      </c>
      <c r="G1726" t="s">
        <v>18</v>
      </c>
      <c r="H1726" t="s">
        <v>19</v>
      </c>
      <c r="I1726">
        <v>1</v>
      </c>
      <c r="J1726">
        <v>0</v>
      </c>
      <c r="K1726">
        <v>0</v>
      </c>
    </row>
    <row r="1727" spans="1:11" x14ac:dyDescent="0.25">
      <c r="A1727" t="str">
        <f>"2238"</f>
        <v>2238</v>
      </c>
      <c r="B1727" t="str">
        <f t="shared" si="103"/>
        <v>1</v>
      </c>
      <c r="C1727" t="str">
        <f t="shared" si="105"/>
        <v>92</v>
      </c>
      <c r="D1727" t="str">
        <f>"17"</f>
        <v>17</v>
      </c>
      <c r="E1727" t="str">
        <f>"1-92-17"</f>
        <v>1-92-17</v>
      </c>
      <c r="F1727" t="s">
        <v>15</v>
      </c>
      <c r="G1727" t="s">
        <v>18</v>
      </c>
      <c r="H1727" t="s">
        <v>19</v>
      </c>
      <c r="I1727">
        <v>0</v>
      </c>
      <c r="J1727">
        <v>1</v>
      </c>
      <c r="K1727">
        <v>0</v>
      </c>
    </row>
    <row r="1728" spans="1:11" x14ac:dyDescent="0.25">
      <c r="A1728" t="str">
        <f>"2239"</f>
        <v>2239</v>
      </c>
      <c r="B1728" t="str">
        <f t="shared" si="103"/>
        <v>1</v>
      </c>
      <c r="C1728" t="str">
        <f t="shared" si="105"/>
        <v>92</v>
      </c>
      <c r="D1728" t="str">
        <f>"8"</f>
        <v>8</v>
      </c>
      <c r="E1728" t="str">
        <f>"1-92-8"</f>
        <v>1-92-8</v>
      </c>
      <c r="F1728" t="s">
        <v>15</v>
      </c>
      <c r="G1728" t="s">
        <v>18</v>
      </c>
      <c r="H1728" t="s">
        <v>19</v>
      </c>
      <c r="I1728">
        <v>0</v>
      </c>
      <c r="J1728">
        <v>0</v>
      </c>
      <c r="K1728">
        <v>1</v>
      </c>
    </row>
    <row r="1729" spans="1:11" x14ac:dyDescent="0.25">
      <c r="A1729" t="str">
        <f>"2240"</f>
        <v>2240</v>
      </c>
      <c r="B1729" t="str">
        <f t="shared" si="103"/>
        <v>1</v>
      </c>
      <c r="C1729" t="str">
        <f t="shared" si="105"/>
        <v>92</v>
      </c>
      <c r="D1729" t="str">
        <f>"18"</f>
        <v>18</v>
      </c>
      <c r="E1729" t="str">
        <f>"1-92-18"</f>
        <v>1-92-18</v>
      </c>
      <c r="F1729" t="s">
        <v>15</v>
      </c>
      <c r="G1729" t="s">
        <v>18</v>
      </c>
      <c r="H1729" t="s">
        <v>19</v>
      </c>
      <c r="I1729">
        <v>1</v>
      </c>
      <c r="J1729">
        <v>0</v>
      </c>
      <c r="K1729">
        <v>0</v>
      </c>
    </row>
    <row r="1730" spans="1:11" x14ac:dyDescent="0.25">
      <c r="A1730" t="str">
        <f>"2241"</f>
        <v>2241</v>
      </c>
      <c r="B1730" t="str">
        <f t="shared" si="103"/>
        <v>1</v>
      </c>
      <c r="C1730" t="str">
        <f t="shared" si="105"/>
        <v>92</v>
      </c>
      <c r="D1730" t="str">
        <f>"19"</f>
        <v>19</v>
      </c>
      <c r="E1730" t="str">
        <f>"1-92-19"</f>
        <v>1-92-19</v>
      </c>
      <c r="F1730" t="s">
        <v>15</v>
      </c>
      <c r="G1730" t="s">
        <v>18</v>
      </c>
      <c r="H1730" t="s">
        <v>19</v>
      </c>
      <c r="I1730">
        <v>0</v>
      </c>
      <c r="J1730">
        <v>0</v>
      </c>
      <c r="K1730">
        <v>1</v>
      </c>
    </row>
    <row r="1731" spans="1:11" x14ac:dyDescent="0.25">
      <c r="A1731" t="str">
        <f>"2242"</f>
        <v>2242</v>
      </c>
      <c r="B1731" t="str">
        <f t="shared" si="103"/>
        <v>1</v>
      </c>
      <c r="C1731" t="str">
        <f t="shared" si="105"/>
        <v>92</v>
      </c>
      <c r="D1731" t="str">
        <f>"6"</f>
        <v>6</v>
      </c>
      <c r="E1731" t="str">
        <f>"1-92-6"</f>
        <v>1-92-6</v>
      </c>
      <c r="F1731" t="s">
        <v>15</v>
      </c>
      <c r="G1731" t="s">
        <v>18</v>
      </c>
      <c r="H1731" t="s">
        <v>19</v>
      </c>
      <c r="I1731">
        <v>0</v>
      </c>
      <c r="J1731">
        <v>1</v>
      </c>
      <c r="K1731">
        <v>0</v>
      </c>
    </row>
    <row r="1732" spans="1:11" x14ac:dyDescent="0.25">
      <c r="A1732" t="str">
        <f>"2243"</f>
        <v>2243</v>
      </c>
      <c r="B1732" t="str">
        <f t="shared" si="103"/>
        <v>1</v>
      </c>
      <c r="C1732" t="str">
        <f t="shared" si="105"/>
        <v>92</v>
      </c>
      <c r="D1732" t="str">
        <f>"20"</f>
        <v>20</v>
      </c>
      <c r="E1732" t="str">
        <f>"1-92-20"</f>
        <v>1-92-20</v>
      </c>
      <c r="F1732" t="s">
        <v>15</v>
      </c>
      <c r="G1732" t="s">
        <v>18</v>
      </c>
      <c r="H1732" t="s">
        <v>19</v>
      </c>
      <c r="I1732">
        <v>0</v>
      </c>
      <c r="J1732">
        <v>0</v>
      </c>
      <c r="K1732">
        <v>1</v>
      </c>
    </row>
    <row r="1733" spans="1:11" x14ac:dyDescent="0.25">
      <c r="A1733" t="str">
        <f>"2244"</f>
        <v>2244</v>
      </c>
      <c r="B1733" t="str">
        <f t="shared" si="103"/>
        <v>1</v>
      </c>
      <c r="C1733" t="str">
        <f t="shared" si="105"/>
        <v>92</v>
      </c>
      <c r="D1733" t="str">
        <f>"4"</f>
        <v>4</v>
      </c>
      <c r="E1733" t="str">
        <f>"1-92-4"</f>
        <v>1-92-4</v>
      </c>
      <c r="F1733" t="s">
        <v>15</v>
      </c>
      <c r="G1733" t="s">
        <v>18</v>
      </c>
      <c r="H1733" t="s">
        <v>19</v>
      </c>
      <c r="I1733">
        <v>1</v>
      </c>
      <c r="J1733">
        <v>0</v>
      </c>
      <c r="K1733">
        <v>0</v>
      </c>
    </row>
    <row r="1734" spans="1:11" x14ac:dyDescent="0.25">
      <c r="A1734" t="str">
        <f>"2245"</f>
        <v>2245</v>
      </c>
      <c r="B1734" t="str">
        <f t="shared" si="103"/>
        <v>1</v>
      </c>
      <c r="C1734" t="str">
        <f t="shared" si="105"/>
        <v>92</v>
      </c>
      <c r="D1734" t="str">
        <f>"21"</f>
        <v>21</v>
      </c>
      <c r="E1734" t="str">
        <f>"1-92-21"</f>
        <v>1-92-21</v>
      </c>
      <c r="F1734" t="s">
        <v>15</v>
      </c>
      <c r="G1734" t="s">
        <v>16</v>
      </c>
      <c r="H1734" t="s">
        <v>17</v>
      </c>
      <c r="I1734">
        <v>0</v>
      </c>
      <c r="J1734">
        <v>0</v>
      </c>
      <c r="K1734">
        <v>1</v>
      </c>
    </row>
    <row r="1735" spans="1:11" x14ac:dyDescent="0.25">
      <c r="A1735" t="str">
        <f>"2246"</f>
        <v>2246</v>
      </c>
      <c r="B1735" t="str">
        <f t="shared" si="103"/>
        <v>1</v>
      </c>
      <c r="C1735" t="str">
        <f t="shared" si="105"/>
        <v>92</v>
      </c>
      <c r="D1735" t="str">
        <f>"22"</f>
        <v>22</v>
      </c>
      <c r="E1735" t="str">
        <f>"1-92-22"</f>
        <v>1-92-22</v>
      </c>
      <c r="F1735" t="s">
        <v>15</v>
      </c>
      <c r="G1735" t="s">
        <v>18</v>
      </c>
      <c r="H1735" t="s">
        <v>19</v>
      </c>
      <c r="I1735">
        <v>1</v>
      </c>
      <c r="J1735">
        <v>0</v>
      </c>
      <c r="K1735">
        <v>0</v>
      </c>
    </row>
    <row r="1736" spans="1:11" x14ac:dyDescent="0.25">
      <c r="A1736" t="str">
        <f>"2247"</f>
        <v>2247</v>
      </c>
      <c r="B1736" t="str">
        <f t="shared" si="103"/>
        <v>1</v>
      </c>
      <c r="C1736" t="str">
        <f t="shared" si="105"/>
        <v>92</v>
      </c>
      <c r="D1736" t="str">
        <f>"14"</f>
        <v>14</v>
      </c>
      <c r="E1736" t="str">
        <f>"1-92-14"</f>
        <v>1-92-14</v>
      </c>
      <c r="F1736" t="s">
        <v>15</v>
      </c>
      <c r="G1736" t="s">
        <v>18</v>
      </c>
      <c r="H1736" t="s">
        <v>19</v>
      </c>
      <c r="I1736">
        <v>0</v>
      </c>
      <c r="J1736">
        <v>0</v>
      </c>
      <c r="K1736">
        <v>1</v>
      </c>
    </row>
    <row r="1737" spans="1:11" x14ac:dyDescent="0.25">
      <c r="A1737" t="str">
        <f>"2248"</f>
        <v>2248</v>
      </c>
      <c r="B1737" t="str">
        <f t="shared" si="103"/>
        <v>1</v>
      </c>
      <c r="C1737" t="str">
        <f t="shared" si="105"/>
        <v>92</v>
      </c>
      <c r="D1737" t="str">
        <f>"23"</f>
        <v>23</v>
      </c>
      <c r="E1737" t="str">
        <f>"1-92-23"</f>
        <v>1-92-23</v>
      </c>
      <c r="F1737" t="s">
        <v>15</v>
      </c>
      <c r="G1737" t="s">
        <v>18</v>
      </c>
      <c r="H1737" t="s">
        <v>19</v>
      </c>
      <c r="I1737">
        <v>0</v>
      </c>
      <c r="J1737">
        <v>1</v>
      </c>
      <c r="K1737">
        <v>0</v>
      </c>
    </row>
    <row r="1738" spans="1:11" x14ac:dyDescent="0.25">
      <c r="A1738" t="str">
        <f>"2249"</f>
        <v>2249</v>
      </c>
      <c r="B1738" t="str">
        <f t="shared" si="103"/>
        <v>1</v>
      </c>
      <c r="C1738" t="str">
        <f t="shared" si="105"/>
        <v>92</v>
      </c>
      <c r="D1738" t="str">
        <f>"11"</f>
        <v>11</v>
      </c>
      <c r="E1738" t="str">
        <f>"1-92-11"</f>
        <v>1-92-11</v>
      </c>
      <c r="F1738" t="s">
        <v>15</v>
      </c>
      <c r="G1738" t="s">
        <v>18</v>
      </c>
      <c r="H1738" t="s">
        <v>19</v>
      </c>
      <c r="I1738">
        <v>0</v>
      </c>
      <c r="J1738">
        <v>1</v>
      </c>
      <c r="K1738">
        <v>0</v>
      </c>
    </row>
    <row r="1739" spans="1:11" x14ac:dyDescent="0.25">
      <c r="A1739" t="str">
        <f>"2250"</f>
        <v>2250</v>
      </c>
      <c r="B1739" t="str">
        <f t="shared" si="103"/>
        <v>1</v>
      </c>
      <c r="C1739" t="str">
        <f t="shared" si="105"/>
        <v>92</v>
      </c>
      <c r="D1739" t="str">
        <f>"24"</f>
        <v>24</v>
      </c>
      <c r="E1739" t="str">
        <f>"1-92-24"</f>
        <v>1-92-24</v>
      </c>
      <c r="F1739" t="s">
        <v>15</v>
      </c>
      <c r="G1739" t="s">
        <v>18</v>
      </c>
      <c r="H1739" t="s">
        <v>19</v>
      </c>
      <c r="I1739">
        <v>0</v>
      </c>
      <c r="J1739">
        <v>1</v>
      </c>
      <c r="K1739">
        <v>0</v>
      </c>
    </row>
    <row r="1740" spans="1:11" x14ac:dyDescent="0.25">
      <c r="A1740" t="str">
        <f>"2251"</f>
        <v>2251</v>
      </c>
      <c r="B1740" t="str">
        <f t="shared" si="103"/>
        <v>1</v>
      </c>
      <c r="C1740" t="str">
        <f t="shared" si="105"/>
        <v>92</v>
      </c>
      <c r="D1740" t="str">
        <f>"10"</f>
        <v>10</v>
      </c>
      <c r="E1740" t="str">
        <f>"1-92-10"</f>
        <v>1-92-10</v>
      </c>
      <c r="F1740" t="s">
        <v>15</v>
      </c>
      <c r="G1740" t="s">
        <v>18</v>
      </c>
      <c r="H1740" t="s">
        <v>19</v>
      </c>
      <c r="I1740">
        <v>0</v>
      </c>
      <c r="J1740">
        <v>0</v>
      </c>
      <c r="K1740">
        <v>1</v>
      </c>
    </row>
    <row r="1741" spans="1:11" x14ac:dyDescent="0.25">
      <c r="A1741" t="str">
        <f>"2252"</f>
        <v>2252</v>
      </c>
      <c r="B1741" t="str">
        <f t="shared" si="103"/>
        <v>1</v>
      </c>
      <c r="C1741" t="str">
        <f t="shared" si="105"/>
        <v>92</v>
      </c>
      <c r="D1741" t="str">
        <f>"25"</f>
        <v>25</v>
      </c>
      <c r="E1741" t="str">
        <f>"1-92-25"</f>
        <v>1-92-25</v>
      </c>
      <c r="F1741" t="s">
        <v>15</v>
      </c>
      <c r="G1741" t="s">
        <v>16</v>
      </c>
      <c r="H1741" t="s">
        <v>17</v>
      </c>
      <c r="I1741">
        <v>1</v>
      </c>
      <c r="J1741">
        <v>0</v>
      </c>
      <c r="K1741">
        <v>0</v>
      </c>
    </row>
    <row r="1742" spans="1:11" x14ac:dyDescent="0.25">
      <c r="A1742" t="str">
        <f>"2253"</f>
        <v>2253</v>
      </c>
      <c r="B1742" t="str">
        <f t="shared" si="103"/>
        <v>1</v>
      </c>
      <c r="C1742" t="str">
        <f t="shared" si="105"/>
        <v>92</v>
      </c>
      <c r="D1742" t="str">
        <f>"7"</f>
        <v>7</v>
      </c>
      <c r="E1742" t="str">
        <f>"1-92-7"</f>
        <v>1-92-7</v>
      </c>
      <c r="F1742" t="s">
        <v>15</v>
      </c>
      <c r="G1742" t="s">
        <v>18</v>
      </c>
      <c r="H1742" t="s">
        <v>19</v>
      </c>
      <c r="I1742">
        <v>0</v>
      </c>
      <c r="J1742">
        <v>0</v>
      </c>
      <c r="K1742">
        <v>1</v>
      </c>
    </row>
    <row r="1743" spans="1:11" x14ac:dyDescent="0.25">
      <c r="A1743" t="str">
        <f>"2254"</f>
        <v>2254</v>
      </c>
      <c r="B1743" t="str">
        <f t="shared" si="103"/>
        <v>1</v>
      </c>
      <c r="C1743" t="str">
        <f t="shared" si="105"/>
        <v>92</v>
      </c>
      <c r="D1743" t="str">
        <f>"3"</f>
        <v>3</v>
      </c>
      <c r="E1743" t="str">
        <f>"1-92-3"</f>
        <v>1-92-3</v>
      </c>
      <c r="F1743" t="s">
        <v>15</v>
      </c>
      <c r="G1743" t="s">
        <v>18</v>
      </c>
      <c r="H1743" t="s">
        <v>19</v>
      </c>
      <c r="I1743">
        <v>1</v>
      </c>
      <c r="J1743">
        <v>0</v>
      </c>
      <c r="K1743">
        <v>0</v>
      </c>
    </row>
    <row r="1744" spans="1:11" x14ac:dyDescent="0.25">
      <c r="A1744" t="str">
        <f>"2255"</f>
        <v>2255</v>
      </c>
      <c r="B1744" t="str">
        <f t="shared" si="103"/>
        <v>1</v>
      </c>
      <c r="C1744" t="str">
        <f t="shared" si="105"/>
        <v>92</v>
      </c>
      <c r="D1744" t="str">
        <f>"9"</f>
        <v>9</v>
      </c>
      <c r="E1744" t="str">
        <f>"1-92-9"</f>
        <v>1-92-9</v>
      </c>
      <c r="F1744" t="s">
        <v>15</v>
      </c>
      <c r="G1744" t="s">
        <v>18</v>
      </c>
      <c r="H1744" t="s">
        <v>19</v>
      </c>
      <c r="I1744">
        <v>0</v>
      </c>
      <c r="J1744">
        <v>0</v>
      </c>
      <c r="K1744">
        <v>1</v>
      </c>
    </row>
    <row r="1745" spans="1:11" x14ac:dyDescent="0.25">
      <c r="A1745" t="str">
        <f>"2256"</f>
        <v>2256</v>
      </c>
      <c r="B1745" t="str">
        <f t="shared" si="103"/>
        <v>1</v>
      </c>
      <c r="C1745" t="str">
        <f t="shared" si="105"/>
        <v>92</v>
      </c>
      <c r="D1745" t="str">
        <f>"5"</f>
        <v>5</v>
      </c>
      <c r="E1745" t="str">
        <f>"1-92-5"</f>
        <v>1-92-5</v>
      </c>
      <c r="F1745" t="s">
        <v>15</v>
      </c>
      <c r="G1745" t="s">
        <v>18</v>
      </c>
      <c r="H1745" t="s">
        <v>19</v>
      </c>
      <c r="I1745">
        <v>0</v>
      </c>
      <c r="J1745">
        <v>1</v>
      </c>
      <c r="K1745">
        <v>0</v>
      </c>
    </row>
    <row r="1746" spans="1:11" x14ac:dyDescent="0.25">
      <c r="A1746" t="str">
        <f>"2257"</f>
        <v>2257</v>
      </c>
      <c r="B1746" t="str">
        <f t="shared" si="103"/>
        <v>1</v>
      </c>
      <c r="C1746" t="str">
        <f t="shared" si="105"/>
        <v>92</v>
      </c>
      <c r="D1746" t="str">
        <f>"1"</f>
        <v>1</v>
      </c>
      <c r="E1746" t="str">
        <f>"1-92-1"</f>
        <v>1-92-1</v>
      </c>
      <c r="F1746" t="s">
        <v>15</v>
      </c>
      <c r="G1746" t="s">
        <v>18</v>
      </c>
      <c r="H1746" t="s">
        <v>19</v>
      </c>
      <c r="I1746">
        <v>0</v>
      </c>
      <c r="J1746">
        <v>0</v>
      </c>
      <c r="K1746">
        <v>0</v>
      </c>
    </row>
    <row r="1747" spans="1:11" x14ac:dyDescent="0.25">
      <c r="A1747" t="str">
        <f>"2258"</f>
        <v>2258</v>
      </c>
      <c r="B1747" t="str">
        <f t="shared" si="103"/>
        <v>1</v>
      </c>
      <c r="C1747" t="str">
        <f t="shared" si="105"/>
        <v>92</v>
      </c>
      <c r="D1747" t="str">
        <f>"2"</f>
        <v>2</v>
      </c>
      <c r="E1747" t="str">
        <f>"1-92-2"</f>
        <v>1-92-2</v>
      </c>
      <c r="F1747" t="s">
        <v>15</v>
      </c>
      <c r="G1747" t="s">
        <v>18</v>
      </c>
      <c r="H1747" t="s">
        <v>19</v>
      </c>
      <c r="I1747">
        <v>0</v>
      </c>
      <c r="J1747">
        <v>0</v>
      </c>
      <c r="K1747">
        <v>0</v>
      </c>
    </row>
    <row r="1748" spans="1:11" x14ac:dyDescent="0.25">
      <c r="A1748" t="str">
        <f>"2259"</f>
        <v>2259</v>
      </c>
      <c r="B1748" t="str">
        <f t="shared" si="103"/>
        <v>1</v>
      </c>
      <c r="C1748" t="str">
        <f t="shared" ref="C1748:C1775" si="106">"93"</f>
        <v>93</v>
      </c>
      <c r="D1748" t="str">
        <f>"25"</f>
        <v>25</v>
      </c>
      <c r="E1748" t="str">
        <f>"1-93-25"</f>
        <v>1-93-25</v>
      </c>
      <c r="F1748" t="s">
        <v>15</v>
      </c>
      <c r="G1748" t="s">
        <v>16</v>
      </c>
      <c r="H1748" t="s">
        <v>17</v>
      </c>
      <c r="I1748">
        <v>1</v>
      </c>
      <c r="J1748">
        <v>0</v>
      </c>
      <c r="K1748">
        <v>0</v>
      </c>
    </row>
    <row r="1749" spans="1:11" x14ac:dyDescent="0.25">
      <c r="A1749" t="str">
        <f>"2260"</f>
        <v>2260</v>
      </c>
      <c r="B1749" t="str">
        <f t="shared" si="103"/>
        <v>1</v>
      </c>
      <c r="C1749" t="str">
        <f t="shared" si="106"/>
        <v>93</v>
      </c>
      <c r="D1749" t="str">
        <f>"15"</f>
        <v>15</v>
      </c>
      <c r="E1749" t="str">
        <f>"1-93-15"</f>
        <v>1-93-15</v>
      </c>
      <c r="F1749" t="s">
        <v>15</v>
      </c>
      <c r="G1749" t="s">
        <v>16</v>
      </c>
      <c r="H1749" t="s">
        <v>17</v>
      </c>
      <c r="I1749">
        <v>0</v>
      </c>
      <c r="J1749">
        <v>1</v>
      </c>
      <c r="K1749">
        <v>0</v>
      </c>
    </row>
    <row r="1750" spans="1:11" x14ac:dyDescent="0.25">
      <c r="A1750" t="str">
        <f>"2261"</f>
        <v>2261</v>
      </c>
      <c r="B1750" t="str">
        <f t="shared" si="103"/>
        <v>1</v>
      </c>
      <c r="C1750" t="str">
        <f t="shared" si="106"/>
        <v>93</v>
      </c>
      <c r="D1750" t="str">
        <f>"1"</f>
        <v>1</v>
      </c>
      <c r="E1750" t="str">
        <f>"1-93-1"</f>
        <v>1-93-1</v>
      </c>
      <c r="F1750" t="s">
        <v>15</v>
      </c>
      <c r="G1750" t="s">
        <v>16</v>
      </c>
      <c r="H1750" t="s">
        <v>17</v>
      </c>
      <c r="I1750">
        <v>0</v>
      </c>
      <c r="J1750">
        <v>0</v>
      </c>
      <c r="K1750">
        <v>1</v>
      </c>
    </row>
    <row r="1751" spans="1:11" x14ac:dyDescent="0.25">
      <c r="A1751" t="str">
        <f>"2262"</f>
        <v>2262</v>
      </c>
      <c r="B1751" t="str">
        <f t="shared" si="103"/>
        <v>1</v>
      </c>
      <c r="C1751" t="str">
        <f t="shared" si="106"/>
        <v>93</v>
      </c>
      <c r="D1751" t="str">
        <f>"21"</f>
        <v>21</v>
      </c>
      <c r="E1751" t="str">
        <f>"1-93-21"</f>
        <v>1-93-21</v>
      </c>
      <c r="F1751" t="s">
        <v>15</v>
      </c>
      <c r="G1751" t="s">
        <v>16</v>
      </c>
      <c r="H1751" t="s">
        <v>17</v>
      </c>
      <c r="I1751">
        <v>0</v>
      </c>
      <c r="J1751">
        <v>1</v>
      </c>
      <c r="K1751">
        <v>0</v>
      </c>
    </row>
    <row r="1752" spans="1:11" x14ac:dyDescent="0.25">
      <c r="A1752" t="str">
        <f>"2263"</f>
        <v>2263</v>
      </c>
      <c r="B1752" t="str">
        <f t="shared" si="103"/>
        <v>1</v>
      </c>
      <c r="C1752" t="str">
        <f t="shared" si="106"/>
        <v>93</v>
      </c>
      <c r="D1752" t="str">
        <f>"16"</f>
        <v>16</v>
      </c>
      <c r="E1752" t="str">
        <f>"1-93-16"</f>
        <v>1-93-16</v>
      </c>
      <c r="F1752" t="s">
        <v>15</v>
      </c>
      <c r="G1752" t="s">
        <v>16</v>
      </c>
      <c r="H1752" t="s">
        <v>17</v>
      </c>
      <c r="I1752">
        <v>1</v>
      </c>
      <c r="J1752">
        <v>0</v>
      </c>
      <c r="K1752">
        <v>0</v>
      </c>
    </row>
    <row r="1753" spans="1:11" x14ac:dyDescent="0.25">
      <c r="A1753" t="str">
        <f>"2264"</f>
        <v>2264</v>
      </c>
      <c r="B1753" t="str">
        <f t="shared" si="103"/>
        <v>1</v>
      </c>
      <c r="C1753" t="str">
        <f t="shared" si="106"/>
        <v>93</v>
      </c>
      <c r="D1753" t="str">
        <f>"3"</f>
        <v>3</v>
      </c>
      <c r="E1753" t="str">
        <f>"1-93-3"</f>
        <v>1-93-3</v>
      </c>
      <c r="F1753" t="s">
        <v>15</v>
      </c>
      <c r="G1753" t="s">
        <v>16</v>
      </c>
      <c r="H1753" t="s">
        <v>17</v>
      </c>
      <c r="I1753">
        <v>0</v>
      </c>
      <c r="J1753">
        <v>0</v>
      </c>
      <c r="K1753">
        <v>1</v>
      </c>
    </row>
    <row r="1754" spans="1:11" x14ac:dyDescent="0.25">
      <c r="A1754" t="str">
        <f>"2265"</f>
        <v>2265</v>
      </c>
      <c r="B1754" t="str">
        <f t="shared" si="103"/>
        <v>1</v>
      </c>
      <c r="C1754" t="str">
        <f t="shared" si="106"/>
        <v>93</v>
      </c>
      <c r="D1754" t="str">
        <f>"17"</f>
        <v>17</v>
      </c>
      <c r="E1754" t="str">
        <f>"1-93-17"</f>
        <v>1-93-17</v>
      </c>
      <c r="F1754" t="s">
        <v>15</v>
      </c>
      <c r="G1754" t="s">
        <v>16</v>
      </c>
      <c r="H1754" t="s">
        <v>17</v>
      </c>
      <c r="I1754">
        <v>0</v>
      </c>
      <c r="J1754">
        <v>1</v>
      </c>
      <c r="K1754">
        <v>0</v>
      </c>
    </row>
    <row r="1755" spans="1:11" x14ac:dyDescent="0.25">
      <c r="A1755" t="str">
        <f>"2266"</f>
        <v>2266</v>
      </c>
      <c r="B1755" t="str">
        <f t="shared" ref="B1755:B1798" si="107">"1"</f>
        <v>1</v>
      </c>
      <c r="C1755" t="str">
        <f t="shared" si="106"/>
        <v>93</v>
      </c>
      <c r="D1755" t="str">
        <f>"6"</f>
        <v>6</v>
      </c>
      <c r="E1755" t="str">
        <f>"1-93-6"</f>
        <v>1-93-6</v>
      </c>
      <c r="F1755" t="s">
        <v>15</v>
      </c>
      <c r="G1755" t="s">
        <v>16</v>
      </c>
      <c r="H1755" t="s">
        <v>17</v>
      </c>
      <c r="I1755">
        <v>1</v>
      </c>
      <c r="J1755">
        <v>0</v>
      </c>
      <c r="K1755">
        <v>0</v>
      </c>
    </row>
    <row r="1756" spans="1:11" x14ac:dyDescent="0.25">
      <c r="A1756" t="str">
        <f>"2267"</f>
        <v>2267</v>
      </c>
      <c r="B1756" t="str">
        <f t="shared" si="107"/>
        <v>1</v>
      </c>
      <c r="C1756" t="str">
        <f t="shared" si="106"/>
        <v>93</v>
      </c>
      <c r="D1756" t="str">
        <f>"18"</f>
        <v>18</v>
      </c>
      <c r="E1756" t="str">
        <f>"1-93-18"</f>
        <v>1-93-18</v>
      </c>
      <c r="F1756" t="s">
        <v>15</v>
      </c>
      <c r="G1756" t="s">
        <v>16</v>
      </c>
      <c r="H1756" t="s">
        <v>17</v>
      </c>
      <c r="I1756">
        <v>0</v>
      </c>
      <c r="J1756">
        <v>0</v>
      </c>
      <c r="K1756">
        <v>1</v>
      </c>
    </row>
    <row r="1757" spans="1:11" x14ac:dyDescent="0.25">
      <c r="A1757" t="str">
        <f>"2268"</f>
        <v>2268</v>
      </c>
      <c r="B1757" t="str">
        <f t="shared" si="107"/>
        <v>1</v>
      </c>
      <c r="C1757" t="str">
        <f t="shared" si="106"/>
        <v>93</v>
      </c>
      <c r="D1757" t="str">
        <f>"12"</f>
        <v>12</v>
      </c>
      <c r="E1757" t="str">
        <f>"1-93-12"</f>
        <v>1-93-12</v>
      </c>
      <c r="F1757" t="s">
        <v>15</v>
      </c>
      <c r="G1757" t="s">
        <v>16</v>
      </c>
      <c r="H1757" t="s">
        <v>17</v>
      </c>
      <c r="I1757">
        <v>1</v>
      </c>
      <c r="J1757">
        <v>0</v>
      </c>
      <c r="K1757">
        <v>0</v>
      </c>
    </row>
    <row r="1758" spans="1:11" x14ac:dyDescent="0.25">
      <c r="A1758" t="str">
        <f>"2269"</f>
        <v>2269</v>
      </c>
      <c r="B1758" t="str">
        <f t="shared" si="107"/>
        <v>1</v>
      </c>
      <c r="C1758" t="str">
        <f t="shared" si="106"/>
        <v>93</v>
      </c>
      <c r="D1758" t="str">
        <f>"19"</f>
        <v>19</v>
      </c>
      <c r="E1758" t="str">
        <f>"1-93-19"</f>
        <v>1-93-19</v>
      </c>
      <c r="F1758" t="s">
        <v>15</v>
      </c>
      <c r="G1758" t="s">
        <v>16</v>
      </c>
      <c r="H1758" t="s">
        <v>17</v>
      </c>
      <c r="I1758">
        <v>0</v>
      </c>
      <c r="J1758">
        <v>1</v>
      </c>
      <c r="K1758">
        <v>0</v>
      </c>
    </row>
    <row r="1759" spans="1:11" x14ac:dyDescent="0.25">
      <c r="A1759" t="str">
        <f>"2270"</f>
        <v>2270</v>
      </c>
      <c r="B1759" t="str">
        <f t="shared" si="107"/>
        <v>1</v>
      </c>
      <c r="C1759" t="str">
        <f t="shared" si="106"/>
        <v>93</v>
      </c>
      <c r="D1759" t="str">
        <f>"7"</f>
        <v>7</v>
      </c>
      <c r="E1759" t="str">
        <f>"1-93-7"</f>
        <v>1-93-7</v>
      </c>
      <c r="F1759" t="s">
        <v>15</v>
      </c>
      <c r="G1759" t="s">
        <v>16</v>
      </c>
      <c r="H1759" t="s">
        <v>17</v>
      </c>
      <c r="I1759">
        <v>0</v>
      </c>
      <c r="J1759">
        <v>0</v>
      </c>
      <c r="K1759">
        <v>1</v>
      </c>
    </row>
    <row r="1760" spans="1:11" x14ac:dyDescent="0.25">
      <c r="A1760" t="str">
        <f>"2271"</f>
        <v>2271</v>
      </c>
      <c r="B1760" t="str">
        <f t="shared" si="107"/>
        <v>1</v>
      </c>
      <c r="C1760" t="str">
        <f t="shared" si="106"/>
        <v>93</v>
      </c>
      <c r="D1760" t="str">
        <f>"14"</f>
        <v>14</v>
      </c>
      <c r="E1760" t="str">
        <f>"1-93-14"</f>
        <v>1-93-14</v>
      </c>
      <c r="F1760" t="s">
        <v>15</v>
      </c>
      <c r="G1760" t="s">
        <v>16</v>
      </c>
      <c r="H1760" t="s">
        <v>17</v>
      </c>
      <c r="I1760">
        <v>1</v>
      </c>
      <c r="J1760">
        <v>0</v>
      </c>
      <c r="K1760">
        <v>0</v>
      </c>
    </row>
    <row r="1761" spans="1:11" x14ac:dyDescent="0.25">
      <c r="A1761" t="str">
        <f>"2272"</f>
        <v>2272</v>
      </c>
      <c r="B1761" t="str">
        <f t="shared" si="107"/>
        <v>1</v>
      </c>
      <c r="C1761" t="str">
        <f t="shared" si="106"/>
        <v>93</v>
      </c>
      <c r="D1761" t="str">
        <f>"22"</f>
        <v>22</v>
      </c>
      <c r="E1761" t="str">
        <f>"1-93-22"</f>
        <v>1-93-22</v>
      </c>
      <c r="F1761" t="s">
        <v>15</v>
      </c>
      <c r="G1761" t="s">
        <v>16</v>
      </c>
      <c r="H1761" t="s">
        <v>17</v>
      </c>
      <c r="I1761">
        <v>1</v>
      </c>
      <c r="J1761">
        <v>0</v>
      </c>
      <c r="K1761">
        <v>0</v>
      </c>
    </row>
    <row r="1762" spans="1:11" x14ac:dyDescent="0.25">
      <c r="A1762" t="str">
        <f>"2273"</f>
        <v>2273</v>
      </c>
      <c r="B1762" t="str">
        <f t="shared" si="107"/>
        <v>1</v>
      </c>
      <c r="C1762" t="str">
        <f t="shared" si="106"/>
        <v>93</v>
      </c>
      <c r="D1762" t="str">
        <f>"24"</f>
        <v>24</v>
      </c>
      <c r="E1762" t="str">
        <f>"1-93-24"</f>
        <v>1-93-24</v>
      </c>
      <c r="F1762" t="s">
        <v>15</v>
      </c>
      <c r="G1762" t="s">
        <v>16</v>
      </c>
      <c r="H1762" t="s">
        <v>17</v>
      </c>
      <c r="I1762">
        <v>1</v>
      </c>
      <c r="J1762">
        <v>0</v>
      </c>
      <c r="K1762">
        <v>0</v>
      </c>
    </row>
    <row r="1763" spans="1:11" x14ac:dyDescent="0.25">
      <c r="A1763" t="str">
        <f>"2274"</f>
        <v>2274</v>
      </c>
      <c r="B1763" t="str">
        <f t="shared" si="107"/>
        <v>1</v>
      </c>
      <c r="C1763" t="str">
        <f t="shared" si="106"/>
        <v>93</v>
      </c>
      <c r="D1763" t="str">
        <f>"26"</f>
        <v>26</v>
      </c>
      <c r="E1763" t="str">
        <f>"1-93-26"</f>
        <v>1-93-26</v>
      </c>
      <c r="F1763" t="s">
        <v>15</v>
      </c>
      <c r="G1763" t="s">
        <v>16</v>
      </c>
      <c r="H1763" t="s">
        <v>17</v>
      </c>
      <c r="I1763">
        <v>1</v>
      </c>
      <c r="J1763">
        <v>0</v>
      </c>
      <c r="K1763">
        <v>0</v>
      </c>
    </row>
    <row r="1764" spans="1:11" x14ac:dyDescent="0.25">
      <c r="A1764" t="str">
        <f>"2275"</f>
        <v>2275</v>
      </c>
      <c r="B1764" t="str">
        <f t="shared" si="107"/>
        <v>1</v>
      </c>
      <c r="C1764" t="str">
        <f t="shared" si="106"/>
        <v>93</v>
      </c>
      <c r="D1764" t="str">
        <f>"8"</f>
        <v>8</v>
      </c>
      <c r="E1764" t="str">
        <f>"1-93-8"</f>
        <v>1-93-8</v>
      </c>
      <c r="F1764" t="s">
        <v>15</v>
      </c>
      <c r="G1764" t="s">
        <v>16</v>
      </c>
      <c r="H1764" t="s">
        <v>17</v>
      </c>
      <c r="I1764">
        <v>0</v>
      </c>
      <c r="J1764">
        <v>1</v>
      </c>
      <c r="K1764">
        <v>0</v>
      </c>
    </row>
    <row r="1765" spans="1:11" x14ac:dyDescent="0.25">
      <c r="A1765" t="str">
        <f>"2276"</f>
        <v>2276</v>
      </c>
      <c r="B1765" t="str">
        <f t="shared" si="107"/>
        <v>1</v>
      </c>
      <c r="C1765" t="str">
        <f t="shared" si="106"/>
        <v>93</v>
      </c>
      <c r="D1765" t="str">
        <f>"27"</f>
        <v>27</v>
      </c>
      <c r="E1765" t="str">
        <f>"1-93-27"</f>
        <v>1-93-27</v>
      </c>
      <c r="F1765" t="s">
        <v>15</v>
      </c>
      <c r="G1765" t="s">
        <v>16</v>
      </c>
      <c r="H1765" t="s">
        <v>17</v>
      </c>
      <c r="I1765">
        <v>1</v>
      </c>
      <c r="J1765">
        <v>0</v>
      </c>
      <c r="K1765">
        <v>0</v>
      </c>
    </row>
    <row r="1766" spans="1:11" x14ac:dyDescent="0.25">
      <c r="A1766" t="str">
        <f>"2277"</f>
        <v>2277</v>
      </c>
      <c r="B1766" t="str">
        <f t="shared" si="107"/>
        <v>1</v>
      </c>
      <c r="C1766" t="str">
        <f t="shared" si="106"/>
        <v>93</v>
      </c>
      <c r="D1766" t="str">
        <f>"2"</f>
        <v>2</v>
      </c>
      <c r="E1766" t="str">
        <f>"1-93-2"</f>
        <v>1-93-2</v>
      </c>
      <c r="F1766" t="s">
        <v>15</v>
      </c>
      <c r="G1766" t="s">
        <v>16</v>
      </c>
      <c r="H1766" t="s">
        <v>17</v>
      </c>
      <c r="I1766">
        <v>1</v>
      </c>
      <c r="J1766">
        <v>0</v>
      </c>
      <c r="K1766">
        <v>0</v>
      </c>
    </row>
    <row r="1767" spans="1:11" x14ac:dyDescent="0.25">
      <c r="A1767" t="str">
        <f>"2278"</f>
        <v>2278</v>
      </c>
      <c r="B1767" t="str">
        <f t="shared" si="107"/>
        <v>1</v>
      </c>
      <c r="C1767" t="str">
        <f t="shared" si="106"/>
        <v>93</v>
      </c>
      <c r="D1767" t="str">
        <f>"28"</f>
        <v>28</v>
      </c>
      <c r="E1767" t="str">
        <f>"1-93-28"</f>
        <v>1-93-28</v>
      </c>
      <c r="F1767" t="s">
        <v>15</v>
      </c>
      <c r="G1767" t="s">
        <v>16</v>
      </c>
      <c r="H1767" t="s">
        <v>17</v>
      </c>
      <c r="I1767">
        <v>0</v>
      </c>
      <c r="J1767">
        <v>1</v>
      </c>
      <c r="K1767">
        <v>0</v>
      </c>
    </row>
    <row r="1768" spans="1:11" x14ac:dyDescent="0.25">
      <c r="A1768" t="str">
        <f>"2279"</f>
        <v>2279</v>
      </c>
      <c r="B1768" t="str">
        <f t="shared" si="107"/>
        <v>1</v>
      </c>
      <c r="C1768" t="str">
        <f t="shared" si="106"/>
        <v>93</v>
      </c>
      <c r="D1768" t="str">
        <f>"10"</f>
        <v>10</v>
      </c>
      <c r="E1768" t="str">
        <f>"1-93-10"</f>
        <v>1-93-10</v>
      </c>
      <c r="F1768" t="s">
        <v>15</v>
      </c>
      <c r="G1768" t="s">
        <v>16</v>
      </c>
      <c r="H1768" t="s">
        <v>17</v>
      </c>
      <c r="I1768">
        <v>0</v>
      </c>
      <c r="J1768">
        <v>0</v>
      </c>
      <c r="K1768">
        <v>1</v>
      </c>
    </row>
    <row r="1769" spans="1:11" x14ac:dyDescent="0.25">
      <c r="A1769" t="str">
        <f>"2280"</f>
        <v>2280</v>
      </c>
      <c r="B1769" t="str">
        <f t="shared" si="107"/>
        <v>1</v>
      </c>
      <c r="C1769" t="str">
        <f t="shared" si="106"/>
        <v>93</v>
      </c>
      <c r="D1769" t="str">
        <f>"13"</f>
        <v>13</v>
      </c>
      <c r="E1769" t="str">
        <f>"1-93-13"</f>
        <v>1-93-13</v>
      </c>
      <c r="F1769" t="s">
        <v>15</v>
      </c>
      <c r="G1769" t="s">
        <v>16</v>
      </c>
      <c r="H1769" t="s">
        <v>17</v>
      </c>
      <c r="I1769">
        <v>1</v>
      </c>
      <c r="J1769">
        <v>0</v>
      </c>
      <c r="K1769">
        <v>0</v>
      </c>
    </row>
    <row r="1770" spans="1:11" x14ac:dyDescent="0.25">
      <c r="A1770" t="str">
        <f>"2281"</f>
        <v>2281</v>
      </c>
      <c r="B1770" t="str">
        <f t="shared" si="107"/>
        <v>1</v>
      </c>
      <c r="C1770" t="str">
        <f t="shared" si="106"/>
        <v>93</v>
      </c>
      <c r="D1770" t="str">
        <f>"4"</f>
        <v>4</v>
      </c>
      <c r="E1770" t="str">
        <f>"1-93-4"</f>
        <v>1-93-4</v>
      </c>
      <c r="F1770" t="s">
        <v>15</v>
      </c>
      <c r="G1770" t="s">
        <v>16</v>
      </c>
      <c r="H1770" t="s">
        <v>17</v>
      </c>
      <c r="I1770">
        <v>0</v>
      </c>
      <c r="J1770">
        <v>0</v>
      </c>
      <c r="K1770">
        <v>0</v>
      </c>
    </row>
    <row r="1771" spans="1:11" x14ac:dyDescent="0.25">
      <c r="A1771" t="str">
        <f>"2282"</f>
        <v>2282</v>
      </c>
      <c r="B1771" t="str">
        <f t="shared" si="107"/>
        <v>1</v>
      </c>
      <c r="C1771" t="str">
        <f t="shared" si="106"/>
        <v>93</v>
      </c>
      <c r="D1771" t="str">
        <f>"9"</f>
        <v>9</v>
      </c>
      <c r="E1771" t="str">
        <f>"1-93-9"</f>
        <v>1-93-9</v>
      </c>
      <c r="F1771" t="s">
        <v>15</v>
      </c>
      <c r="G1771" t="s">
        <v>18</v>
      </c>
      <c r="H1771" t="s">
        <v>19</v>
      </c>
      <c r="I1771">
        <v>0</v>
      </c>
      <c r="J1771">
        <v>0</v>
      </c>
      <c r="K1771">
        <v>0</v>
      </c>
    </row>
    <row r="1772" spans="1:11" x14ac:dyDescent="0.25">
      <c r="A1772" t="str">
        <f>"2283"</f>
        <v>2283</v>
      </c>
      <c r="B1772" t="str">
        <f t="shared" si="107"/>
        <v>1</v>
      </c>
      <c r="C1772" t="str">
        <f t="shared" si="106"/>
        <v>93</v>
      </c>
      <c r="D1772" t="str">
        <f>"20"</f>
        <v>20</v>
      </c>
      <c r="E1772" t="str">
        <f>"1-93-20"</f>
        <v>1-93-20</v>
      </c>
      <c r="F1772" t="s">
        <v>15</v>
      </c>
      <c r="G1772" t="s">
        <v>16</v>
      </c>
      <c r="H1772" t="s">
        <v>17</v>
      </c>
      <c r="I1772">
        <v>0</v>
      </c>
      <c r="J1772">
        <v>0</v>
      </c>
      <c r="K1772">
        <v>0</v>
      </c>
    </row>
    <row r="1773" spans="1:11" x14ac:dyDescent="0.25">
      <c r="A1773" t="str">
        <f>"2284"</f>
        <v>2284</v>
      </c>
      <c r="B1773" t="str">
        <f t="shared" si="107"/>
        <v>1</v>
      </c>
      <c r="C1773" t="str">
        <f t="shared" si="106"/>
        <v>93</v>
      </c>
      <c r="D1773" t="str">
        <f>"11"</f>
        <v>11</v>
      </c>
      <c r="E1773" t="str">
        <f>"1-93-11"</f>
        <v>1-93-11</v>
      </c>
      <c r="F1773" t="s">
        <v>15</v>
      </c>
      <c r="G1773" t="s">
        <v>18</v>
      </c>
      <c r="H1773" t="s">
        <v>19</v>
      </c>
      <c r="I1773">
        <v>0</v>
      </c>
      <c r="J1773">
        <v>0</v>
      </c>
      <c r="K1773">
        <v>0</v>
      </c>
    </row>
    <row r="1774" spans="1:11" x14ac:dyDescent="0.25">
      <c r="A1774" t="str">
        <f>"2285"</f>
        <v>2285</v>
      </c>
      <c r="B1774" t="str">
        <f t="shared" si="107"/>
        <v>1</v>
      </c>
      <c r="C1774" t="str">
        <f t="shared" si="106"/>
        <v>93</v>
      </c>
      <c r="D1774" t="str">
        <f>"5"</f>
        <v>5</v>
      </c>
      <c r="E1774" t="str">
        <f>"1-93-5"</f>
        <v>1-93-5</v>
      </c>
      <c r="F1774" t="s">
        <v>15</v>
      </c>
      <c r="G1774" t="s">
        <v>16</v>
      </c>
      <c r="H1774" t="s">
        <v>17</v>
      </c>
      <c r="I1774">
        <v>0</v>
      </c>
      <c r="J1774">
        <v>0</v>
      </c>
      <c r="K1774">
        <v>0</v>
      </c>
    </row>
    <row r="1775" spans="1:11" x14ac:dyDescent="0.25">
      <c r="A1775" t="str">
        <f>"2286"</f>
        <v>2286</v>
      </c>
      <c r="B1775" t="str">
        <f t="shared" si="107"/>
        <v>1</v>
      </c>
      <c r="C1775" t="str">
        <f t="shared" si="106"/>
        <v>93</v>
      </c>
      <c r="D1775" t="str">
        <f>"23"</f>
        <v>23</v>
      </c>
      <c r="E1775" t="str">
        <f>"1-93-23"</f>
        <v>1-93-23</v>
      </c>
      <c r="F1775" t="s">
        <v>15</v>
      </c>
      <c r="G1775" t="s">
        <v>16</v>
      </c>
      <c r="H1775" t="s">
        <v>17</v>
      </c>
      <c r="I1775">
        <v>0</v>
      </c>
      <c r="J1775">
        <v>0</v>
      </c>
      <c r="K1775">
        <v>0</v>
      </c>
    </row>
    <row r="1776" spans="1:11" x14ac:dyDescent="0.25">
      <c r="A1776" t="str">
        <f>"2287"</f>
        <v>2287</v>
      </c>
      <c r="B1776" t="str">
        <f t="shared" si="107"/>
        <v>1</v>
      </c>
      <c r="C1776" t="str">
        <f t="shared" ref="C1776:C1792" si="108">"94"</f>
        <v>94</v>
      </c>
      <c r="D1776" t="str">
        <f>"17"</f>
        <v>17</v>
      </c>
      <c r="E1776" t="str">
        <f>"1-94-17"</f>
        <v>1-94-17</v>
      </c>
      <c r="F1776" t="s">
        <v>15</v>
      </c>
      <c r="G1776" t="s">
        <v>20</v>
      </c>
      <c r="H1776" t="s">
        <v>21</v>
      </c>
      <c r="I1776">
        <v>0</v>
      </c>
      <c r="J1776">
        <v>0</v>
      </c>
      <c r="K1776">
        <v>1</v>
      </c>
    </row>
    <row r="1777" spans="1:11" x14ac:dyDescent="0.25">
      <c r="A1777" t="str">
        <f>"2288"</f>
        <v>2288</v>
      </c>
      <c r="B1777" t="str">
        <f t="shared" si="107"/>
        <v>1</v>
      </c>
      <c r="C1777" t="str">
        <f t="shared" si="108"/>
        <v>94</v>
      </c>
      <c r="D1777" t="str">
        <f>"15"</f>
        <v>15</v>
      </c>
      <c r="E1777" t="str">
        <f>"1-94-15"</f>
        <v>1-94-15</v>
      </c>
      <c r="F1777" t="s">
        <v>15</v>
      </c>
      <c r="G1777" t="s">
        <v>16</v>
      </c>
      <c r="H1777" t="s">
        <v>17</v>
      </c>
      <c r="I1777">
        <v>0</v>
      </c>
      <c r="J1777">
        <v>1</v>
      </c>
      <c r="K1777">
        <v>0</v>
      </c>
    </row>
    <row r="1778" spans="1:11" x14ac:dyDescent="0.25">
      <c r="A1778" t="str">
        <f>"2289"</f>
        <v>2289</v>
      </c>
      <c r="B1778" t="str">
        <f t="shared" si="107"/>
        <v>1</v>
      </c>
      <c r="C1778" t="str">
        <f t="shared" si="108"/>
        <v>94</v>
      </c>
      <c r="D1778" t="str">
        <f>"1"</f>
        <v>1</v>
      </c>
      <c r="E1778" t="str">
        <f>"1-94-1"</f>
        <v>1-94-1</v>
      </c>
      <c r="F1778" t="s">
        <v>15</v>
      </c>
      <c r="G1778" t="s">
        <v>20</v>
      </c>
      <c r="H1778" t="s">
        <v>21</v>
      </c>
      <c r="I1778">
        <v>1</v>
      </c>
      <c r="J1778">
        <v>0</v>
      </c>
      <c r="K1778">
        <v>0</v>
      </c>
    </row>
    <row r="1779" spans="1:11" x14ac:dyDescent="0.25">
      <c r="A1779" t="str">
        <f>"2290"</f>
        <v>2290</v>
      </c>
      <c r="B1779" t="str">
        <f t="shared" si="107"/>
        <v>1</v>
      </c>
      <c r="C1779" t="str">
        <f t="shared" si="108"/>
        <v>94</v>
      </c>
      <c r="D1779" t="str">
        <f>"16"</f>
        <v>16</v>
      </c>
      <c r="E1779" t="str">
        <f>"1-94-16"</f>
        <v>1-94-16</v>
      </c>
      <c r="F1779" t="s">
        <v>15</v>
      </c>
      <c r="G1779" t="s">
        <v>18</v>
      </c>
      <c r="H1779" t="s">
        <v>19</v>
      </c>
      <c r="I1779">
        <v>0</v>
      </c>
      <c r="J1779">
        <v>0</v>
      </c>
      <c r="K1779">
        <v>1</v>
      </c>
    </row>
    <row r="1780" spans="1:11" x14ac:dyDescent="0.25">
      <c r="A1780" t="str">
        <f>"2291"</f>
        <v>2291</v>
      </c>
      <c r="B1780" t="str">
        <f t="shared" si="107"/>
        <v>1</v>
      </c>
      <c r="C1780" t="str">
        <f t="shared" si="108"/>
        <v>94</v>
      </c>
      <c r="D1780" t="str">
        <f>"5"</f>
        <v>5</v>
      </c>
      <c r="E1780" t="str">
        <f>"1-94-5"</f>
        <v>1-94-5</v>
      </c>
      <c r="F1780" t="s">
        <v>15</v>
      </c>
      <c r="G1780" t="s">
        <v>20</v>
      </c>
      <c r="H1780" t="s">
        <v>21</v>
      </c>
      <c r="I1780">
        <v>1</v>
      </c>
      <c r="J1780">
        <v>0</v>
      </c>
      <c r="K1780">
        <v>0</v>
      </c>
    </row>
    <row r="1781" spans="1:11" x14ac:dyDescent="0.25">
      <c r="A1781" t="str">
        <f>"2292"</f>
        <v>2292</v>
      </c>
      <c r="B1781" t="str">
        <f t="shared" si="107"/>
        <v>1</v>
      </c>
      <c r="C1781" t="str">
        <f t="shared" si="108"/>
        <v>94</v>
      </c>
      <c r="D1781" t="str">
        <f>"3"</f>
        <v>3</v>
      </c>
      <c r="E1781" t="str">
        <f>"1-94-3"</f>
        <v>1-94-3</v>
      </c>
      <c r="F1781" t="s">
        <v>15</v>
      </c>
      <c r="G1781" t="s">
        <v>16</v>
      </c>
      <c r="H1781" t="s">
        <v>17</v>
      </c>
      <c r="I1781">
        <v>0</v>
      </c>
      <c r="J1781">
        <v>1</v>
      </c>
      <c r="K1781">
        <v>0</v>
      </c>
    </row>
    <row r="1782" spans="1:11" x14ac:dyDescent="0.25">
      <c r="A1782" t="str">
        <f>"2293"</f>
        <v>2293</v>
      </c>
      <c r="B1782" t="str">
        <f t="shared" si="107"/>
        <v>1</v>
      </c>
      <c r="C1782" t="str">
        <f t="shared" si="108"/>
        <v>94</v>
      </c>
      <c r="D1782" t="str">
        <f>"2"</f>
        <v>2</v>
      </c>
      <c r="E1782" t="str">
        <f>"1-94-2"</f>
        <v>1-94-2</v>
      </c>
      <c r="F1782" t="s">
        <v>15</v>
      </c>
      <c r="G1782" t="s">
        <v>18</v>
      </c>
      <c r="H1782" t="s">
        <v>19</v>
      </c>
      <c r="I1782">
        <v>1</v>
      </c>
      <c r="J1782">
        <v>0</v>
      </c>
      <c r="K1782">
        <v>0</v>
      </c>
    </row>
    <row r="1783" spans="1:11" x14ac:dyDescent="0.25">
      <c r="A1783" t="str">
        <f>"2294"</f>
        <v>2294</v>
      </c>
      <c r="B1783" t="str">
        <f t="shared" si="107"/>
        <v>1</v>
      </c>
      <c r="C1783" t="str">
        <f t="shared" si="108"/>
        <v>94</v>
      </c>
      <c r="D1783" t="str">
        <f>"12"</f>
        <v>12</v>
      </c>
      <c r="E1783" t="str">
        <f>"1-94-12"</f>
        <v>1-94-12</v>
      </c>
      <c r="F1783" t="s">
        <v>15</v>
      </c>
      <c r="G1783" t="s">
        <v>16</v>
      </c>
      <c r="H1783" t="s">
        <v>17</v>
      </c>
      <c r="I1783">
        <v>0</v>
      </c>
      <c r="J1783">
        <v>1</v>
      </c>
      <c r="K1783">
        <v>0</v>
      </c>
    </row>
    <row r="1784" spans="1:11" x14ac:dyDescent="0.25">
      <c r="A1784" t="str">
        <f>"2295"</f>
        <v>2295</v>
      </c>
      <c r="B1784" t="str">
        <f t="shared" si="107"/>
        <v>1</v>
      </c>
      <c r="C1784" t="str">
        <f t="shared" si="108"/>
        <v>94</v>
      </c>
      <c r="D1784" t="str">
        <f>"7"</f>
        <v>7</v>
      </c>
      <c r="E1784" t="str">
        <f>"1-94-7"</f>
        <v>1-94-7</v>
      </c>
      <c r="F1784" t="s">
        <v>15</v>
      </c>
      <c r="G1784" t="s">
        <v>20</v>
      </c>
      <c r="H1784" t="s">
        <v>21</v>
      </c>
      <c r="I1784">
        <v>0</v>
      </c>
      <c r="J1784">
        <v>1</v>
      </c>
      <c r="K1784">
        <v>0</v>
      </c>
    </row>
    <row r="1785" spans="1:11" x14ac:dyDescent="0.25">
      <c r="A1785" t="str">
        <f>"2296"</f>
        <v>2296</v>
      </c>
      <c r="B1785" t="str">
        <f t="shared" si="107"/>
        <v>1</v>
      </c>
      <c r="C1785" t="str">
        <f t="shared" si="108"/>
        <v>94</v>
      </c>
      <c r="D1785" t="str">
        <f>"9"</f>
        <v>9</v>
      </c>
      <c r="E1785" t="str">
        <f>"1-94-9"</f>
        <v>1-94-9</v>
      </c>
      <c r="F1785" t="s">
        <v>15</v>
      </c>
      <c r="G1785" t="s">
        <v>18</v>
      </c>
      <c r="H1785" t="s">
        <v>19</v>
      </c>
      <c r="I1785">
        <v>0</v>
      </c>
      <c r="J1785">
        <v>1</v>
      </c>
      <c r="K1785">
        <v>0</v>
      </c>
    </row>
    <row r="1786" spans="1:11" x14ac:dyDescent="0.25">
      <c r="A1786" t="str">
        <f>"2297"</f>
        <v>2297</v>
      </c>
      <c r="B1786" t="str">
        <f t="shared" si="107"/>
        <v>1</v>
      </c>
      <c r="C1786" t="str">
        <f t="shared" si="108"/>
        <v>94</v>
      </c>
      <c r="D1786" t="str">
        <f>"14"</f>
        <v>14</v>
      </c>
      <c r="E1786" t="str">
        <f>"1-94-14"</f>
        <v>1-94-14</v>
      </c>
      <c r="F1786" t="s">
        <v>15</v>
      </c>
      <c r="G1786" t="s">
        <v>18</v>
      </c>
      <c r="H1786" t="s">
        <v>19</v>
      </c>
      <c r="I1786">
        <v>0</v>
      </c>
      <c r="J1786">
        <v>1</v>
      </c>
      <c r="K1786">
        <v>0</v>
      </c>
    </row>
    <row r="1787" spans="1:11" x14ac:dyDescent="0.25">
      <c r="A1787" t="str">
        <f>"2298"</f>
        <v>2298</v>
      </c>
      <c r="B1787" t="str">
        <f t="shared" si="107"/>
        <v>1</v>
      </c>
      <c r="C1787" t="str">
        <f t="shared" si="108"/>
        <v>94</v>
      </c>
      <c r="D1787" t="str">
        <f>"11"</f>
        <v>11</v>
      </c>
      <c r="E1787" t="str">
        <f>"1-94-11"</f>
        <v>1-94-11</v>
      </c>
      <c r="F1787" t="s">
        <v>15</v>
      </c>
      <c r="G1787" t="s">
        <v>16</v>
      </c>
      <c r="H1787" t="s">
        <v>17</v>
      </c>
      <c r="I1787">
        <v>0</v>
      </c>
      <c r="J1787">
        <v>0</v>
      </c>
      <c r="K1787">
        <v>1</v>
      </c>
    </row>
    <row r="1788" spans="1:11" x14ac:dyDescent="0.25">
      <c r="A1788" t="str">
        <f>"2299"</f>
        <v>2299</v>
      </c>
      <c r="B1788" t="str">
        <f t="shared" si="107"/>
        <v>1</v>
      </c>
      <c r="C1788" t="str">
        <f t="shared" si="108"/>
        <v>94</v>
      </c>
      <c r="D1788" t="str">
        <f>"10"</f>
        <v>10</v>
      </c>
      <c r="E1788" t="str">
        <f>"1-94-10"</f>
        <v>1-94-10</v>
      </c>
      <c r="F1788" t="s">
        <v>15</v>
      </c>
      <c r="G1788" t="s">
        <v>16</v>
      </c>
      <c r="H1788" t="s">
        <v>17</v>
      </c>
      <c r="I1788">
        <v>0</v>
      </c>
      <c r="J1788">
        <v>0</v>
      </c>
      <c r="K1788">
        <v>1</v>
      </c>
    </row>
    <row r="1789" spans="1:11" x14ac:dyDescent="0.25">
      <c r="A1789" t="str">
        <f>"2300"</f>
        <v>2300</v>
      </c>
      <c r="B1789" t="str">
        <f t="shared" si="107"/>
        <v>1</v>
      </c>
      <c r="C1789" t="str">
        <f t="shared" si="108"/>
        <v>94</v>
      </c>
      <c r="D1789" t="str">
        <f>"6"</f>
        <v>6</v>
      </c>
      <c r="E1789" t="str">
        <f>"1-94-6"</f>
        <v>1-94-6</v>
      </c>
      <c r="F1789" t="s">
        <v>15</v>
      </c>
      <c r="G1789" t="s">
        <v>18</v>
      </c>
      <c r="H1789" t="s">
        <v>19</v>
      </c>
      <c r="I1789">
        <v>0</v>
      </c>
      <c r="J1789">
        <v>1</v>
      </c>
      <c r="K1789">
        <v>0</v>
      </c>
    </row>
    <row r="1790" spans="1:11" x14ac:dyDescent="0.25">
      <c r="A1790" t="str">
        <f>"2301"</f>
        <v>2301</v>
      </c>
      <c r="B1790" t="str">
        <f t="shared" si="107"/>
        <v>1</v>
      </c>
      <c r="C1790" t="str">
        <f t="shared" si="108"/>
        <v>94</v>
      </c>
      <c r="D1790" t="str">
        <f>"4"</f>
        <v>4</v>
      </c>
      <c r="E1790" t="str">
        <f>"1-94-4"</f>
        <v>1-94-4</v>
      </c>
      <c r="F1790" t="s">
        <v>15</v>
      </c>
      <c r="G1790" t="s">
        <v>16</v>
      </c>
      <c r="H1790" t="s">
        <v>17</v>
      </c>
      <c r="I1790">
        <v>1</v>
      </c>
      <c r="J1790">
        <v>0</v>
      </c>
      <c r="K1790">
        <v>0</v>
      </c>
    </row>
    <row r="1791" spans="1:11" x14ac:dyDescent="0.25">
      <c r="A1791" t="str">
        <f>"2302"</f>
        <v>2302</v>
      </c>
      <c r="B1791" t="str">
        <f t="shared" si="107"/>
        <v>1</v>
      </c>
      <c r="C1791" t="str">
        <f t="shared" si="108"/>
        <v>94</v>
      </c>
      <c r="D1791" t="str">
        <f>"8"</f>
        <v>8</v>
      </c>
      <c r="E1791" t="str">
        <f>"1-94-8"</f>
        <v>1-94-8</v>
      </c>
      <c r="F1791" t="s">
        <v>15</v>
      </c>
      <c r="G1791" t="s">
        <v>20</v>
      </c>
      <c r="H1791" t="s">
        <v>21</v>
      </c>
      <c r="I1791">
        <v>0</v>
      </c>
      <c r="J1791">
        <v>0</v>
      </c>
      <c r="K1791">
        <v>0</v>
      </c>
    </row>
    <row r="1792" spans="1:11" x14ac:dyDescent="0.25">
      <c r="A1792" t="str">
        <f>"2303"</f>
        <v>2303</v>
      </c>
      <c r="B1792" t="str">
        <f t="shared" si="107"/>
        <v>1</v>
      </c>
      <c r="C1792" t="str">
        <f t="shared" si="108"/>
        <v>94</v>
      </c>
      <c r="D1792" t="str">
        <f>"13"</f>
        <v>13</v>
      </c>
      <c r="E1792" t="str">
        <f>"1-94-13"</f>
        <v>1-94-13</v>
      </c>
      <c r="F1792" t="s">
        <v>15</v>
      </c>
      <c r="G1792" t="s">
        <v>18</v>
      </c>
      <c r="H1792" t="s">
        <v>19</v>
      </c>
      <c r="I1792">
        <v>0</v>
      </c>
      <c r="J1792">
        <v>0</v>
      </c>
      <c r="K1792">
        <v>0</v>
      </c>
    </row>
    <row r="1793" spans="1:11" x14ac:dyDescent="0.25">
      <c r="A1793" t="str">
        <f>"2324"</f>
        <v>2324</v>
      </c>
      <c r="B1793" t="str">
        <f t="shared" si="107"/>
        <v>1</v>
      </c>
      <c r="C1793" t="str">
        <f t="shared" ref="C1793:C1817" si="109">"96"</f>
        <v>96</v>
      </c>
      <c r="D1793" t="str">
        <f>"19"</f>
        <v>19</v>
      </c>
      <c r="E1793" t="str">
        <f>"1-96-19"</f>
        <v>1-96-19</v>
      </c>
      <c r="F1793" t="s">
        <v>15</v>
      </c>
      <c r="G1793" t="s">
        <v>20</v>
      </c>
      <c r="H1793" t="s">
        <v>21</v>
      </c>
      <c r="I1793">
        <v>1</v>
      </c>
      <c r="J1793">
        <v>0</v>
      </c>
      <c r="K1793">
        <v>0</v>
      </c>
    </row>
    <row r="1794" spans="1:11" x14ac:dyDescent="0.25">
      <c r="A1794" t="str">
        <f>"2325"</f>
        <v>2325</v>
      </c>
      <c r="B1794" t="str">
        <f t="shared" si="107"/>
        <v>1</v>
      </c>
      <c r="C1794" t="str">
        <f t="shared" si="109"/>
        <v>96</v>
      </c>
      <c r="D1794" t="str">
        <f>"15"</f>
        <v>15</v>
      </c>
      <c r="E1794" t="str">
        <f>"1-96-15"</f>
        <v>1-96-15</v>
      </c>
      <c r="F1794" t="s">
        <v>15</v>
      </c>
      <c r="G1794" t="s">
        <v>20</v>
      </c>
      <c r="H1794" t="s">
        <v>21</v>
      </c>
      <c r="I1794">
        <v>1</v>
      </c>
      <c r="J1794">
        <v>0</v>
      </c>
      <c r="K1794">
        <v>0</v>
      </c>
    </row>
    <row r="1795" spans="1:11" x14ac:dyDescent="0.25">
      <c r="A1795" t="str">
        <f>"2326"</f>
        <v>2326</v>
      </c>
      <c r="B1795" t="str">
        <f t="shared" si="107"/>
        <v>1</v>
      </c>
      <c r="C1795" t="str">
        <f t="shared" si="109"/>
        <v>96</v>
      </c>
      <c r="D1795" t="str">
        <f>"3"</f>
        <v>3</v>
      </c>
      <c r="E1795" t="str">
        <f>"1-96-3"</f>
        <v>1-96-3</v>
      </c>
      <c r="F1795" t="s">
        <v>15</v>
      </c>
      <c r="G1795" t="s">
        <v>20</v>
      </c>
      <c r="H1795" t="s">
        <v>21</v>
      </c>
      <c r="I1795">
        <v>1</v>
      </c>
      <c r="J1795">
        <v>0</v>
      </c>
      <c r="K1795">
        <v>0</v>
      </c>
    </row>
    <row r="1796" spans="1:11" x14ac:dyDescent="0.25">
      <c r="A1796" t="str">
        <f>"2327"</f>
        <v>2327</v>
      </c>
      <c r="B1796" t="str">
        <f t="shared" si="107"/>
        <v>1</v>
      </c>
      <c r="C1796" t="str">
        <f t="shared" si="109"/>
        <v>96</v>
      </c>
      <c r="D1796" t="str">
        <f>"16"</f>
        <v>16</v>
      </c>
      <c r="E1796" t="str">
        <f>"1-96-16"</f>
        <v>1-96-16</v>
      </c>
      <c r="F1796" t="s">
        <v>15</v>
      </c>
      <c r="G1796" t="s">
        <v>20</v>
      </c>
      <c r="H1796" t="s">
        <v>21</v>
      </c>
      <c r="I1796">
        <v>1</v>
      </c>
      <c r="J1796">
        <v>0</v>
      </c>
      <c r="K1796">
        <v>0</v>
      </c>
    </row>
    <row r="1797" spans="1:11" x14ac:dyDescent="0.25">
      <c r="A1797" t="str">
        <f>"2328"</f>
        <v>2328</v>
      </c>
      <c r="B1797" t="str">
        <f t="shared" si="107"/>
        <v>1</v>
      </c>
      <c r="C1797" t="str">
        <f t="shared" si="109"/>
        <v>96</v>
      </c>
      <c r="D1797" t="str">
        <f>"6"</f>
        <v>6</v>
      </c>
      <c r="E1797" t="str">
        <f>"1-96-6"</f>
        <v>1-96-6</v>
      </c>
      <c r="F1797" t="s">
        <v>15</v>
      </c>
      <c r="G1797" t="s">
        <v>20</v>
      </c>
      <c r="H1797" t="s">
        <v>21</v>
      </c>
      <c r="I1797">
        <v>1</v>
      </c>
      <c r="J1797">
        <v>0</v>
      </c>
      <c r="K1797">
        <v>0</v>
      </c>
    </row>
    <row r="1798" spans="1:11" x14ac:dyDescent="0.25">
      <c r="A1798" t="str">
        <f>"2329"</f>
        <v>2329</v>
      </c>
      <c r="B1798" t="str">
        <f t="shared" si="107"/>
        <v>1</v>
      </c>
      <c r="C1798" t="str">
        <f t="shared" si="109"/>
        <v>96</v>
      </c>
      <c r="D1798" t="str">
        <f>"17"</f>
        <v>17</v>
      </c>
      <c r="E1798" t="str">
        <f>"1-96-17"</f>
        <v>1-96-17</v>
      </c>
      <c r="F1798" t="s">
        <v>15</v>
      </c>
      <c r="G1798" t="s">
        <v>20</v>
      </c>
      <c r="H1798" t="s">
        <v>21</v>
      </c>
      <c r="I1798">
        <v>1</v>
      </c>
      <c r="J1798">
        <v>0</v>
      </c>
      <c r="K1798">
        <v>0</v>
      </c>
    </row>
    <row r="1799" spans="1:11" x14ac:dyDescent="0.25">
      <c r="A1799" t="str">
        <f>"2330"</f>
        <v>2330</v>
      </c>
      <c r="B1799" t="str">
        <f t="shared" ref="B1799:B1836" si="110">"1"</f>
        <v>1</v>
      </c>
      <c r="C1799" t="str">
        <f t="shared" si="109"/>
        <v>96</v>
      </c>
      <c r="D1799" t="str">
        <f>"1"</f>
        <v>1</v>
      </c>
      <c r="E1799" t="str">
        <f>"1-96-1"</f>
        <v>1-96-1</v>
      </c>
      <c r="F1799" t="s">
        <v>15</v>
      </c>
      <c r="G1799" t="s">
        <v>20</v>
      </c>
      <c r="H1799" t="s">
        <v>21</v>
      </c>
      <c r="I1799">
        <v>0</v>
      </c>
      <c r="J1799">
        <v>0</v>
      </c>
      <c r="K1799">
        <v>1</v>
      </c>
    </row>
    <row r="1800" spans="1:11" x14ac:dyDescent="0.25">
      <c r="A1800" t="str">
        <f>"2331"</f>
        <v>2331</v>
      </c>
      <c r="B1800" t="str">
        <f t="shared" si="110"/>
        <v>1</v>
      </c>
      <c r="C1800" t="str">
        <f t="shared" si="109"/>
        <v>96</v>
      </c>
      <c r="D1800" t="str">
        <f>"18"</f>
        <v>18</v>
      </c>
      <c r="E1800" t="str">
        <f>"1-96-18"</f>
        <v>1-96-18</v>
      </c>
      <c r="F1800" t="s">
        <v>15</v>
      </c>
      <c r="G1800" t="s">
        <v>20</v>
      </c>
      <c r="H1800" t="s">
        <v>21</v>
      </c>
      <c r="I1800">
        <v>0</v>
      </c>
      <c r="J1800">
        <v>1</v>
      </c>
      <c r="K1800">
        <v>0</v>
      </c>
    </row>
    <row r="1801" spans="1:11" x14ac:dyDescent="0.25">
      <c r="A1801" t="str">
        <f>"2332"</f>
        <v>2332</v>
      </c>
      <c r="B1801" t="str">
        <f t="shared" si="110"/>
        <v>1</v>
      </c>
      <c r="C1801" t="str">
        <f t="shared" si="109"/>
        <v>96</v>
      </c>
      <c r="D1801" t="str">
        <f>"10"</f>
        <v>10</v>
      </c>
      <c r="E1801" t="str">
        <f>"1-96-10"</f>
        <v>1-96-10</v>
      </c>
      <c r="F1801" t="s">
        <v>15</v>
      </c>
      <c r="G1801" t="s">
        <v>20</v>
      </c>
      <c r="H1801" t="s">
        <v>21</v>
      </c>
      <c r="I1801">
        <v>1</v>
      </c>
      <c r="J1801">
        <v>0</v>
      </c>
      <c r="K1801">
        <v>0</v>
      </c>
    </row>
    <row r="1802" spans="1:11" x14ac:dyDescent="0.25">
      <c r="A1802" t="str">
        <f>"2333"</f>
        <v>2333</v>
      </c>
      <c r="B1802" t="str">
        <f t="shared" si="110"/>
        <v>1</v>
      </c>
      <c r="C1802" t="str">
        <f t="shared" si="109"/>
        <v>96</v>
      </c>
      <c r="D1802" t="str">
        <f>"20"</f>
        <v>20</v>
      </c>
      <c r="E1802" t="str">
        <f>"1-96-20"</f>
        <v>1-96-20</v>
      </c>
      <c r="F1802" t="s">
        <v>15</v>
      </c>
      <c r="G1802" t="s">
        <v>20</v>
      </c>
      <c r="H1802" t="s">
        <v>21</v>
      </c>
      <c r="I1802">
        <v>0</v>
      </c>
      <c r="J1802">
        <v>0</v>
      </c>
      <c r="K1802">
        <v>1</v>
      </c>
    </row>
    <row r="1803" spans="1:11" x14ac:dyDescent="0.25">
      <c r="A1803" t="str">
        <f>"2334"</f>
        <v>2334</v>
      </c>
      <c r="B1803" t="str">
        <f t="shared" si="110"/>
        <v>1</v>
      </c>
      <c r="C1803" t="str">
        <f t="shared" si="109"/>
        <v>96</v>
      </c>
      <c r="D1803" t="str">
        <f>"13"</f>
        <v>13</v>
      </c>
      <c r="E1803" t="str">
        <f>"1-96-13"</f>
        <v>1-96-13</v>
      </c>
      <c r="F1803" t="s">
        <v>15</v>
      </c>
      <c r="G1803" t="s">
        <v>20</v>
      </c>
      <c r="H1803" t="s">
        <v>21</v>
      </c>
      <c r="I1803">
        <v>1</v>
      </c>
      <c r="J1803">
        <v>0</v>
      </c>
      <c r="K1803">
        <v>0</v>
      </c>
    </row>
    <row r="1804" spans="1:11" x14ac:dyDescent="0.25">
      <c r="A1804" t="str">
        <f>"2335"</f>
        <v>2335</v>
      </c>
      <c r="B1804" t="str">
        <f t="shared" si="110"/>
        <v>1</v>
      </c>
      <c r="C1804" t="str">
        <f t="shared" si="109"/>
        <v>96</v>
      </c>
      <c r="D1804" t="str">
        <f>"21"</f>
        <v>21</v>
      </c>
      <c r="E1804" t="str">
        <f>"1-96-21"</f>
        <v>1-96-21</v>
      </c>
      <c r="F1804" t="s">
        <v>15</v>
      </c>
      <c r="G1804" t="s">
        <v>20</v>
      </c>
      <c r="H1804" t="s">
        <v>21</v>
      </c>
      <c r="I1804">
        <v>0</v>
      </c>
      <c r="J1804">
        <v>1</v>
      </c>
      <c r="K1804">
        <v>0</v>
      </c>
    </row>
    <row r="1805" spans="1:11" x14ac:dyDescent="0.25">
      <c r="A1805" t="str">
        <f>"2336"</f>
        <v>2336</v>
      </c>
      <c r="B1805" t="str">
        <f t="shared" si="110"/>
        <v>1</v>
      </c>
      <c r="C1805" t="str">
        <f t="shared" si="109"/>
        <v>96</v>
      </c>
      <c r="D1805" t="str">
        <f>"11"</f>
        <v>11</v>
      </c>
      <c r="E1805" t="str">
        <f>"1-96-11"</f>
        <v>1-96-11</v>
      </c>
      <c r="F1805" t="s">
        <v>15</v>
      </c>
      <c r="G1805" t="s">
        <v>20</v>
      </c>
      <c r="H1805" t="s">
        <v>21</v>
      </c>
      <c r="I1805">
        <v>1</v>
      </c>
      <c r="J1805">
        <v>0</v>
      </c>
      <c r="K1805">
        <v>0</v>
      </c>
    </row>
    <row r="1806" spans="1:11" x14ac:dyDescent="0.25">
      <c r="A1806" t="str">
        <f>"2337"</f>
        <v>2337</v>
      </c>
      <c r="B1806" t="str">
        <f t="shared" si="110"/>
        <v>1</v>
      </c>
      <c r="C1806" t="str">
        <f t="shared" si="109"/>
        <v>96</v>
      </c>
      <c r="D1806" t="str">
        <f>"22"</f>
        <v>22</v>
      </c>
      <c r="E1806" t="str">
        <f>"1-96-22"</f>
        <v>1-96-22</v>
      </c>
      <c r="F1806" t="s">
        <v>15</v>
      </c>
      <c r="G1806" t="s">
        <v>20</v>
      </c>
      <c r="H1806" t="s">
        <v>21</v>
      </c>
      <c r="I1806">
        <v>0</v>
      </c>
      <c r="J1806">
        <v>0</v>
      </c>
      <c r="K1806">
        <v>1</v>
      </c>
    </row>
    <row r="1807" spans="1:11" x14ac:dyDescent="0.25">
      <c r="A1807" t="str">
        <f>"2338"</f>
        <v>2338</v>
      </c>
      <c r="B1807" t="str">
        <f t="shared" si="110"/>
        <v>1</v>
      </c>
      <c r="C1807" t="str">
        <f t="shared" si="109"/>
        <v>96</v>
      </c>
      <c r="D1807" t="str">
        <f>"4"</f>
        <v>4</v>
      </c>
      <c r="E1807" t="str">
        <f>"1-96-4"</f>
        <v>1-96-4</v>
      </c>
      <c r="F1807" t="s">
        <v>15</v>
      </c>
      <c r="G1807" t="s">
        <v>20</v>
      </c>
      <c r="H1807" t="s">
        <v>21</v>
      </c>
      <c r="I1807">
        <v>1</v>
      </c>
      <c r="J1807">
        <v>0</v>
      </c>
      <c r="K1807">
        <v>0</v>
      </c>
    </row>
    <row r="1808" spans="1:11" x14ac:dyDescent="0.25">
      <c r="A1808" t="str">
        <f>"2339"</f>
        <v>2339</v>
      </c>
      <c r="B1808" t="str">
        <f t="shared" si="110"/>
        <v>1</v>
      </c>
      <c r="C1808" t="str">
        <f t="shared" si="109"/>
        <v>96</v>
      </c>
      <c r="D1808" t="str">
        <f>"23"</f>
        <v>23</v>
      </c>
      <c r="E1808" t="str">
        <f>"1-96-23"</f>
        <v>1-96-23</v>
      </c>
      <c r="F1808" t="s">
        <v>15</v>
      </c>
      <c r="G1808" t="s">
        <v>20</v>
      </c>
      <c r="H1808" t="s">
        <v>21</v>
      </c>
      <c r="I1808">
        <v>1</v>
      </c>
      <c r="J1808">
        <v>0</v>
      </c>
      <c r="K1808">
        <v>0</v>
      </c>
    </row>
    <row r="1809" spans="1:11" x14ac:dyDescent="0.25">
      <c r="A1809" t="str">
        <f>"2340"</f>
        <v>2340</v>
      </c>
      <c r="B1809" t="str">
        <f t="shared" si="110"/>
        <v>1</v>
      </c>
      <c r="C1809" t="str">
        <f t="shared" si="109"/>
        <v>96</v>
      </c>
      <c r="D1809" t="str">
        <f>"9"</f>
        <v>9</v>
      </c>
      <c r="E1809" t="str">
        <f>"1-96-9"</f>
        <v>1-96-9</v>
      </c>
      <c r="F1809" t="s">
        <v>15</v>
      </c>
      <c r="G1809" t="s">
        <v>20</v>
      </c>
      <c r="H1809" t="s">
        <v>21</v>
      </c>
      <c r="I1809">
        <v>0</v>
      </c>
      <c r="J1809">
        <v>1</v>
      </c>
      <c r="K1809">
        <v>0</v>
      </c>
    </row>
    <row r="1810" spans="1:11" x14ac:dyDescent="0.25">
      <c r="A1810" t="str">
        <f>"2341"</f>
        <v>2341</v>
      </c>
      <c r="B1810" t="str">
        <f t="shared" si="110"/>
        <v>1</v>
      </c>
      <c r="C1810" t="str">
        <f t="shared" si="109"/>
        <v>96</v>
      </c>
      <c r="D1810" t="str">
        <f>"24"</f>
        <v>24</v>
      </c>
      <c r="E1810" t="str">
        <f>"1-96-24"</f>
        <v>1-96-24</v>
      </c>
      <c r="F1810" t="s">
        <v>15</v>
      </c>
      <c r="G1810" t="s">
        <v>20</v>
      </c>
      <c r="H1810" t="s">
        <v>21</v>
      </c>
      <c r="I1810">
        <v>0</v>
      </c>
      <c r="J1810">
        <v>1</v>
      </c>
      <c r="K1810">
        <v>0</v>
      </c>
    </row>
    <row r="1811" spans="1:11" x14ac:dyDescent="0.25">
      <c r="A1811" t="str">
        <f>"2342"</f>
        <v>2342</v>
      </c>
      <c r="B1811" t="str">
        <f t="shared" si="110"/>
        <v>1</v>
      </c>
      <c r="C1811" t="str">
        <f t="shared" si="109"/>
        <v>96</v>
      </c>
      <c r="D1811" t="str">
        <f>"7"</f>
        <v>7</v>
      </c>
      <c r="E1811" t="str">
        <f>"1-96-7"</f>
        <v>1-96-7</v>
      </c>
      <c r="F1811" t="s">
        <v>15</v>
      </c>
      <c r="G1811" t="s">
        <v>20</v>
      </c>
      <c r="H1811" t="s">
        <v>21</v>
      </c>
      <c r="I1811">
        <v>0</v>
      </c>
      <c r="J1811">
        <v>0</v>
      </c>
      <c r="K1811">
        <v>1</v>
      </c>
    </row>
    <row r="1812" spans="1:11" x14ac:dyDescent="0.25">
      <c r="A1812" t="str">
        <f>"2343"</f>
        <v>2343</v>
      </c>
      <c r="B1812" t="str">
        <f t="shared" si="110"/>
        <v>1</v>
      </c>
      <c r="C1812" t="str">
        <f t="shared" si="109"/>
        <v>96</v>
      </c>
      <c r="D1812" t="str">
        <f>"25"</f>
        <v>25</v>
      </c>
      <c r="E1812" t="str">
        <f>"1-96-25"</f>
        <v>1-96-25</v>
      </c>
      <c r="F1812" t="s">
        <v>15</v>
      </c>
      <c r="G1812" t="s">
        <v>20</v>
      </c>
      <c r="H1812" t="s">
        <v>21</v>
      </c>
      <c r="I1812">
        <v>0</v>
      </c>
      <c r="J1812">
        <v>0</v>
      </c>
      <c r="K1812">
        <v>1</v>
      </c>
    </row>
    <row r="1813" spans="1:11" x14ac:dyDescent="0.25">
      <c r="A1813" t="str">
        <f>"2344"</f>
        <v>2344</v>
      </c>
      <c r="B1813" t="str">
        <f t="shared" si="110"/>
        <v>1</v>
      </c>
      <c r="C1813" t="str">
        <f t="shared" si="109"/>
        <v>96</v>
      </c>
      <c r="D1813" t="str">
        <f>"5"</f>
        <v>5</v>
      </c>
      <c r="E1813" t="str">
        <f>"1-96-5"</f>
        <v>1-96-5</v>
      </c>
      <c r="F1813" t="s">
        <v>15</v>
      </c>
      <c r="G1813" t="s">
        <v>20</v>
      </c>
      <c r="H1813" t="s">
        <v>21</v>
      </c>
      <c r="I1813">
        <v>1</v>
      </c>
      <c r="J1813">
        <v>0</v>
      </c>
      <c r="K1813">
        <v>0</v>
      </c>
    </row>
    <row r="1814" spans="1:11" x14ac:dyDescent="0.25">
      <c r="A1814" t="str">
        <f>"2345"</f>
        <v>2345</v>
      </c>
      <c r="B1814" t="str">
        <f t="shared" si="110"/>
        <v>1</v>
      </c>
      <c r="C1814" t="str">
        <f t="shared" si="109"/>
        <v>96</v>
      </c>
      <c r="D1814" t="str">
        <f>"2"</f>
        <v>2</v>
      </c>
      <c r="E1814" t="str">
        <f>"1-96-2"</f>
        <v>1-96-2</v>
      </c>
      <c r="F1814" t="s">
        <v>15</v>
      </c>
      <c r="G1814" t="s">
        <v>20</v>
      </c>
      <c r="H1814" t="s">
        <v>21</v>
      </c>
      <c r="I1814">
        <v>0</v>
      </c>
      <c r="J1814">
        <v>1</v>
      </c>
      <c r="K1814">
        <v>0</v>
      </c>
    </row>
    <row r="1815" spans="1:11" x14ac:dyDescent="0.25">
      <c r="A1815" t="str">
        <f>"2346"</f>
        <v>2346</v>
      </c>
      <c r="B1815" t="str">
        <f t="shared" si="110"/>
        <v>1</v>
      </c>
      <c r="C1815" t="str">
        <f t="shared" si="109"/>
        <v>96</v>
      </c>
      <c r="D1815" t="str">
        <f>"14"</f>
        <v>14</v>
      </c>
      <c r="E1815" t="str">
        <f>"1-96-14"</f>
        <v>1-96-14</v>
      </c>
      <c r="F1815" t="s">
        <v>15</v>
      </c>
      <c r="G1815" t="s">
        <v>20</v>
      </c>
      <c r="H1815" t="s">
        <v>21</v>
      </c>
      <c r="I1815">
        <v>0</v>
      </c>
      <c r="J1815">
        <v>1</v>
      </c>
      <c r="K1815">
        <v>0</v>
      </c>
    </row>
    <row r="1816" spans="1:11" x14ac:dyDescent="0.25">
      <c r="A1816" t="str">
        <f>"2347"</f>
        <v>2347</v>
      </c>
      <c r="B1816" t="str">
        <f t="shared" si="110"/>
        <v>1</v>
      </c>
      <c r="C1816" t="str">
        <f t="shared" si="109"/>
        <v>96</v>
      </c>
      <c r="D1816" t="str">
        <f>"12"</f>
        <v>12</v>
      </c>
      <c r="E1816" t="str">
        <f>"1-96-12"</f>
        <v>1-96-12</v>
      </c>
      <c r="F1816" t="s">
        <v>15</v>
      </c>
      <c r="G1816" t="s">
        <v>20</v>
      </c>
      <c r="H1816" t="s">
        <v>21</v>
      </c>
      <c r="I1816">
        <v>0</v>
      </c>
      <c r="J1816">
        <v>1</v>
      </c>
      <c r="K1816">
        <v>0</v>
      </c>
    </row>
    <row r="1817" spans="1:11" x14ac:dyDescent="0.25">
      <c r="A1817" t="str">
        <f>"2348"</f>
        <v>2348</v>
      </c>
      <c r="B1817" t="str">
        <f t="shared" si="110"/>
        <v>1</v>
      </c>
      <c r="C1817" t="str">
        <f t="shared" si="109"/>
        <v>96</v>
      </c>
      <c r="D1817" t="str">
        <f>"8"</f>
        <v>8</v>
      </c>
      <c r="E1817" t="str">
        <f>"1-96-8"</f>
        <v>1-96-8</v>
      </c>
      <c r="F1817" t="s">
        <v>15</v>
      </c>
      <c r="G1817" t="s">
        <v>20</v>
      </c>
      <c r="H1817" t="s">
        <v>21</v>
      </c>
      <c r="I1817">
        <v>0</v>
      </c>
      <c r="J1817">
        <v>0</v>
      </c>
      <c r="K1817">
        <v>0</v>
      </c>
    </row>
    <row r="1818" spans="1:11" x14ac:dyDescent="0.25">
      <c r="A1818" t="str">
        <f>"2375"</f>
        <v>2375</v>
      </c>
      <c r="B1818" t="str">
        <f t="shared" si="110"/>
        <v>1</v>
      </c>
      <c r="C1818" t="str">
        <f t="shared" ref="C1818:C1842" si="111">"98"</f>
        <v>98</v>
      </c>
      <c r="D1818" t="str">
        <f>"25"</f>
        <v>25</v>
      </c>
      <c r="E1818" t="str">
        <f>"1-98-25"</f>
        <v>1-98-25</v>
      </c>
      <c r="F1818" t="s">
        <v>15</v>
      </c>
      <c r="G1818" t="s">
        <v>20</v>
      </c>
      <c r="H1818" t="s">
        <v>21</v>
      </c>
      <c r="I1818">
        <v>1</v>
      </c>
      <c r="J1818">
        <v>0</v>
      </c>
      <c r="K1818">
        <v>0</v>
      </c>
    </row>
    <row r="1819" spans="1:11" x14ac:dyDescent="0.25">
      <c r="A1819" t="str">
        <f>"2376"</f>
        <v>2376</v>
      </c>
      <c r="B1819" t="str">
        <f t="shared" si="110"/>
        <v>1</v>
      </c>
      <c r="C1819" t="str">
        <f t="shared" si="111"/>
        <v>98</v>
      </c>
      <c r="D1819" t="str">
        <f>"17"</f>
        <v>17</v>
      </c>
      <c r="E1819" t="str">
        <f>"1-98-17"</f>
        <v>1-98-17</v>
      </c>
      <c r="F1819" t="s">
        <v>15</v>
      </c>
      <c r="G1819" t="s">
        <v>20</v>
      </c>
      <c r="H1819" t="s">
        <v>21</v>
      </c>
      <c r="I1819">
        <v>0</v>
      </c>
      <c r="J1819">
        <v>1</v>
      </c>
      <c r="K1819">
        <v>0</v>
      </c>
    </row>
    <row r="1820" spans="1:11" x14ac:dyDescent="0.25">
      <c r="A1820" t="str">
        <f>"2377"</f>
        <v>2377</v>
      </c>
      <c r="B1820" t="str">
        <f t="shared" si="110"/>
        <v>1</v>
      </c>
      <c r="C1820" t="str">
        <f t="shared" si="111"/>
        <v>98</v>
      </c>
      <c r="D1820" t="str">
        <f>"15"</f>
        <v>15</v>
      </c>
      <c r="E1820" t="str">
        <f>"1-98-15"</f>
        <v>1-98-15</v>
      </c>
      <c r="F1820" t="s">
        <v>15</v>
      </c>
      <c r="G1820" t="s">
        <v>20</v>
      </c>
      <c r="H1820" t="s">
        <v>21</v>
      </c>
      <c r="I1820">
        <v>0</v>
      </c>
      <c r="J1820">
        <v>1</v>
      </c>
      <c r="K1820">
        <v>0</v>
      </c>
    </row>
    <row r="1821" spans="1:11" x14ac:dyDescent="0.25">
      <c r="A1821" t="str">
        <f>"2378"</f>
        <v>2378</v>
      </c>
      <c r="B1821" t="str">
        <f t="shared" si="110"/>
        <v>1</v>
      </c>
      <c r="C1821" t="str">
        <f t="shared" si="111"/>
        <v>98</v>
      </c>
      <c r="D1821" t="str">
        <f>"1"</f>
        <v>1</v>
      </c>
      <c r="E1821" t="str">
        <f>"1-98-1"</f>
        <v>1-98-1</v>
      </c>
      <c r="F1821" t="s">
        <v>15</v>
      </c>
      <c r="G1821" t="s">
        <v>20</v>
      </c>
      <c r="H1821" t="s">
        <v>21</v>
      </c>
      <c r="I1821">
        <v>0</v>
      </c>
      <c r="J1821">
        <v>1</v>
      </c>
      <c r="K1821">
        <v>0</v>
      </c>
    </row>
    <row r="1822" spans="1:11" x14ac:dyDescent="0.25">
      <c r="A1822" t="str">
        <f>"2379"</f>
        <v>2379</v>
      </c>
      <c r="B1822" t="str">
        <f t="shared" si="110"/>
        <v>1</v>
      </c>
      <c r="C1822" t="str">
        <f t="shared" si="111"/>
        <v>98</v>
      </c>
      <c r="D1822" t="str">
        <f>"16"</f>
        <v>16</v>
      </c>
      <c r="E1822" t="str">
        <f>"1-98-16"</f>
        <v>1-98-16</v>
      </c>
      <c r="F1822" t="s">
        <v>15</v>
      </c>
      <c r="G1822" t="s">
        <v>20</v>
      </c>
      <c r="H1822" t="s">
        <v>21</v>
      </c>
      <c r="I1822">
        <v>1</v>
      </c>
      <c r="J1822">
        <v>0</v>
      </c>
      <c r="K1822">
        <v>0</v>
      </c>
    </row>
    <row r="1823" spans="1:11" x14ac:dyDescent="0.25">
      <c r="A1823" t="str">
        <f>"2380"</f>
        <v>2380</v>
      </c>
      <c r="B1823" t="str">
        <f t="shared" si="110"/>
        <v>1</v>
      </c>
      <c r="C1823" t="str">
        <f t="shared" si="111"/>
        <v>98</v>
      </c>
      <c r="D1823" t="str">
        <f>"3"</f>
        <v>3</v>
      </c>
      <c r="E1823" t="str">
        <f>"1-98-3"</f>
        <v>1-98-3</v>
      </c>
      <c r="F1823" t="s">
        <v>15</v>
      </c>
      <c r="G1823" t="s">
        <v>20</v>
      </c>
      <c r="H1823" t="s">
        <v>21</v>
      </c>
      <c r="I1823">
        <v>0</v>
      </c>
      <c r="J1823">
        <v>0</v>
      </c>
      <c r="K1823">
        <v>1</v>
      </c>
    </row>
    <row r="1824" spans="1:11" x14ac:dyDescent="0.25">
      <c r="A1824" t="str">
        <f>"2381"</f>
        <v>2381</v>
      </c>
      <c r="B1824" t="str">
        <f t="shared" si="110"/>
        <v>1</v>
      </c>
      <c r="C1824" t="str">
        <f t="shared" si="111"/>
        <v>98</v>
      </c>
      <c r="D1824" t="str">
        <f>"18"</f>
        <v>18</v>
      </c>
      <c r="E1824" t="str">
        <f>"1-98-18"</f>
        <v>1-98-18</v>
      </c>
      <c r="F1824" t="s">
        <v>15</v>
      </c>
      <c r="G1824" t="s">
        <v>20</v>
      </c>
      <c r="H1824" t="s">
        <v>21</v>
      </c>
      <c r="I1824">
        <v>1</v>
      </c>
      <c r="J1824">
        <v>0</v>
      </c>
      <c r="K1824">
        <v>0</v>
      </c>
    </row>
    <row r="1825" spans="1:11" x14ac:dyDescent="0.25">
      <c r="A1825" t="str">
        <f>"2382"</f>
        <v>2382</v>
      </c>
      <c r="B1825" t="str">
        <f t="shared" si="110"/>
        <v>1</v>
      </c>
      <c r="C1825" t="str">
        <f t="shared" si="111"/>
        <v>98</v>
      </c>
      <c r="D1825" t="str">
        <f>"12"</f>
        <v>12</v>
      </c>
      <c r="E1825" t="str">
        <f>"1-98-12"</f>
        <v>1-98-12</v>
      </c>
      <c r="F1825" t="s">
        <v>15</v>
      </c>
      <c r="G1825" t="s">
        <v>20</v>
      </c>
      <c r="H1825" t="s">
        <v>21</v>
      </c>
      <c r="I1825">
        <v>1</v>
      </c>
      <c r="J1825">
        <v>0</v>
      </c>
      <c r="K1825">
        <v>0</v>
      </c>
    </row>
    <row r="1826" spans="1:11" x14ac:dyDescent="0.25">
      <c r="A1826" t="str">
        <f>"2383"</f>
        <v>2383</v>
      </c>
      <c r="B1826" t="str">
        <f t="shared" si="110"/>
        <v>1</v>
      </c>
      <c r="C1826" t="str">
        <f t="shared" si="111"/>
        <v>98</v>
      </c>
      <c r="D1826" t="str">
        <f>"19"</f>
        <v>19</v>
      </c>
      <c r="E1826" t="str">
        <f>"1-98-19"</f>
        <v>1-98-19</v>
      </c>
      <c r="F1826" t="s">
        <v>15</v>
      </c>
      <c r="G1826" t="s">
        <v>20</v>
      </c>
      <c r="H1826" t="s">
        <v>21</v>
      </c>
      <c r="I1826">
        <v>0</v>
      </c>
      <c r="J1826">
        <v>0</v>
      </c>
      <c r="K1826">
        <v>1</v>
      </c>
    </row>
    <row r="1827" spans="1:11" x14ac:dyDescent="0.25">
      <c r="A1827" t="str">
        <f>"2384"</f>
        <v>2384</v>
      </c>
      <c r="B1827" t="str">
        <f t="shared" si="110"/>
        <v>1</v>
      </c>
      <c r="C1827" t="str">
        <f t="shared" si="111"/>
        <v>98</v>
      </c>
      <c r="D1827" t="str">
        <f>"11"</f>
        <v>11</v>
      </c>
      <c r="E1827" t="str">
        <f>"1-98-11"</f>
        <v>1-98-11</v>
      </c>
      <c r="F1827" t="s">
        <v>15</v>
      </c>
      <c r="G1827" t="s">
        <v>20</v>
      </c>
      <c r="H1827" t="s">
        <v>21</v>
      </c>
      <c r="I1827">
        <v>1</v>
      </c>
      <c r="J1827">
        <v>0</v>
      </c>
      <c r="K1827">
        <v>0</v>
      </c>
    </row>
    <row r="1828" spans="1:11" x14ac:dyDescent="0.25">
      <c r="A1828" t="str">
        <f>"2385"</f>
        <v>2385</v>
      </c>
      <c r="B1828" t="str">
        <f t="shared" si="110"/>
        <v>1</v>
      </c>
      <c r="C1828" t="str">
        <f t="shared" si="111"/>
        <v>98</v>
      </c>
      <c r="D1828" t="str">
        <f>"20"</f>
        <v>20</v>
      </c>
      <c r="E1828" t="str">
        <f>"1-98-20"</f>
        <v>1-98-20</v>
      </c>
      <c r="F1828" t="s">
        <v>15</v>
      </c>
      <c r="G1828" t="s">
        <v>20</v>
      </c>
      <c r="H1828" t="s">
        <v>21</v>
      </c>
      <c r="I1828">
        <v>0</v>
      </c>
      <c r="J1828">
        <v>1</v>
      </c>
      <c r="K1828">
        <v>0</v>
      </c>
    </row>
    <row r="1829" spans="1:11" x14ac:dyDescent="0.25">
      <c r="A1829" t="str">
        <f>"2386"</f>
        <v>2386</v>
      </c>
      <c r="B1829" t="str">
        <f t="shared" si="110"/>
        <v>1</v>
      </c>
      <c r="C1829" t="str">
        <f t="shared" si="111"/>
        <v>98</v>
      </c>
      <c r="D1829" t="str">
        <f>"2"</f>
        <v>2</v>
      </c>
      <c r="E1829" t="str">
        <f>"1-98-2"</f>
        <v>1-98-2</v>
      </c>
      <c r="F1829" t="s">
        <v>15</v>
      </c>
      <c r="G1829" t="s">
        <v>20</v>
      </c>
      <c r="H1829" t="s">
        <v>21</v>
      </c>
      <c r="I1829">
        <v>0</v>
      </c>
      <c r="J1829">
        <v>0</v>
      </c>
      <c r="K1829">
        <v>1</v>
      </c>
    </row>
    <row r="1830" spans="1:11" x14ac:dyDescent="0.25">
      <c r="A1830" t="str">
        <f>"2387"</f>
        <v>2387</v>
      </c>
      <c r="B1830" t="str">
        <f t="shared" si="110"/>
        <v>1</v>
      </c>
      <c r="C1830" t="str">
        <f t="shared" si="111"/>
        <v>98</v>
      </c>
      <c r="D1830" t="str">
        <f>"21"</f>
        <v>21</v>
      </c>
      <c r="E1830" t="str">
        <f>"1-98-21"</f>
        <v>1-98-21</v>
      </c>
      <c r="F1830" t="s">
        <v>15</v>
      </c>
      <c r="G1830" t="s">
        <v>20</v>
      </c>
      <c r="H1830" t="s">
        <v>21</v>
      </c>
      <c r="I1830">
        <v>0</v>
      </c>
      <c r="J1830">
        <v>1</v>
      </c>
      <c r="K1830">
        <v>0</v>
      </c>
    </row>
    <row r="1831" spans="1:11" x14ac:dyDescent="0.25">
      <c r="A1831" t="str">
        <f>"2388"</f>
        <v>2388</v>
      </c>
      <c r="B1831" t="str">
        <f t="shared" si="110"/>
        <v>1</v>
      </c>
      <c r="C1831" t="str">
        <f t="shared" si="111"/>
        <v>98</v>
      </c>
      <c r="D1831" t="str">
        <f>"6"</f>
        <v>6</v>
      </c>
      <c r="E1831" t="str">
        <f>"1-98-6"</f>
        <v>1-98-6</v>
      </c>
      <c r="F1831" t="s">
        <v>15</v>
      </c>
      <c r="G1831" t="s">
        <v>20</v>
      </c>
      <c r="H1831" t="s">
        <v>21</v>
      </c>
      <c r="I1831">
        <v>0</v>
      </c>
      <c r="J1831">
        <v>1</v>
      </c>
      <c r="K1831">
        <v>0</v>
      </c>
    </row>
    <row r="1832" spans="1:11" x14ac:dyDescent="0.25">
      <c r="A1832" t="str">
        <f>"2389"</f>
        <v>2389</v>
      </c>
      <c r="B1832" t="str">
        <f t="shared" si="110"/>
        <v>1</v>
      </c>
      <c r="C1832" t="str">
        <f t="shared" si="111"/>
        <v>98</v>
      </c>
      <c r="D1832" t="str">
        <f>"22"</f>
        <v>22</v>
      </c>
      <c r="E1832" t="str">
        <f>"1-98-22"</f>
        <v>1-98-22</v>
      </c>
      <c r="F1832" t="s">
        <v>15</v>
      </c>
      <c r="G1832" t="s">
        <v>20</v>
      </c>
      <c r="H1832" t="s">
        <v>21</v>
      </c>
      <c r="I1832">
        <v>0</v>
      </c>
      <c r="J1832">
        <v>1</v>
      </c>
      <c r="K1832">
        <v>0</v>
      </c>
    </row>
    <row r="1833" spans="1:11" x14ac:dyDescent="0.25">
      <c r="A1833" t="str">
        <f>"2390"</f>
        <v>2390</v>
      </c>
      <c r="B1833" t="str">
        <f t="shared" si="110"/>
        <v>1</v>
      </c>
      <c r="C1833" t="str">
        <f t="shared" si="111"/>
        <v>98</v>
      </c>
      <c r="D1833" t="str">
        <f>"4"</f>
        <v>4</v>
      </c>
      <c r="E1833" t="str">
        <f>"1-98-4"</f>
        <v>1-98-4</v>
      </c>
      <c r="F1833" t="s">
        <v>15</v>
      </c>
      <c r="G1833" t="s">
        <v>20</v>
      </c>
      <c r="H1833" t="s">
        <v>21</v>
      </c>
      <c r="I1833">
        <v>0</v>
      </c>
      <c r="J1833">
        <v>0</v>
      </c>
      <c r="K1833">
        <v>1</v>
      </c>
    </row>
    <row r="1834" spans="1:11" x14ac:dyDescent="0.25">
      <c r="A1834" t="str">
        <f>"2391"</f>
        <v>2391</v>
      </c>
      <c r="B1834" t="str">
        <f t="shared" si="110"/>
        <v>1</v>
      </c>
      <c r="C1834" t="str">
        <f t="shared" si="111"/>
        <v>98</v>
      </c>
      <c r="D1834" t="str">
        <f>"23"</f>
        <v>23</v>
      </c>
      <c r="E1834" t="str">
        <f>"1-98-23"</f>
        <v>1-98-23</v>
      </c>
      <c r="F1834" t="s">
        <v>15</v>
      </c>
      <c r="G1834" t="s">
        <v>20</v>
      </c>
      <c r="H1834" t="s">
        <v>21</v>
      </c>
      <c r="I1834">
        <v>0</v>
      </c>
      <c r="J1834">
        <v>0</v>
      </c>
      <c r="K1834">
        <v>1</v>
      </c>
    </row>
    <row r="1835" spans="1:11" x14ac:dyDescent="0.25">
      <c r="A1835" t="str">
        <f>"2392"</f>
        <v>2392</v>
      </c>
      <c r="B1835" t="str">
        <f t="shared" si="110"/>
        <v>1</v>
      </c>
      <c r="C1835" t="str">
        <f t="shared" si="111"/>
        <v>98</v>
      </c>
      <c r="D1835" t="str">
        <f>"7"</f>
        <v>7</v>
      </c>
      <c r="E1835" t="str">
        <f>"1-98-7"</f>
        <v>1-98-7</v>
      </c>
      <c r="F1835" t="s">
        <v>15</v>
      </c>
      <c r="G1835" t="s">
        <v>20</v>
      </c>
      <c r="H1835" t="s">
        <v>21</v>
      </c>
      <c r="I1835">
        <v>0</v>
      </c>
      <c r="J1835">
        <v>0</v>
      </c>
      <c r="K1835">
        <v>1</v>
      </c>
    </row>
    <row r="1836" spans="1:11" x14ac:dyDescent="0.25">
      <c r="A1836" t="str">
        <f>"2393"</f>
        <v>2393</v>
      </c>
      <c r="B1836" t="str">
        <f t="shared" si="110"/>
        <v>1</v>
      </c>
      <c r="C1836" t="str">
        <f t="shared" si="111"/>
        <v>98</v>
      </c>
      <c r="D1836" t="str">
        <f>"24"</f>
        <v>24</v>
      </c>
      <c r="E1836" t="str">
        <f>"1-98-24"</f>
        <v>1-98-24</v>
      </c>
      <c r="F1836" t="s">
        <v>15</v>
      </c>
      <c r="G1836" t="s">
        <v>20</v>
      </c>
      <c r="H1836" t="s">
        <v>21</v>
      </c>
      <c r="I1836">
        <v>1</v>
      </c>
      <c r="J1836">
        <v>0</v>
      </c>
      <c r="K1836">
        <v>0</v>
      </c>
    </row>
    <row r="1837" spans="1:11" x14ac:dyDescent="0.25">
      <c r="A1837" t="str">
        <f>"2394"</f>
        <v>2394</v>
      </c>
      <c r="B1837" t="str">
        <f t="shared" ref="B1837:B1900" si="112">"1"</f>
        <v>1</v>
      </c>
      <c r="C1837" t="str">
        <f t="shared" si="111"/>
        <v>98</v>
      </c>
      <c r="D1837" t="str">
        <f>"13"</f>
        <v>13</v>
      </c>
      <c r="E1837" t="str">
        <f>"1-98-13"</f>
        <v>1-98-13</v>
      </c>
      <c r="F1837" t="s">
        <v>15</v>
      </c>
      <c r="G1837" t="s">
        <v>20</v>
      </c>
      <c r="H1837" t="s">
        <v>21</v>
      </c>
      <c r="I1837">
        <v>0</v>
      </c>
      <c r="J1837">
        <v>0</v>
      </c>
      <c r="K1837">
        <v>1</v>
      </c>
    </row>
    <row r="1838" spans="1:11" x14ac:dyDescent="0.25">
      <c r="A1838" t="str">
        <f>"2395"</f>
        <v>2395</v>
      </c>
      <c r="B1838" t="str">
        <f t="shared" si="112"/>
        <v>1</v>
      </c>
      <c r="C1838" t="str">
        <f t="shared" si="111"/>
        <v>98</v>
      </c>
      <c r="D1838" t="str">
        <f>"9"</f>
        <v>9</v>
      </c>
      <c r="E1838" t="str">
        <f>"1-98-9"</f>
        <v>1-98-9</v>
      </c>
      <c r="F1838" t="s">
        <v>15</v>
      </c>
      <c r="G1838" t="s">
        <v>20</v>
      </c>
      <c r="H1838" t="s">
        <v>21</v>
      </c>
      <c r="I1838">
        <v>1</v>
      </c>
      <c r="J1838">
        <v>0</v>
      </c>
      <c r="K1838">
        <v>0</v>
      </c>
    </row>
    <row r="1839" spans="1:11" x14ac:dyDescent="0.25">
      <c r="A1839" t="str">
        <f>"2396"</f>
        <v>2396</v>
      </c>
      <c r="B1839" t="str">
        <f t="shared" si="112"/>
        <v>1</v>
      </c>
      <c r="C1839" t="str">
        <f t="shared" si="111"/>
        <v>98</v>
      </c>
      <c r="D1839" t="str">
        <f>"8"</f>
        <v>8</v>
      </c>
      <c r="E1839" t="str">
        <f>"1-98-8"</f>
        <v>1-98-8</v>
      </c>
      <c r="F1839" t="s">
        <v>15</v>
      </c>
      <c r="G1839" t="s">
        <v>20</v>
      </c>
      <c r="H1839" t="s">
        <v>21</v>
      </c>
      <c r="I1839">
        <v>0</v>
      </c>
      <c r="J1839">
        <v>0</v>
      </c>
      <c r="K1839">
        <v>1</v>
      </c>
    </row>
    <row r="1840" spans="1:11" x14ac:dyDescent="0.25">
      <c r="A1840" t="str">
        <f>"2397"</f>
        <v>2397</v>
      </c>
      <c r="B1840" t="str">
        <f t="shared" si="112"/>
        <v>1</v>
      </c>
      <c r="C1840" t="str">
        <f t="shared" si="111"/>
        <v>98</v>
      </c>
      <c r="D1840" t="str">
        <f>"10"</f>
        <v>10</v>
      </c>
      <c r="E1840" t="str">
        <f>"1-98-10"</f>
        <v>1-98-10</v>
      </c>
      <c r="F1840" t="s">
        <v>15</v>
      </c>
      <c r="G1840" t="s">
        <v>20</v>
      </c>
      <c r="H1840" t="s">
        <v>21</v>
      </c>
      <c r="I1840">
        <v>0</v>
      </c>
      <c r="J1840">
        <v>0</v>
      </c>
      <c r="K1840">
        <v>1</v>
      </c>
    </row>
    <row r="1841" spans="1:11" x14ac:dyDescent="0.25">
      <c r="A1841" t="str">
        <f>"2398"</f>
        <v>2398</v>
      </c>
      <c r="B1841" t="str">
        <f t="shared" si="112"/>
        <v>1</v>
      </c>
      <c r="C1841" t="str">
        <f t="shared" si="111"/>
        <v>98</v>
      </c>
      <c r="D1841" t="str">
        <f>"5"</f>
        <v>5</v>
      </c>
      <c r="E1841" t="str">
        <f>"1-98-5"</f>
        <v>1-98-5</v>
      </c>
      <c r="F1841" t="s">
        <v>15</v>
      </c>
      <c r="G1841" t="s">
        <v>20</v>
      </c>
      <c r="H1841" t="s">
        <v>21</v>
      </c>
      <c r="I1841">
        <v>0</v>
      </c>
      <c r="J1841">
        <v>1</v>
      </c>
      <c r="K1841">
        <v>0</v>
      </c>
    </row>
    <row r="1842" spans="1:11" x14ac:dyDescent="0.25">
      <c r="A1842" t="str">
        <f>"2399"</f>
        <v>2399</v>
      </c>
      <c r="B1842" t="str">
        <f t="shared" si="112"/>
        <v>1</v>
      </c>
      <c r="C1842" t="str">
        <f t="shared" si="111"/>
        <v>98</v>
      </c>
      <c r="D1842" t="str">
        <f>"14"</f>
        <v>14</v>
      </c>
      <c r="E1842" t="str">
        <f>"1-98-14"</f>
        <v>1-98-14</v>
      </c>
      <c r="F1842" t="s">
        <v>15</v>
      </c>
      <c r="G1842" t="s">
        <v>20</v>
      </c>
      <c r="H1842" t="s">
        <v>21</v>
      </c>
      <c r="I1842">
        <v>0</v>
      </c>
      <c r="J1842">
        <v>0</v>
      </c>
      <c r="K1842">
        <v>1</v>
      </c>
    </row>
    <row r="1843" spans="1:11" x14ac:dyDescent="0.25">
      <c r="A1843" t="str">
        <f>"2400"</f>
        <v>2400</v>
      </c>
      <c r="B1843" t="str">
        <f t="shared" si="112"/>
        <v>1</v>
      </c>
      <c r="C1843" t="str">
        <f t="shared" ref="C1843:C1867" si="113">"99"</f>
        <v>99</v>
      </c>
      <c r="D1843" t="str">
        <f>"15"</f>
        <v>15</v>
      </c>
      <c r="E1843" t="str">
        <f>"1-99-15"</f>
        <v>1-99-15</v>
      </c>
      <c r="F1843" t="s">
        <v>15</v>
      </c>
      <c r="G1843" t="s">
        <v>20</v>
      </c>
      <c r="H1843" t="s">
        <v>21</v>
      </c>
      <c r="I1843">
        <v>0</v>
      </c>
      <c r="J1843">
        <v>1</v>
      </c>
      <c r="K1843">
        <v>0</v>
      </c>
    </row>
    <row r="1844" spans="1:11" x14ac:dyDescent="0.25">
      <c r="A1844" t="str">
        <f>"2401"</f>
        <v>2401</v>
      </c>
      <c r="B1844" t="str">
        <f t="shared" si="112"/>
        <v>1</v>
      </c>
      <c r="C1844" t="str">
        <f t="shared" si="113"/>
        <v>99</v>
      </c>
      <c r="D1844" t="str">
        <f>"3"</f>
        <v>3</v>
      </c>
      <c r="E1844" t="str">
        <f>"1-99-3"</f>
        <v>1-99-3</v>
      </c>
      <c r="F1844" t="s">
        <v>15</v>
      </c>
      <c r="G1844" t="s">
        <v>20</v>
      </c>
      <c r="H1844" t="s">
        <v>21</v>
      </c>
      <c r="I1844">
        <v>0</v>
      </c>
      <c r="J1844">
        <v>0</v>
      </c>
      <c r="K1844">
        <v>1</v>
      </c>
    </row>
    <row r="1845" spans="1:11" x14ac:dyDescent="0.25">
      <c r="A1845" t="str">
        <f>"2402"</f>
        <v>2402</v>
      </c>
      <c r="B1845" t="str">
        <f t="shared" si="112"/>
        <v>1</v>
      </c>
      <c r="C1845" t="str">
        <f t="shared" si="113"/>
        <v>99</v>
      </c>
      <c r="D1845" t="str">
        <f>"23"</f>
        <v>23</v>
      </c>
      <c r="E1845" t="str">
        <f>"1-99-23"</f>
        <v>1-99-23</v>
      </c>
      <c r="F1845" t="s">
        <v>15</v>
      </c>
      <c r="G1845" t="s">
        <v>20</v>
      </c>
      <c r="H1845" t="s">
        <v>21</v>
      </c>
      <c r="I1845">
        <v>0</v>
      </c>
      <c r="J1845">
        <v>0</v>
      </c>
      <c r="K1845">
        <v>1</v>
      </c>
    </row>
    <row r="1846" spans="1:11" x14ac:dyDescent="0.25">
      <c r="A1846" t="str">
        <f>"2403"</f>
        <v>2403</v>
      </c>
      <c r="B1846" t="str">
        <f t="shared" si="112"/>
        <v>1</v>
      </c>
      <c r="C1846" t="str">
        <f t="shared" si="113"/>
        <v>99</v>
      </c>
      <c r="D1846" t="str">
        <f>"16"</f>
        <v>16</v>
      </c>
      <c r="E1846" t="str">
        <f>"1-99-16"</f>
        <v>1-99-16</v>
      </c>
      <c r="F1846" t="s">
        <v>15</v>
      </c>
      <c r="G1846" t="s">
        <v>20</v>
      </c>
      <c r="H1846" t="s">
        <v>21</v>
      </c>
      <c r="I1846">
        <v>0</v>
      </c>
      <c r="J1846">
        <v>0</v>
      </c>
      <c r="K1846">
        <v>1</v>
      </c>
    </row>
    <row r="1847" spans="1:11" x14ac:dyDescent="0.25">
      <c r="A1847" t="str">
        <f>"2404"</f>
        <v>2404</v>
      </c>
      <c r="B1847" t="str">
        <f t="shared" si="112"/>
        <v>1</v>
      </c>
      <c r="C1847" t="str">
        <f t="shared" si="113"/>
        <v>99</v>
      </c>
      <c r="D1847" t="str">
        <f>"7"</f>
        <v>7</v>
      </c>
      <c r="E1847" t="str">
        <f>"1-99-7"</f>
        <v>1-99-7</v>
      </c>
      <c r="F1847" t="s">
        <v>15</v>
      </c>
      <c r="G1847" t="s">
        <v>20</v>
      </c>
      <c r="H1847" t="s">
        <v>21</v>
      </c>
      <c r="I1847">
        <v>0</v>
      </c>
      <c r="J1847">
        <v>1</v>
      </c>
      <c r="K1847">
        <v>0</v>
      </c>
    </row>
    <row r="1848" spans="1:11" x14ac:dyDescent="0.25">
      <c r="A1848" t="str">
        <f>"2405"</f>
        <v>2405</v>
      </c>
      <c r="B1848" t="str">
        <f t="shared" si="112"/>
        <v>1</v>
      </c>
      <c r="C1848" t="str">
        <f t="shared" si="113"/>
        <v>99</v>
      </c>
      <c r="D1848" t="str">
        <f>"17"</f>
        <v>17</v>
      </c>
      <c r="E1848" t="str">
        <f>"1-99-17"</f>
        <v>1-99-17</v>
      </c>
      <c r="F1848" t="s">
        <v>15</v>
      </c>
      <c r="G1848" t="s">
        <v>20</v>
      </c>
      <c r="H1848" t="s">
        <v>21</v>
      </c>
      <c r="I1848">
        <v>0</v>
      </c>
      <c r="J1848">
        <v>1</v>
      </c>
      <c r="K1848">
        <v>0</v>
      </c>
    </row>
    <row r="1849" spans="1:11" x14ac:dyDescent="0.25">
      <c r="A1849" t="str">
        <f>"2406"</f>
        <v>2406</v>
      </c>
      <c r="B1849" t="str">
        <f t="shared" si="112"/>
        <v>1</v>
      </c>
      <c r="C1849" t="str">
        <f t="shared" si="113"/>
        <v>99</v>
      </c>
      <c r="D1849" t="str">
        <f>"6"</f>
        <v>6</v>
      </c>
      <c r="E1849" t="str">
        <f>"1-99-6"</f>
        <v>1-99-6</v>
      </c>
      <c r="F1849" t="s">
        <v>15</v>
      </c>
      <c r="G1849" t="s">
        <v>20</v>
      </c>
      <c r="H1849" t="s">
        <v>21</v>
      </c>
      <c r="I1849">
        <v>0</v>
      </c>
      <c r="J1849">
        <v>1</v>
      </c>
      <c r="K1849">
        <v>0</v>
      </c>
    </row>
    <row r="1850" spans="1:11" x14ac:dyDescent="0.25">
      <c r="A1850" t="str">
        <f>"2407"</f>
        <v>2407</v>
      </c>
      <c r="B1850" t="str">
        <f t="shared" si="112"/>
        <v>1</v>
      </c>
      <c r="C1850" t="str">
        <f t="shared" si="113"/>
        <v>99</v>
      </c>
      <c r="D1850" t="str">
        <f>"18"</f>
        <v>18</v>
      </c>
      <c r="E1850" t="str">
        <f>"1-99-18"</f>
        <v>1-99-18</v>
      </c>
      <c r="F1850" t="s">
        <v>15</v>
      </c>
      <c r="G1850" t="s">
        <v>20</v>
      </c>
      <c r="H1850" t="s">
        <v>21</v>
      </c>
      <c r="I1850">
        <v>0</v>
      </c>
      <c r="J1850">
        <v>1</v>
      </c>
      <c r="K1850">
        <v>0</v>
      </c>
    </row>
    <row r="1851" spans="1:11" x14ac:dyDescent="0.25">
      <c r="A1851" t="str">
        <f>"2408"</f>
        <v>2408</v>
      </c>
      <c r="B1851" t="str">
        <f t="shared" si="112"/>
        <v>1</v>
      </c>
      <c r="C1851" t="str">
        <f t="shared" si="113"/>
        <v>99</v>
      </c>
      <c r="D1851" t="str">
        <f>"8"</f>
        <v>8</v>
      </c>
      <c r="E1851" t="str">
        <f>"1-99-8"</f>
        <v>1-99-8</v>
      </c>
      <c r="F1851" t="s">
        <v>15</v>
      </c>
      <c r="G1851" t="s">
        <v>20</v>
      </c>
      <c r="H1851" t="s">
        <v>21</v>
      </c>
      <c r="I1851">
        <v>0</v>
      </c>
      <c r="J1851">
        <v>1</v>
      </c>
      <c r="K1851">
        <v>0</v>
      </c>
    </row>
    <row r="1852" spans="1:11" x14ac:dyDescent="0.25">
      <c r="A1852" t="str">
        <f>"2409"</f>
        <v>2409</v>
      </c>
      <c r="B1852" t="str">
        <f t="shared" si="112"/>
        <v>1</v>
      </c>
      <c r="C1852" t="str">
        <f t="shared" si="113"/>
        <v>99</v>
      </c>
      <c r="D1852" t="str">
        <f>"19"</f>
        <v>19</v>
      </c>
      <c r="E1852" t="str">
        <f>"1-99-19"</f>
        <v>1-99-19</v>
      </c>
      <c r="F1852" t="s">
        <v>15</v>
      </c>
      <c r="G1852" t="s">
        <v>20</v>
      </c>
      <c r="H1852" t="s">
        <v>21</v>
      </c>
      <c r="I1852">
        <v>1</v>
      </c>
      <c r="J1852">
        <v>0</v>
      </c>
      <c r="K1852">
        <v>0</v>
      </c>
    </row>
    <row r="1853" spans="1:11" x14ac:dyDescent="0.25">
      <c r="A1853" t="str">
        <f>"2410"</f>
        <v>2410</v>
      </c>
      <c r="B1853" t="str">
        <f t="shared" si="112"/>
        <v>1</v>
      </c>
      <c r="C1853" t="str">
        <f t="shared" si="113"/>
        <v>99</v>
      </c>
      <c r="D1853" t="str">
        <f>"9"</f>
        <v>9</v>
      </c>
      <c r="E1853" t="str">
        <f>"1-99-9"</f>
        <v>1-99-9</v>
      </c>
      <c r="F1853" t="s">
        <v>15</v>
      </c>
      <c r="G1853" t="s">
        <v>20</v>
      </c>
      <c r="H1853" t="s">
        <v>21</v>
      </c>
      <c r="I1853">
        <v>0</v>
      </c>
      <c r="J1853">
        <v>1</v>
      </c>
      <c r="K1853">
        <v>0</v>
      </c>
    </row>
    <row r="1854" spans="1:11" x14ac:dyDescent="0.25">
      <c r="A1854" t="str">
        <f>"2411"</f>
        <v>2411</v>
      </c>
      <c r="B1854" t="str">
        <f t="shared" si="112"/>
        <v>1</v>
      </c>
      <c r="C1854" t="str">
        <f t="shared" si="113"/>
        <v>99</v>
      </c>
      <c r="D1854" t="str">
        <f>"20"</f>
        <v>20</v>
      </c>
      <c r="E1854" t="str">
        <f>"1-99-20"</f>
        <v>1-99-20</v>
      </c>
      <c r="F1854" t="s">
        <v>15</v>
      </c>
      <c r="G1854" t="s">
        <v>20</v>
      </c>
      <c r="H1854" t="s">
        <v>21</v>
      </c>
      <c r="I1854">
        <v>1</v>
      </c>
      <c r="J1854">
        <v>0</v>
      </c>
      <c r="K1854">
        <v>0</v>
      </c>
    </row>
    <row r="1855" spans="1:11" x14ac:dyDescent="0.25">
      <c r="A1855" t="str">
        <f>"2412"</f>
        <v>2412</v>
      </c>
      <c r="B1855" t="str">
        <f t="shared" si="112"/>
        <v>1</v>
      </c>
      <c r="C1855" t="str">
        <f t="shared" si="113"/>
        <v>99</v>
      </c>
      <c r="D1855" t="str">
        <f>"5"</f>
        <v>5</v>
      </c>
      <c r="E1855" t="str">
        <f>"1-99-5"</f>
        <v>1-99-5</v>
      </c>
      <c r="F1855" t="s">
        <v>15</v>
      </c>
      <c r="G1855" t="s">
        <v>20</v>
      </c>
      <c r="H1855" t="s">
        <v>21</v>
      </c>
      <c r="I1855">
        <v>0</v>
      </c>
      <c r="J1855">
        <v>0</v>
      </c>
      <c r="K1855">
        <v>1</v>
      </c>
    </row>
    <row r="1856" spans="1:11" x14ac:dyDescent="0.25">
      <c r="A1856" t="str">
        <f>"2413"</f>
        <v>2413</v>
      </c>
      <c r="B1856" t="str">
        <f t="shared" si="112"/>
        <v>1</v>
      </c>
      <c r="C1856" t="str">
        <f t="shared" si="113"/>
        <v>99</v>
      </c>
      <c r="D1856" t="str">
        <f>"21"</f>
        <v>21</v>
      </c>
      <c r="E1856" t="str">
        <f>"1-99-21"</f>
        <v>1-99-21</v>
      </c>
      <c r="F1856" t="s">
        <v>15</v>
      </c>
      <c r="G1856" t="s">
        <v>20</v>
      </c>
      <c r="H1856" t="s">
        <v>21</v>
      </c>
      <c r="I1856">
        <v>1</v>
      </c>
      <c r="J1856">
        <v>0</v>
      </c>
      <c r="K1856">
        <v>0</v>
      </c>
    </row>
    <row r="1857" spans="1:11" x14ac:dyDescent="0.25">
      <c r="A1857" t="str">
        <f>"2414"</f>
        <v>2414</v>
      </c>
      <c r="B1857" t="str">
        <f t="shared" si="112"/>
        <v>1</v>
      </c>
      <c r="C1857" t="str">
        <f t="shared" si="113"/>
        <v>99</v>
      </c>
      <c r="D1857" t="str">
        <f>"12"</f>
        <v>12</v>
      </c>
      <c r="E1857" t="str">
        <f>"1-99-12"</f>
        <v>1-99-12</v>
      </c>
      <c r="F1857" t="s">
        <v>15</v>
      </c>
      <c r="G1857" t="s">
        <v>20</v>
      </c>
      <c r="H1857" t="s">
        <v>21</v>
      </c>
      <c r="I1857">
        <v>1</v>
      </c>
      <c r="J1857">
        <v>0</v>
      </c>
      <c r="K1857">
        <v>0</v>
      </c>
    </row>
    <row r="1858" spans="1:11" x14ac:dyDescent="0.25">
      <c r="A1858" t="str">
        <f>"2415"</f>
        <v>2415</v>
      </c>
      <c r="B1858" t="str">
        <f t="shared" si="112"/>
        <v>1</v>
      </c>
      <c r="C1858" t="str">
        <f t="shared" si="113"/>
        <v>99</v>
      </c>
      <c r="D1858" t="str">
        <f>"22"</f>
        <v>22</v>
      </c>
      <c r="E1858" t="str">
        <f>"1-99-22"</f>
        <v>1-99-22</v>
      </c>
      <c r="F1858" t="s">
        <v>15</v>
      </c>
      <c r="G1858" t="s">
        <v>20</v>
      </c>
      <c r="H1858" t="s">
        <v>21</v>
      </c>
      <c r="I1858">
        <v>0</v>
      </c>
      <c r="J1858">
        <v>0</v>
      </c>
      <c r="K1858">
        <v>1</v>
      </c>
    </row>
    <row r="1859" spans="1:11" x14ac:dyDescent="0.25">
      <c r="A1859" t="str">
        <f>"2416"</f>
        <v>2416</v>
      </c>
      <c r="B1859" t="str">
        <f t="shared" si="112"/>
        <v>1</v>
      </c>
      <c r="C1859" t="str">
        <f t="shared" si="113"/>
        <v>99</v>
      </c>
      <c r="D1859" t="str">
        <f>"1"</f>
        <v>1</v>
      </c>
      <c r="E1859" t="str">
        <f>"1-99-1"</f>
        <v>1-99-1</v>
      </c>
      <c r="F1859" t="s">
        <v>15</v>
      </c>
      <c r="G1859" t="s">
        <v>20</v>
      </c>
      <c r="H1859" t="s">
        <v>21</v>
      </c>
      <c r="I1859">
        <v>0</v>
      </c>
      <c r="J1859">
        <v>0</v>
      </c>
      <c r="K1859">
        <v>1</v>
      </c>
    </row>
    <row r="1860" spans="1:11" x14ac:dyDescent="0.25">
      <c r="A1860" t="str">
        <f>"2417"</f>
        <v>2417</v>
      </c>
      <c r="B1860" t="str">
        <f t="shared" si="112"/>
        <v>1</v>
      </c>
      <c r="C1860" t="str">
        <f t="shared" si="113"/>
        <v>99</v>
      </c>
      <c r="D1860" t="str">
        <f>"24"</f>
        <v>24</v>
      </c>
      <c r="E1860" t="str">
        <f>"1-99-24"</f>
        <v>1-99-24</v>
      </c>
      <c r="F1860" t="s">
        <v>15</v>
      </c>
      <c r="G1860" t="s">
        <v>16</v>
      </c>
      <c r="H1860" t="s">
        <v>17</v>
      </c>
      <c r="I1860">
        <v>0</v>
      </c>
      <c r="J1860">
        <v>0</v>
      </c>
      <c r="K1860">
        <v>1</v>
      </c>
    </row>
    <row r="1861" spans="1:11" x14ac:dyDescent="0.25">
      <c r="A1861" t="str">
        <f>"2418"</f>
        <v>2418</v>
      </c>
      <c r="B1861" t="str">
        <f t="shared" si="112"/>
        <v>1</v>
      </c>
      <c r="C1861" t="str">
        <f t="shared" si="113"/>
        <v>99</v>
      </c>
      <c r="D1861" t="str">
        <f>"11"</f>
        <v>11</v>
      </c>
      <c r="E1861" t="str">
        <f>"1-99-11"</f>
        <v>1-99-11</v>
      </c>
      <c r="F1861" t="s">
        <v>15</v>
      </c>
      <c r="G1861" t="s">
        <v>20</v>
      </c>
      <c r="H1861" t="s">
        <v>21</v>
      </c>
      <c r="I1861">
        <v>1</v>
      </c>
      <c r="J1861">
        <v>0</v>
      </c>
      <c r="K1861">
        <v>0</v>
      </c>
    </row>
    <row r="1862" spans="1:11" x14ac:dyDescent="0.25">
      <c r="A1862" t="str">
        <f>"2419"</f>
        <v>2419</v>
      </c>
      <c r="B1862" t="str">
        <f t="shared" si="112"/>
        <v>1</v>
      </c>
      <c r="C1862" t="str">
        <f t="shared" si="113"/>
        <v>99</v>
      </c>
      <c r="D1862" t="str">
        <f>"25"</f>
        <v>25</v>
      </c>
      <c r="E1862" t="str">
        <f>"1-99-25"</f>
        <v>1-99-25</v>
      </c>
      <c r="F1862" t="s">
        <v>15</v>
      </c>
      <c r="G1862" t="s">
        <v>20</v>
      </c>
      <c r="H1862" t="s">
        <v>21</v>
      </c>
      <c r="I1862">
        <v>1</v>
      </c>
      <c r="J1862">
        <v>0</v>
      </c>
      <c r="K1862">
        <v>0</v>
      </c>
    </row>
    <row r="1863" spans="1:11" x14ac:dyDescent="0.25">
      <c r="A1863" t="str">
        <f>"2420"</f>
        <v>2420</v>
      </c>
      <c r="B1863" t="str">
        <f t="shared" si="112"/>
        <v>1</v>
      </c>
      <c r="C1863" t="str">
        <f t="shared" si="113"/>
        <v>99</v>
      </c>
      <c r="D1863" t="str">
        <f>"14"</f>
        <v>14</v>
      </c>
      <c r="E1863" t="str">
        <f>"1-99-14"</f>
        <v>1-99-14</v>
      </c>
      <c r="F1863" t="s">
        <v>15</v>
      </c>
      <c r="G1863" t="s">
        <v>20</v>
      </c>
      <c r="H1863" t="s">
        <v>21</v>
      </c>
      <c r="I1863">
        <v>0</v>
      </c>
      <c r="J1863">
        <v>1</v>
      </c>
      <c r="K1863">
        <v>0</v>
      </c>
    </row>
    <row r="1864" spans="1:11" x14ac:dyDescent="0.25">
      <c r="A1864" t="str">
        <f>"2421"</f>
        <v>2421</v>
      </c>
      <c r="B1864" t="str">
        <f t="shared" si="112"/>
        <v>1</v>
      </c>
      <c r="C1864" t="str">
        <f t="shared" si="113"/>
        <v>99</v>
      </c>
      <c r="D1864" t="str">
        <f>"2"</f>
        <v>2</v>
      </c>
      <c r="E1864" t="str">
        <f>"1-99-2"</f>
        <v>1-99-2</v>
      </c>
      <c r="F1864" t="s">
        <v>15</v>
      </c>
      <c r="G1864" t="s">
        <v>20</v>
      </c>
      <c r="H1864" t="s">
        <v>21</v>
      </c>
      <c r="I1864">
        <v>1</v>
      </c>
      <c r="J1864">
        <v>0</v>
      </c>
      <c r="K1864">
        <v>0</v>
      </c>
    </row>
    <row r="1865" spans="1:11" x14ac:dyDescent="0.25">
      <c r="A1865" t="str">
        <f>"2422"</f>
        <v>2422</v>
      </c>
      <c r="B1865" t="str">
        <f t="shared" si="112"/>
        <v>1</v>
      </c>
      <c r="C1865" t="str">
        <f t="shared" si="113"/>
        <v>99</v>
      </c>
      <c r="D1865" t="str">
        <f>"4"</f>
        <v>4</v>
      </c>
      <c r="E1865" t="str">
        <f>"1-99-4"</f>
        <v>1-99-4</v>
      </c>
      <c r="F1865" t="s">
        <v>15</v>
      </c>
      <c r="G1865" t="s">
        <v>20</v>
      </c>
      <c r="H1865" t="s">
        <v>21</v>
      </c>
      <c r="I1865">
        <v>0</v>
      </c>
      <c r="J1865">
        <v>1</v>
      </c>
      <c r="K1865">
        <v>0</v>
      </c>
    </row>
    <row r="1866" spans="1:11" x14ac:dyDescent="0.25">
      <c r="A1866" t="str">
        <f>"2423"</f>
        <v>2423</v>
      </c>
      <c r="B1866" t="str">
        <f t="shared" si="112"/>
        <v>1</v>
      </c>
      <c r="C1866" t="str">
        <f t="shared" si="113"/>
        <v>99</v>
      </c>
      <c r="D1866" t="str">
        <f>"10"</f>
        <v>10</v>
      </c>
      <c r="E1866" t="str">
        <f>"1-99-10"</f>
        <v>1-99-10</v>
      </c>
      <c r="F1866" t="s">
        <v>15</v>
      </c>
      <c r="G1866" t="s">
        <v>20</v>
      </c>
      <c r="H1866" t="s">
        <v>21</v>
      </c>
      <c r="I1866">
        <v>0</v>
      </c>
      <c r="J1866">
        <v>1</v>
      </c>
      <c r="K1866">
        <v>0</v>
      </c>
    </row>
    <row r="1867" spans="1:11" x14ac:dyDescent="0.25">
      <c r="A1867" t="str">
        <f>"2424"</f>
        <v>2424</v>
      </c>
      <c r="B1867" t="str">
        <f t="shared" si="112"/>
        <v>1</v>
      </c>
      <c r="C1867" t="str">
        <f t="shared" si="113"/>
        <v>99</v>
      </c>
      <c r="D1867" t="str">
        <f>"13"</f>
        <v>13</v>
      </c>
      <c r="E1867" t="str">
        <f>"1-99-13"</f>
        <v>1-99-13</v>
      </c>
      <c r="F1867" t="s">
        <v>15</v>
      </c>
      <c r="G1867" t="s">
        <v>20</v>
      </c>
      <c r="H1867" t="s">
        <v>21</v>
      </c>
      <c r="I1867">
        <v>1</v>
      </c>
      <c r="J1867">
        <v>0</v>
      </c>
      <c r="K1867">
        <v>0</v>
      </c>
    </row>
    <row r="1868" spans="1:11" x14ac:dyDescent="0.25">
      <c r="A1868" t="str">
        <f>"2425"</f>
        <v>2425</v>
      </c>
      <c r="B1868" t="str">
        <f t="shared" si="112"/>
        <v>1</v>
      </c>
      <c r="C1868" t="str">
        <f t="shared" ref="C1868:C1891" si="114">"100"</f>
        <v>100</v>
      </c>
      <c r="D1868" t="str">
        <f>"22"</f>
        <v>22</v>
      </c>
      <c r="E1868" t="str">
        <f>"1-100-22"</f>
        <v>1-100-22</v>
      </c>
      <c r="F1868" t="s">
        <v>15</v>
      </c>
      <c r="G1868" t="s">
        <v>18</v>
      </c>
      <c r="H1868" t="s">
        <v>19</v>
      </c>
      <c r="I1868">
        <v>0</v>
      </c>
      <c r="J1868">
        <v>0</v>
      </c>
      <c r="K1868">
        <v>1</v>
      </c>
    </row>
    <row r="1869" spans="1:11" x14ac:dyDescent="0.25">
      <c r="A1869" t="str">
        <f>"2426"</f>
        <v>2426</v>
      </c>
      <c r="B1869" t="str">
        <f t="shared" si="112"/>
        <v>1</v>
      </c>
      <c r="C1869" t="str">
        <f t="shared" si="114"/>
        <v>100</v>
      </c>
      <c r="D1869" t="str">
        <f>"15"</f>
        <v>15</v>
      </c>
      <c r="E1869" t="str">
        <f>"1-100-15"</f>
        <v>1-100-15</v>
      </c>
      <c r="F1869" t="s">
        <v>15</v>
      </c>
      <c r="G1869" t="s">
        <v>18</v>
      </c>
      <c r="H1869" t="s">
        <v>19</v>
      </c>
      <c r="I1869">
        <v>1</v>
      </c>
      <c r="J1869">
        <v>0</v>
      </c>
      <c r="K1869">
        <v>0</v>
      </c>
    </row>
    <row r="1870" spans="1:11" x14ac:dyDescent="0.25">
      <c r="A1870" t="str">
        <f>"2427"</f>
        <v>2427</v>
      </c>
      <c r="B1870" t="str">
        <f t="shared" si="112"/>
        <v>1</v>
      </c>
      <c r="C1870" t="str">
        <f t="shared" si="114"/>
        <v>100</v>
      </c>
      <c r="D1870" t="str">
        <f>"4"</f>
        <v>4</v>
      </c>
      <c r="E1870" t="str">
        <f>"1-100-4"</f>
        <v>1-100-4</v>
      </c>
      <c r="F1870" t="s">
        <v>15</v>
      </c>
      <c r="G1870" t="s">
        <v>18</v>
      </c>
      <c r="H1870" t="s">
        <v>19</v>
      </c>
      <c r="I1870">
        <v>0</v>
      </c>
      <c r="J1870">
        <v>0</v>
      </c>
      <c r="K1870">
        <v>1</v>
      </c>
    </row>
    <row r="1871" spans="1:11" x14ac:dyDescent="0.25">
      <c r="A1871" t="str">
        <f>"2428"</f>
        <v>2428</v>
      </c>
      <c r="B1871" t="str">
        <f t="shared" si="112"/>
        <v>1</v>
      </c>
      <c r="C1871" t="str">
        <f t="shared" si="114"/>
        <v>100</v>
      </c>
      <c r="D1871" t="str">
        <f>"24"</f>
        <v>24</v>
      </c>
      <c r="E1871" t="str">
        <f>"1-100-24"</f>
        <v>1-100-24</v>
      </c>
      <c r="F1871" t="s">
        <v>15</v>
      </c>
      <c r="G1871" t="s">
        <v>18</v>
      </c>
      <c r="H1871" t="s">
        <v>19</v>
      </c>
      <c r="I1871">
        <v>0</v>
      </c>
      <c r="J1871">
        <v>0</v>
      </c>
      <c r="K1871">
        <v>1</v>
      </c>
    </row>
    <row r="1872" spans="1:11" x14ac:dyDescent="0.25">
      <c r="A1872" t="str">
        <f>"2429"</f>
        <v>2429</v>
      </c>
      <c r="B1872" t="str">
        <f t="shared" si="112"/>
        <v>1</v>
      </c>
      <c r="C1872" t="str">
        <f t="shared" si="114"/>
        <v>100</v>
      </c>
      <c r="D1872" t="str">
        <f>"16"</f>
        <v>16</v>
      </c>
      <c r="E1872" t="str">
        <f>"1-100-16"</f>
        <v>1-100-16</v>
      </c>
      <c r="F1872" t="s">
        <v>15</v>
      </c>
      <c r="G1872" t="s">
        <v>18</v>
      </c>
      <c r="H1872" t="s">
        <v>19</v>
      </c>
      <c r="I1872">
        <v>0</v>
      </c>
      <c r="J1872">
        <v>1</v>
      </c>
      <c r="K1872">
        <v>0</v>
      </c>
    </row>
    <row r="1873" spans="1:11" x14ac:dyDescent="0.25">
      <c r="A1873" t="str">
        <f>"2430"</f>
        <v>2430</v>
      </c>
      <c r="B1873" t="str">
        <f t="shared" si="112"/>
        <v>1</v>
      </c>
      <c r="C1873" t="str">
        <f t="shared" si="114"/>
        <v>100</v>
      </c>
      <c r="D1873" t="str">
        <f>"8"</f>
        <v>8</v>
      </c>
      <c r="E1873" t="str">
        <f>"1-100-8"</f>
        <v>1-100-8</v>
      </c>
      <c r="F1873" t="s">
        <v>15</v>
      </c>
      <c r="G1873" t="s">
        <v>18</v>
      </c>
      <c r="H1873" t="s">
        <v>19</v>
      </c>
      <c r="I1873">
        <v>0</v>
      </c>
      <c r="J1873">
        <v>0</v>
      </c>
      <c r="K1873">
        <v>1</v>
      </c>
    </row>
    <row r="1874" spans="1:11" x14ac:dyDescent="0.25">
      <c r="A1874" t="str">
        <f>"2431"</f>
        <v>2431</v>
      </c>
      <c r="B1874" t="str">
        <f t="shared" si="112"/>
        <v>1</v>
      </c>
      <c r="C1874" t="str">
        <f t="shared" si="114"/>
        <v>100</v>
      </c>
      <c r="D1874" t="str">
        <f>"17"</f>
        <v>17</v>
      </c>
      <c r="E1874" t="str">
        <f>"1-100-17"</f>
        <v>1-100-17</v>
      </c>
      <c r="F1874" t="s">
        <v>15</v>
      </c>
      <c r="G1874" t="s">
        <v>18</v>
      </c>
      <c r="H1874" t="s">
        <v>19</v>
      </c>
      <c r="I1874">
        <v>0</v>
      </c>
      <c r="J1874">
        <v>1</v>
      </c>
      <c r="K1874">
        <v>0</v>
      </c>
    </row>
    <row r="1875" spans="1:11" x14ac:dyDescent="0.25">
      <c r="A1875" t="str">
        <f>"2432"</f>
        <v>2432</v>
      </c>
      <c r="B1875" t="str">
        <f t="shared" si="112"/>
        <v>1</v>
      </c>
      <c r="C1875" t="str">
        <f t="shared" si="114"/>
        <v>100</v>
      </c>
      <c r="D1875" t="str">
        <f>"18"</f>
        <v>18</v>
      </c>
      <c r="E1875" t="str">
        <f>"1-100-18"</f>
        <v>1-100-18</v>
      </c>
      <c r="F1875" t="s">
        <v>15</v>
      </c>
      <c r="G1875" t="s">
        <v>18</v>
      </c>
      <c r="H1875" t="s">
        <v>19</v>
      </c>
      <c r="I1875">
        <v>0</v>
      </c>
      <c r="J1875">
        <v>0</v>
      </c>
      <c r="K1875">
        <v>1</v>
      </c>
    </row>
    <row r="1876" spans="1:11" x14ac:dyDescent="0.25">
      <c r="A1876" t="str">
        <f>"2433"</f>
        <v>2433</v>
      </c>
      <c r="B1876" t="str">
        <f t="shared" si="112"/>
        <v>1</v>
      </c>
      <c r="C1876" t="str">
        <f t="shared" si="114"/>
        <v>100</v>
      </c>
      <c r="D1876" t="str">
        <f>"10"</f>
        <v>10</v>
      </c>
      <c r="E1876" t="str">
        <f>"1-100-10"</f>
        <v>1-100-10</v>
      </c>
      <c r="F1876" t="s">
        <v>15</v>
      </c>
      <c r="G1876" t="s">
        <v>18</v>
      </c>
      <c r="H1876" t="s">
        <v>19</v>
      </c>
      <c r="I1876">
        <v>1</v>
      </c>
      <c r="J1876">
        <v>0</v>
      </c>
      <c r="K1876">
        <v>0</v>
      </c>
    </row>
    <row r="1877" spans="1:11" x14ac:dyDescent="0.25">
      <c r="A1877" t="str">
        <f>"2434"</f>
        <v>2434</v>
      </c>
      <c r="B1877" t="str">
        <f t="shared" si="112"/>
        <v>1</v>
      </c>
      <c r="C1877" t="str">
        <f t="shared" si="114"/>
        <v>100</v>
      </c>
      <c r="D1877" t="str">
        <f>"3"</f>
        <v>3</v>
      </c>
      <c r="E1877" t="str">
        <f>"1-100-3"</f>
        <v>1-100-3</v>
      </c>
      <c r="F1877" t="s">
        <v>15</v>
      </c>
      <c r="G1877" t="s">
        <v>18</v>
      </c>
      <c r="H1877" t="s">
        <v>19</v>
      </c>
      <c r="I1877">
        <v>0</v>
      </c>
      <c r="J1877">
        <v>0</v>
      </c>
      <c r="K1877">
        <v>1</v>
      </c>
    </row>
    <row r="1878" spans="1:11" x14ac:dyDescent="0.25">
      <c r="A1878" t="str">
        <f>"2435"</f>
        <v>2435</v>
      </c>
      <c r="B1878" t="str">
        <f t="shared" si="112"/>
        <v>1</v>
      </c>
      <c r="C1878" t="str">
        <f t="shared" si="114"/>
        <v>100</v>
      </c>
      <c r="D1878" t="str">
        <f>"20"</f>
        <v>20</v>
      </c>
      <c r="E1878" t="str">
        <f>"1-100-20"</f>
        <v>1-100-20</v>
      </c>
      <c r="F1878" t="s">
        <v>15</v>
      </c>
      <c r="G1878" t="s">
        <v>18</v>
      </c>
      <c r="H1878" t="s">
        <v>19</v>
      </c>
      <c r="I1878">
        <v>0</v>
      </c>
      <c r="J1878">
        <v>0</v>
      </c>
      <c r="K1878">
        <v>1</v>
      </c>
    </row>
    <row r="1879" spans="1:11" x14ac:dyDescent="0.25">
      <c r="A1879" t="str">
        <f>"2436"</f>
        <v>2436</v>
      </c>
      <c r="B1879" t="str">
        <f t="shared" si="112"/>
        <v>1</v>
      </c>
      <c r="C1879" t="str">
        <f t="shared" si="114"/>
        <v>100</v>
      </c>
      <c r="D1879" t="str">
        <f>"2"</f>
        <v>2</v>
      </c>
      <c r="E1879" t="str">
        <f>"1-100-2"</f>
        <v>1-100-2</v>
      </c>
      <c r="F1879" t="s">
        <v>15</v>
      </c>
      <c r="G1879" t="s">
        <v>18</v>
      </c>
      <c r="H1879" t="s">
        <v>19</v>
      </c>
      <c r="I1879">
        <v>1</v>
      </c>
      <c r="J1879">
        <v>0</v>
      </c>
      <c r="K1879">
        <v>0</v>
      </c>
    </row>
    <row r="1880" spans="1:11" x14ac:dyDescent="0.25">
      <c r="A1880" t="str">
        <f>"2437"</f>
        <v>2437</v>
      </c>
      <c r="B1880" t="str">
        <f t="shared" si="112"/>
        <v>1</v>
      </c>
      <c r="C1880" t="str">
        <f t="shared" si="114"/>
        <v>100</v>
      </c>
      <c r="D1880" t="str">
        <f>"21"</f>
        <v>21</v>
      </c>
      <c r="E1880" t="str">
        <f>"1-100-21"</f>
        <v>1-100-21</v>
      </c>
      <c r="F1880" t="s">
        <v>15</v>
      </c>
      <c r="G1880" t="s">
        <v>18</v>
      </c>
      <c r="H1880" t="s">
        <v>19</v>
      </c>
      <c r="I1880">
        <v>0</v>
      </c>
      <c r="J1880">
        <v>0</v>
      </c>
      <c r="K1880">
        <v>1</v>
      </c>
    </row>
    <row r="1881" spans="1:11" x14ac:dyDescent="0.25">
      <c r="A1881" t="str">
        <f>"2438"</f>
        <v>2438</v>
      </c>
      <c r="B1881" t="str">
        <f t="shared" si="112"/>
        <v>1</v>
      </c>
      <c r="C1881" t="str">
        <f t="shared" si="114"/>
        <v>100</v>
      </c>
      <c r="D1881" t="str">
        <f>"7"</f>
        <v>7</v>
      </c>
      <c r="E1881" t="str">
        <f>"1-100-7"</f>
        <v>1-100-7</v>
      </c>
      <c r="F1881" t="s">
        <v>15</v>
      </c>
      <c r="G1881" t="s">
        <v>18</v>
      </c>
      <c r="H1881" t="s">
        <v>19</v>
      </c>
      <c r="I1881">
        <v>0</v>
      </c>
      <c r="J1881">
        <v>0</v>
      </c>
      <c r="K1881">
        <v>1</v>
      </c>
    </row>
    <row r="1882" spans="1:11" x14ac:dyDescent="0.25">
      <c r="A1882" t="str">
        <f>"2439"</f>
        <v>2439</v>
      </c>
      <c r="B1882" t="str">
        <f t="shared" si="112"/>
        <v>1</v>
      </c>
      <c r="C1882" t="str">
        <f t="shared" si="114"/>
        <v>100</v>
      </c>
      <c r="D1882" t="str">
        <f>"23"</f>
        <v>23</v>
      </c>
      <c r="E1882" t="str">
        <f>"1-100-23"</f>
        <v>1-100-23</v>
      </c>
      <c r="F1882" t="s">
        <v>15</v>
      </c>
      <c r="G1882" t="s">
        <v>18</v>
      </c>
      <c r="H1882" t="s">
        <v>19</v>
      </c>
      <c r="I1882">
        <v>0</v>
      </c>
      <c r="J1882">
        <v>0</v>
      </c>
      <c r="K1882">
        <v>1</v>
      </c>
    </row>
    <row r="1883" spans="1:11" x14ac:dyDescent="0.25">
      <c r="A1883" t="str">
        <f>"2440"</f>
        <v>2440</v>
      </c>
      <c r="B1883" t="str">
        <f t="shared" si="112"/>
        <v>1</v>
      </c>
      <c r="C1883" t="str">
        <f t="shared" si="114"/>
        <v>100</v>
      </c>
      <c r="D1883" t="str">
        <f>"5"</f>
        <v>5</v>
      </c>
      <c r="E1883" t="str">
        <f>"1-100-5"</f>
        <v>1-100-5</v>
      </c>
      <c r="F1883" t="s">
        <v>15</v>
      </c>
      <c r="G1883" t="s">
        <v>18</v>
      </c>
      <c r="H1883" t="s">
        <v>19</v>
      </c>
      <c r="I1883">
        <v>0</v>
      </c>
      <c r="J1883">
        <v>1</v>
      </c>
      <c r="K1883">
        <v>0</v>
      </c>
    </row>
    <row r="1884" spans="1:11" x14ac:dyDescent="0.25">
      <c r="A1884" t="str">
        <f>"2441"</f>
        <v>2441</v>
      </c>
      <c r="B1884" t="str">
        <f t="shared" si="112"/>
        <v>1</v>
      </c>
      <c r="C1884" t="str">
        <f t="shared" si="114"/>
        <v>100</v>
      </c>
      <c r="D1884" t="str">
        <f>"6"</f>
        <v>6</v>
      </c>
      <c r="E1884" t="str">
        <f>"1-100-6"</f>
        <v>1-100-6</v>
      </c>
      <c r="F1884" t="s">
        <v>15</v>
      </c>
      <c r="G1884" t="s">
        <v>18</v>
      </c>
      <c r="H1884" t="s">
        <v>19</v>
      </c>
      <c r="I1884">
        <v>1</v>
      </c>
      <c r="J1884">
        <v>0</v>
      </c>
      <c r="K1884">
        <v>0</v>
      </c>
    </row>
    <row r="1885" spans="1:11" x14ac:dyDescent="0.25">
      <c r="A1885" t="str">
        <f>"2442"</f>
        <v>2442</v>
      </c>
      <c r="B1885" t="str">
        <f t="shared" si="112"/>
        <v>1</v>
      </c>
      <c r="C1885" t="str">
        <f t="shared" si="114"/>
        <v>100</v>
      </c>
      <c r="D1885" t="str">
        <f>"12"</f>
        <v>12</v>
      </c>
      <c r="E1885" t="str">
        <f>"1-100-12"</f>
        <v>1-100-12</v>
      </c>
      <c r="F1885" t="s">
        <v>15</v>
      </c>
      <c r="G1885" t="s">
        <v>18</v>
      </c>
      <c r="H1885" t="s">
        <v>19</v>
      </c>
      <c r="I1885">
        <v>0</v>
      </c>
      <c r="J1885">
        <v>1</v>
      </c>
      <c r="K1885">
        <v>0</v>
      </c>
    </row>
    <row r="1886" spans="1:11" x14ac:dyDescent="0.25">
      <c r="A1886" t="str">
        <f>"2443"</f>
        <v>2443</v>
      </c>
      <c r="B1886" t="str">
        <f t="shared" si="112"/>
        <v>1</v>
      </c>
      <c r="C1886" t="str">
        <f t="shared" si="114"/>
        <v>100</v>
      </c>
      <c r="D1886" t="str">
        <f>"1"</f>
        <v>1</v>
      </c>
      <c r="E1886" t="str">
        <f>"1-100-1"</f>
        <v>1-100-1</v>
      </c>
      <c r="F1886" t="s">
        <v>15</v>
      </c>
      <c r="G1886" t="s">
        <v>18</v>
      </c>
      <c r="H1886" t="s">
        <v>19</v>
      </c>
      <c r="I1886">
        <v>0</v>
      </c>
      <c r="J1886">
        <v>1</v>
      </c>
      <c r="K1886">
        <v>0</v>
      </c>
    </row>
    <row r="1887" spans="1:11" x14ac:dyDescent="0.25">
      <c r="A1887" t="str">
        <f>"2444"</f>
        <v>2444</v>
      </c>
      <c r="B1887" t="str">
        <f t="shared" si="112"/>
        <v>1</v>
      </c>
      <c r="C1887" t="str">
        <f t="shared" si="114"/>
        <v>100</v>
      </c>
      <c r="D1887" t="str">
        <f>"14"</f>
        <v>14</v>
      </c>
      <c r="E1887" t="str">
        <f>"1-100-14"</f>
        <v>1-100-14</v>
      </c>
      <c r="F1887" t="s">
        <v>15</v>
      </c>
      <c r="G1887" t="s">
        <v>18</v>
      </c>
      <c r="H1887" t="s">
        <v>19</v>
      </c>
      <c r="I1887">
        <v>0</v>
      </c>
      <c r="J1887">
        <v>0</v>
      </c>
      <c r="K1887">
        <v>1</v>
      </c>
    </row>
    <row r="1888" spans="1:11" x14ac:dyDescent="0.25">
      <c r="A1888" t="str">
        <f>"2445"</f>
        <v>2445</v>
      </c>
      <c r="B1888" t="str">
        <f t="shared" si="112"/>
        <v>1</v>
      </c>
      <c r="C1888" t="str">
        <f t="shared" si="114"/>
        <v>100</v>
      </c>
      <c r="D1888" t="str">
        <f>"13"</f>
        <v>13</v>
      </c>
      <c r="E1888" t="str">
        <f>"1-100-13"</f>
        <v>1-100-13</v>
      </c>
      <c r="F1888" t="s">
        <v>15</v>
      </c>
      <c r="G1888" t="s">
        <v>18</v>
      </c>
      <c r="H1888" t="s">
        <v>19</v>
      </c>
      <c r="I1888">
        <v>0</v>
      </c>
      <c r="J1888">
        <v>1</v>
      </c>
      <c r="K1888">
        <v>0</v>
      </c>
    </row>
    <row r="1889" spans="1:11" x14ac:dyDescent="0.25">
      <c r="A1889" t="str">
        <f>"2446"</f>
        <v>2446</v>
      </c>
      <c r="B1889" t="str">
        <f t="shared" si="112"/>
        <v>1</v>
      </c>
      <c r="C1889" t="str">
        <f t="shared" si="114"/>
        <v>100</v>
      </c>
      <c r="D1889" t="str">
        <f>"11"</f>
        <v>11</v>
      </c>
      <c r="E1889" t="str">
        <f>"1-100-11"</f>
        <v>1-100-11</v>
      </c>
      <c r="F1889" t="s">
        <v>15</v>
      </c>
      <c r="G1889" t="s">
        <v>18</v>
      </c>
      <c r="H1889" t="s">
        <v>19</v>
      </c>
      <c r="I1889">
        <v>0</v>
      </c>
      <c r="J1889">
        <v>0</v>
      </c>
      <c r="K1889">
        <v>0</v>
      </c>
    </row>
    <row r="1890" spans="1:11" x14ac:dyDescent="0.25">
      <c r="A1890" t="str">
        <f>"2447"</f>
        <v>2447</v>
      </c>
      <c r="B1890" t="str">
        <f t="shared" si="112"/>
        <v>1</v>
      </c>
      <c r="C1890" t="str">
        <f t="shared" si="114"/>
        <v>100</v>
      </c>
      <c r="D1890" t="str">
        <f>"9"</f>
        <v>9</v>
      </c>
      <c r="E1890" t="str">
        <f>"1-100-9"</f>
        <v>1-100-9</v>
      </c>
      <c r="F1890" t="s">
        <v>15</v>
      </c>
      <c r="G1890" t="s">
        <v>18</v>
      </c>
      <c r="H1890" t="s">
        <v>19</v>
      </c>
      <c r="I1890">
        <v>0</v>
      </c>
      <c r="J1890">
        <v>0</v>
      </c>
      <c r="K1890">
        <v>0</v>
      </c>
    </row>
    <row r="1891" spans="1:11" x14ac:dyDescent="0.25">
      <c r="A1891" t="str">
        <f>"2448"</f>
        <v>2448</v>
      </c>
      <c r="B1891" t="str">
        <f t="shared" si="112"/>
        <v>1</v>
      </c>
      <c r="C1891" t="str">
        <f t="shared" si="114"/>
        <v>100</v>
      </c>
      <c r="D1891" t="str">
        <f>"19"</f>
        <v>19</v>
      </c>
      <c r="E1891" t="str">
        <f>"1-100-19"</f>
        <v>1-100-19</v>
      </c>
      <c r="F1891" t="s">
        <v>15</v>
      </c>
      <c r="G1891" t="s">
        <v>18</v>
      </c>
      <c r="H1891" t="s">
        <v>19</v>
      </c>
      <c r="I1891">
        <v>0</v>
      </c>
      <c r="J1891">
        <v>0</v>
      </c>
      <c r="K1891">
        <v>0</v>
      </c>
    </row>
    <row r="1892" spans="1:11" x14ac:dyDescent="0.25">
      <c r="A1892" t="str">
        <f>"2449"</f>
        <v>2449</v>
      </c>
      <c r="B1892" t="str">
        <f t="shared" si="112"/>
        <v>1</v>
      </c>
      <c r="C1892" t="str">
        <f t="shared" ref="C1892:C1916" si="115">"101"</f>
        <v>101</v>
      </c>
      <c r="D1892" t="str">
        <f>"17"</f>
        <v>17</v>
      </c>
      <c r="E1892" t="str">
        <f>"1-101-17"</f>
        <v>1-101-17</v>
      </c>
      <c r="F1892" t="s">
        <v>15</v>
      </c>
      <c r="G1892" t="s">
        <v>16</v>
      </c>
      <c r="H1892" t="s">
        <v>17</v>
      </c>
      <c r="I1892">
        <v>0</v>
      </c>
      <c r="J1892">
        <v>0</v>
      </c>
      <c r="K1892">
        <v>1</v>
      </c>
    </row>
    <row r="1893" spans="1:11" x14ac:dyDescent="0.25">
      <c r="A1893" t="str">
        <f>"2450"</f>
        <v>2450</v>
      </c>
      <c r="B1893" t="str">
        <f t="shared" si="112"/>
        <v>1</v>
      </c>
      <c r="C1893" t="str">
        <f t="shared" si="115"/>
        <v>101</v>
      </c>
      <c r="D1893" t="str">
        <f>"15"</f>
        <v>15</v>
      </c>
      <c r="E1893" t="str">
        <f>"1-101-15"</f>
        <v>1-101-15</v>
      </c>
      <c r="F1893" t="s">
        <v>15</v>
      </c>
      <c r="G1893" t="s">
        <v>16</v>
      </c>
      <c r="H1893" t="s">
        <v>17</v>
      </c>
      <c r="I1893">
        <v>1</v>
      </c>
      <c r="J1893">
        <v>0</v>
      </c>
      <c r="K1893">
        <v>0</v>
      </c>
    </row>
    <row r="1894" spans="1:11" x14ac:dyDescent="0.25">
      <c r="A1894" t="str">
        <f>"2451"</f>
        <v>2451</v>
      </c>
      <c r="B1894" t="str">
        <f t="shared" si="112"/>
        <v>1</v>
      </c>
      <c r="C1894" t="str">
        <f t="shared" si="115"/>
        <v>101</v>
      </c>
      <c r="D1894" t="str">
        <f>"3"</f>
        <v>3</v>
      </c>
      <c r="E1894" t="str">
        <f>"1-101-3"</f>
        <v>1-101-3</v>
      </c>
      <c r="F1894" t="s">
        <v>15</v>
      </c>
      <c r="G1894" t="s">
        <v>16</v>
      </c>
      <c r="H1894" t="s">
        <v>17</v>
      </c>
      <c r="I1894">
        <v>0</v>
      </c>
      <c r="J1894">
        <v>0</v>
      </c>
      <c r="K1894">
        <v>1</v>
      </c>
    </row>
    <row r="1895" spans="1:11" x14ac:dyDescent="0.25">
      <c r="A1895" t="str">
        <f>"2452"</f>
        <v>2452</v>
      </c>
      <c r="B1895" t="str">
        <f t="shared" si="112"/>
        <v>1</v>
      </c>
      <c r="C1895" t="str">
        <f t="shared" si="115"/>
        <v>101</v>
      </c>
      <c r="D1895" t="str">
        <f>"16"</f>
        <v>16</v>
      </c>
      <c r="E1895" t="str">
        <f>"1-101-16"</f>
        <v>1-101-16</v>
      </c>
      <c r="F1895" t="s">
        <v>15</v>
      </c>
      <c r="G1895" t="s">
        <v>16</v>
      </c>
      <c r="H1895" t="s">
        <v>17</v>
      </c>
      <c r="I1895">
        <v>0</v>
      </c>
      <c r="J1895">
        <v>0</v>
      </c>
      <c r="K1895">
        <v>1</v>
      </c>
    </row>
    <row r="1896" spans="1:11" x14ac:dyDescent="0.25">
      <c r="A1896" t="str">
        <f>"2453"</f>
        <v>2453</v>
      </c>
      <c r="B1896" t="str">
        <f t="shared" si="112"/>
        <v>1</v>
      </c>
      <c r="C1896" t="str">
        <f t="shared" si="115"/>
        <v>101</v>
      </c>
      <c r="D1896" t="str">
        <f>"4"</f>
        <v>4</v>
      </c>
      <c r="E1896" t="str">
        <f>"1-101-4"</f>
        <v>1-101-4</v>
      </c>
      <c r="F1896" t="s">
        <v>15</v>
      </c>
      <c r="G1896" t="s">
        <v>16</v>
      </c>
      <c r="H1896" t="s">
        <v>17</v>
      </c>
      <c r="I1896">
        <v>0</v>
      </c>
      <c r="J1896">
        <v>0</v>
      </c>
      <c r="K1896">
        <v>1</v>
      </c>
    </row>
    <row r="1897" spans="1:11" x14ac:dyDescent="0.25">
      <c r="A1897" t="str">
        <f>"2454"</f>
        <v>2454</v>
      </c>
      <c r="B1897" t="str">
        <f t="shared" si="112"/>
        <v>1</v>
      </c>
      <c r="C1897" t="str">
        <f t="shared" si="115"/>
        <v>101</v>
      </c>
      <c r="D1897" t="str">
        <f>"18"</f>
        <v>18</v>
      </c>
      <c r="E1897" t="str">
        <f>"1-101-18"</f>
        <v>1-101-18</v>
      </c>
      <c r="F1897" t="s">
        <v>15</v>
      </c>
      <c r="G1897" t="s">
        <v>16</v>
      </c>
      <c r="H1897" t="s">
        <v>17</v>
      </c>
      <c r="I1897">
        <v>0</v>
      </c>
      <c r="J1897">
        <v>1</v>
      </c>
      <c r="K1897">
        <v>0</v>
      </c>
    </row>
    <row r="1898" spans="1:11" x14ac:dyDescent="0.25">
      <c r="A1898" t="str">
        <f>"2455"</f>
        <v>2455</v>
      </c>
      <c r="B1898" t="str">
        <f t="shared" si="112"/>
        <v>1</v>
      </c>
      <c r="C1898" t="str">
        <f t="shared" si="115"/>
        <v>101</v>
      </c>
      <c r="D1898" t="str">
        <f>"7"</f>
        <v>7</v>
      </c>
      <c r="E1898" t="str">
        <f>"1-101-7"</f>
        <v>1-101-7</v>
      </c>
      <c r="F1898" t="s">
        <v>15</v>
      </c>
      <c r="G1898" t="s">
        <v>16</v>
      </c>
      <c r="H1898" t="s">
        <v>17</v>
      </c>
      <c r="I1898">
        <v>1</v>
      </c>
      <c r="J1898">
        <v>0</v>
      </c>
      <c r="K1898">
        <v>0</v>
      </c>
    </row>
    <row r="1899" spans="1:11" x14ac:dyDescent="0.25">
      <c r="A1899" t="str">
        <f>"2456"</f>
        <v>2456</v>
      </c>
      <c r="B1899" t="str">
        <f t="shared" si="112"/>
        <v>1</v>
      </c>
      <c r="C1899" t="str">
        <f t="shared" si="115"/>
        <v>101</v>
      </c>
      <c r="D1899" t="str">
        <f>"19"</f>
        <v>19</v>
      </c>
      <c r="E1899" t="str">
        <f>"1-101-19"</f>
        <v>1-101-19</v>
      </c>
      <c r="F1899" t="s">
        <v>15</v>
      </c>
      <c r="G1899" t="s">
        <v>16</v>
      </c>
      <c r="H1899" t="s">
        <v>17</v>
      </c>
      <c r="I1899">
        <v>0</v>
      </c>
      <c r="J1899">
        <v>1</v>
      </c>
      <c r="K1899">
        <v>0</v>
      </c>
    </row>
    <row r="1900" spans="1:11" x14ac:dyDescent="0.25">
      <c r="A1900" t="str">
        <f>"2457"</f>
        <v>2457</v>
      </c>
      <c r="B1900" t="str">
        <f t="shared" si="112"/>
        <v>1</v>
      </c>
      <c r="C1900" t="str">
        <f t="shared" si="115"/>
        <v>101</v>
      </c>
      <c r="D1900" t="str">
        <f>"12"</f>
        <v>12</v>
      </c>
      <c r="E1900" t="str">
        <f>"1-101-12"</f>
        <v>1-101-12</v>
      </c>
      <c r="F1900" t="s">
        <v>15</v>
      </c>
      <c r="G1900" t="s">
        <v>16</v>
      </c>
      <c r="H1900" t="s">
        <v>17</v>
      </c>
      <c r="I1900">
        <v>1</v>
      </c>
      <c r="J1900">
        <v>0</v>
      </c>
      <c r="K1900">
        <v>0</v>
      </c>
    </row>
    <row r="1901" spans="1:11" x14ac:dyDescent="0.25">
      <c r="A1901" t="str">
        <f>"2458"</f>
        <v>2458</v>
      </c>
      <c r="B1901" t="str">
        <f t="shared" ref="B1901:B1946" si="116">"1"</f>
        <v>1</v>
      </c>
      <c r="C1901" t="str">
        <f t="shared" si="115"/>
        <v>101</v>
      </c>
      <c r="D1901" t="str">
        <f>"10"</f>
        <v>10</v>
      </c>
      <c r="E1901" t="str">
        <f>"1-101-10"</f>
        <v>1-101-10</v>
      </c>
      <c r="F1901" t="s">
        <v>15</v>
      </c>
      <c r="G1901" t="s">
        <v>18</v>
      </c>
      <c r="H1901" t="s">
        <v>19</v>
      </c>
      <c r="I1901">
        <v>0</v>
      </c>
      <c r="J1901">
        <v>0</v>
      </c>
      <c r="K1901">
        <v>1</v>
      </c>
    </row>
    <row r="1902" spans="1:11" x14ac:dyDescent="0.25">
      <c r="A1902" t="str">
        <f>"2459"</f>
        <v>2459</v>
      </c>
      <c r="B1902" t="str">
        <f t="shared" si="116"/>
        <v>1</v>
      </c>
      <c r="C1902" t="str">
        <f t="shared" si="115"/>
        <v>101</v>
      </c>
      <c r="D1902" t="str">
        <f>"21"</f>
        <v>21</v>
      </c>
      <c r="E1902" t="str">
        <f>"1-101-21"</f>
        <v>1-101-21</v>
      </c>
      <c r="F1902" t="s">
        <v>15</v>
      </c>
      <c r="G1902" t="s">
        <v>16</v>
      </c>
      <c r="H1902" t="s">
        <v>17</v>
      </c>
      <c r="I1902">
        <v>0</v>
      </c>
      <c r="J1902">
        <v>0</v>
      </c>
      <c r="K1902">
        <v>1</v>
      </c>
    </row>
    <row r="1903" spans="1:11" x14ac:dyDescent="0.25">
      <c r="A1903" t="str">
        <f>"2460"</f>
        <v>2460</v>
      </c>
      <c r="B1903" t="str">
        <f t="shared" si="116"/>
        <v>1</v>
      </c>
      <c r="C1903" t="str">
        <f t="shared" si="115"/>
        <v>101</v>
      </c>
      <c r="D1903" t="str">
        <f>"13"</f>
        <v>13</v>
      </c>
      <c r="E1903" t="str">
        <f>"1-101-13"</f>
        <v>1-101-13</v>
      </c>
      <c r="F1903" t="s">
        <v>15</v>
      </c>
      <c r="G1903" t="s">
        <v>16</v>
      </c>
      <c r="H1903" t="s">
        <v>17</v>
      </c>
      <c r="I1903">
        <v>1</v>
      </c>
      <c r="J1903">
        <v>0</v>
      </c>
      <c r="K1903">
        <v>0</v>
      </c>
    </row>
    <row r="1904" spans="1:11" x14ac:dyDescent="0.25">
      <c r="A1904" t="str">
        <f>"2461"</f>
        <v>2461</v>
      </c>
      <c r="B1904" t="str">
        <f t="shared" si="116"/>
        <v>1</v>
      </c>
      <c r="C1904" t="str">
        <f t="shared" si="115"/>
        <v>101</v>
      </c>
      <c r="D1904" t="str">
        <f>"22"</f>
        <v>22</v>
      </c>
      <c r="E1904" t="str">
        <f>"1-101-22"</f>
        <v>1-101-22</v>
      </c>
      <c r="F1904" t="s">
        <v>15</v>
      </c>
      <c r="G1904" t="s">
        <v>18</v>
      </c>
      <c r="H1904" t="s">
        <v>19</v>
      </c>
      <c r="I1904">
        <v>1</v>
      </c>
      <c r="J1904">
        <v>0</v>
      </c>
      <c r="K1904">
        <v>0</v>
      </c>
    </row>
    <row r="1905" spans="1:11" x14ac:dyDescent="0.25">
      <c r="A1905" t="str">
        <f>"2462"</f>
        <v>2462</v>
      </c>
      <c r="B1905" t="str">
        <f t="shared" si="116"/>
        <v>1</v>
      </c>
      <c r="C1905" t="str">
        <f t="shared" si="115"/>
        <v>101</v>
      </c>
      <c r="D1905" t="str">
        <f>"8"</f>
        <v>8</v>
      </c>
      <c r="E1905" t="str">
        <f>"1-101-8"</f>
        <v>1-101-8</v>
      </c>
      <c r="F1905" t="s">
        <v>15</v>
      </c>
      <c r="G1905" t="s">
        <v>16</v>
      </c>
      <c r="H1905" t="s">
        <v>17</v>
      </c>
      <c r="I1905">
        <v>1</v>
      </c>
      <c r="J1905">
        <v>0</v>
      </c>
      <c r="K1905">
        <v>0</v>
      </c>
    </row>
    <row r="1906" spans="1:11" x14ac:dyDescent="0.25">
      <c r="A1906" t="str">
        <f>"2463"</f>
        <v>2463</v>
      </c>
      <c r="B1906" t="str">
        <f t="shared" si="116"/>
        <v>1</v>
      </c>
      <c r="C1906" t="str">
        <f t="shared" si="115"/>
        <v>101</v>
      </c>
      <c r="D1906" t="str">
        <f>"9"</f>
        <v>9</v>
      </c>
      <c r="E1906" t="str">
        <f>"1-101-9"</f>
        <v>1-101-9</v>
      </c>
      <c r="F1906" t="s">
        <v>15</v>
      </c>
      <c r="G1906" t="s">
        <v>18</v>
      </c>
      <c r="H1906" t="s">
        <v>19</v>
      </c>
      <c r="I1906">
        <v>0</v>
      </c>
      <c r="J1906">
        <v>0</v>
      </c>
      <c r="K1906">
        <v>1</v>
      </c>
    </row>
    <row r="1907" spans="1:11" x14ac:dyDescent="0.25">
      <c r="A1907" t="str">
        <f>"2464"</f>
        <v>2464</v>
      </c>
      <c r="B1907" t="str">
        <f t="shared" si="116"/>
        <v>1</v>
      </c>
      <c r="C1907" t="str">
        <f t="shared" si="115"/>
        <v>101</v>
      </c>
      <c r="D1907" t="str">
        <f>"24"</f>
        <v>24</v>
      </c>
      <c r="E1907" t="str">
        <f>"1-101-24"</f>
        <v>1-101-24</v>
      </c>
      <c r="F1907" t="s">
        <v>15</v>
      </c>
      <c r="G1907" t="s">
        <v>16</v>
      </c>
      <c r="H1907" t="s">
        <v>17</v>
      </c>
      <c r="I1907">
        <v>1</v>
      </c>
      <c r="J1907">
        <v>0</v>
      </c>
      <c r="K1907">
        <v>0</v>
      </c>
    </row>
    <row r="1908" spans="1:11" x14ac:dyDescent="0.25">
      <c r="A1908" t="str">
        <f>"2465"</f>
        <v>2465</v>
      </c>
      <c r="B1908" t="str">
        <f t="shared" si="116"/>
        <v>1</v>
      </c>
      <c r="C1908" t="str">
        <f t="shared" si="115"/>
        <v>101</v>
      </c>
      <c r="D1908" t="str">
        <f>"1"</f>
        <v>1</v>
      </c>
      <c r="E1908" t="str">
        <f>"1-101-1"</f>
        <v>1-101-1</v>
      </c>
      <c r="F1908" t="s">
        <v>15</v>
      </c>
      <c r="G1908" t="s">
        <v>18</v>
      </c>
      <c r="H1908" t="s">
        <v>19</v>
      </c>
      <c r="I1908">
        <v>1</v>
      </c>
      <c r="J1908">
        <v>0</v>
      </c>
      <c r="K1908">
        <v>0</v>
      </c>
    </row>
    <row r="1909" spans="1:11" x14ac:dyDescent="0.25">
      <c r="A1909" t="str">
        <f>"2466"</f>
        <v>2466</v>
      </c>
      <c r="B1909" t="str">
        <f t="shared" si="116"/>
        <v>1</v>
      </c>
      <c r="C1909" t="str">
        <f t="shared" si="115"/>
        <v>101</v>
      </c>
      <c r="D1909" t="str">
        <f>"25"</f>
        <v>25</v>
      </c>
      <c r="E1909" t="str">
        <f>"1-101-25"</f>
        <v>1-101-25</v>
      </c>
      <c r="F1909" t="s">
        <v>15</v>
      </c>
      <c r="G1909" t="s">
        <v>16</v>
      </c>
      <c r="H1909" t="s">
        <v>17</v>
      </c>
      <c r="I1909">
        <v>0</v>
      </c>
      <c r="J1909">
        <v>0</v>
      </c>
      <c r="K1909">
        <v>1</v>
      </c>
    </row>
    <row r="1910" spans="1:11" x14ac:dyDescent="0.25">
      <c r="A1910" t="str">
        <f>"2467"</f>
        <v>2467</v>
      </c>
      <c r="B1910" t="str">
        <f t="shared" si="116"/>
        <v>1</v>
      </c>
      <c r="C1910" t="str">
        <f t="shared" si="115"/>
        <v>101</v>
      </c>
      <c r="D1910" t="str">
        <f>"6"</f>
        <v>6</v>
      </c>
      <c r="E1910" t="str">
        <f>"1-101-6"</f>
        <v>1-101-6</v>
      </c>
      <c r="F1910" t="s">
        <v>15</v>
      </c>
      <c r="G1910" t="s">
        <v>16</v>
      </c>
      <c r="H1910" t="s">
        <v>17</v>
      </c>
      <c r="I1910">
        <v>1</v>
      </c>
      <c r="J1910">
        <v>0</v>
      </c>
      <c r="K1910">
        <v>0</v>
      </c>
    </row>
    <row r="1911" spans="1:11" x14ac:dyDescent="0.25">
      <c r="A1911" t="str">
        <f>"2468"</f>
        <v>2468</v>
      </c>
      <c r="B1911" t="str">
        <f t="shared" si="116"/>
        <v>1</v>
      </c>
      <c r="C1911" t="str">
        <f t="shared" si="115"/>
        <v>101</v>
      </c>
      <c r="D1911" t="str">
        <f>"11"</f>
        <v>11</v>
      </c>
      <c r="E1911" t="str">
        <f>"1-101-11"</f>
        <v>1-101-11</v>
      </c>
      <c r="F1911" t="s">
        <v>15</v>
      </c>
      <c r="G1911" t="s">
        <v>16</v>
      </c>
      <c r="H1911" t="s">
        <v>17</v>
      </c>
      <c r="I1911">
        <v>1</v>
      </c>
      <c r="J1911">
        <v>0</v>
      </c>
      <c r="K1911">
        <v>0</v>
      </c>
    </row>
    <row r="1912" spans="1:11" x14ac:dyDescent="0.25">
      <c r="A1912" t="str">
        <f>"2469"</f>
        <v>2469</v>
      </c>
      <c r="B1912" t="str">
        <f t="shared" si="116"/>
        <v>1</v>
      </c>
      <c r="C1912" t="str">
        <f t="shared" si="115"/>
        <v>101</v>
      </c>
      <c r="D1912" t="str">
        <f>"14"</f>
        <v>14</v>
      </c>
      <c r="E1912" t="str">
        <f>"1-101-14"</f>
        <v>1-101-14</v>
      </c>
      <c r="F1912" t="s">
        <v>15</v>
      </c>
      <c r="G1912" t="s">
        <v>16</v>
      </c>
      <c r="H1912" t="s">
        <v>17</v>
      </c>
      <c r="I1912">
        <v>1</v>
      </c>
      <c r="J1912">
        <v>0</v>
      </c>
      <c r="K1912">
        <v>0</v>
      </c>
    </row>
    <row r="1913" spans="1:11" x14ac:dyDescent="0.25">
      <c r="A1913" t="str">
        <f>"2470"</f>
        <v>2470</v>
      </c>
      <c r="B1913" t="str">
        <f t="shared" si="116"/>
        <v>1</v>
      </c>
      <c r="C1913" t="str">
        <f t="shared" si="115"/>
        <v>101</v>
      </c>
      <c r="D1913" t="str">
        <f>"5"</f>
        <v>5</v>
      </c>
      <c r="E1913" t="str">
        <f>"1-101-5"</f>
        <v>1-101-5</v>
      </c>
      <c r="F1913" t="s">
        <v>15</v>
      </c>
      <c r="G1913" t="s">
        <v>16</v>
      </c>
      <c r="H1913" t="s">
        <v>17</v>
      </c>
      <c r="I1913">
        <v>1</v>
      </c>
      <c r="J1913">
        <v>0</v>
      </c>
      <c r="K1913">
        <v>0</v>
      </c>
    </row>
    <row r="1914" spans="1:11" x14ac:dyDescent="0.25">
      <c r="A1914" t="str">
        <f>"2471"</f>
        <v>2471</v>
      </c>
      <c r="B1914" t="str">
        <f t="shared" si="116"/>
        <v>1</v>
      </c>
      <c r="C1914" t="str">
        <f t="shared" si="115"/>
        <v>101</v>
      </c>
      <c r="D1914" t="str">
        <f>"2"</f>
        <v>2</v>
      </c>
      <c r="E1914" t="str">
        <f>"1-101-2"</f>
        <v>1-101-2</v>
      </c>
      <c r="F1914" t="s">
        <v>15</v>
      </c>
      <c r="G1914" t="s">
        <v>16</v>
      </c>
      <c r="H1914" t="s">
        <v>17</v>
      </c>
      <c r="I1914">
        <v>0</v>
      </c>
      <c r="J1914">
        <v>0</v>
      </c>
      <c r="K1914">
        <v>0</v>
      </c>
    </row>
    <row r="1915" spans="1:11" x14ac:dyDescent="0.25">
      <c r="A1915" t="str">
        <f>"2472"</f>
        <v>2472</v>
      </c>
      <c r="B1915" t="str">
        <f t="shared" si="116"/>
        <v>1</v>
      </c>
      <c r="C1915" t="str">
        <f t="shared" si="115"/>
        <v>101</v>
      </c>
      <c r="D1915" t="str">
        <f>"20"</f>
        <v>20</v>
      </c>
      <c r="E1915" t="str">
        <f>"1-101-20"</f>
        <v>1-101-20</v>
      </c>
      <c r="F1915" t="s">
        <v>15</v>
      </c>
      <c r="G1915" t="s">
        <v>16</v>
      </c>
      <c r="H1915" t="s">
        <v>17</v>
      </c>
      <c r="I1915">
        <v>0</v>
      </c>
      <c r="J1915">
        <v>0</v>
      </c>
      <c r="K1915">
        <v>0</v>
      </c>
    </row>
    <row r="1916" spans="1:11" x14ac:dyDescent="0.25">
      <c r="A1916" t="str">
        <f>"2473"</f>
        <v>2473</v>
      </c>
      <c r="B1916" t="str">
        <f t="shared" si="116"/>
        <v>1</v>
      </c>
      <c r="C1916" t="str">
        <f t="shared" si="115"/>
        <v>101</v>
      </c>
      <c r="D1916" t="str">
        <f>"23"</f>
        <v>23</v>
      </c>
      <c r="E1916" t="str">
        <f>"1-101-23"</f>
        <v>1-101-23</v>
      </c>
      <c r="F1916" t="s">
        <v>15</v>
      </c>
      <c r="G1916" t="s">
        <v>18</v>
      </c>
      <c r="H1916" t="s">
        <v>19</v>
      </c>
      <c r="I1916">
        <v>1</v>
      </c>
      <c r="J1916">
        <v>0</v>
      </c>
      <c r="K1916">
        <v>0</v>
      </c>
    </row>
    <row r="1917" spans="1:11" x14ac:dyDescent="0.25">
      <c r="A1917" t="str">
        <f>"2492"</f>
        <v>2492</v>
      </c>
      <c r="B1917" t="str">
        <f t="shared" si="116"/>
        <v>1</v>
      </c>
      <c r="C1917" t="str">
        <f t="shared" ref="C1917:C1941" si="117">"103"</f>
        <v>103</v>
      </c>
      <c r="D1917" t="str">
        <f>"21"</f>
        <v>21</v>
      </c>
      <c r="E1917" t="str">
        <f>"1-103-21"</f>
        <v>1-103-21</v>
      </c>
      <c r="F1917" t="s">
        <v>15</v>
      </c>
      <c r="G1917" t="s">
        <v>18</v>
      </c>
      <c r="H1917" t="s">
        <v>19</v>
      </c>
      <c r="I1917">
        <v>1</v>
      </c>
      <c r="J1917">
        <v>0</v>
      </c>
      <c r="K1917">
        <v>0</v>
      </c>
    </row>
    <row r="1918" spans="1:11" x14ac:dyDescent="0.25">
      <c r="A1918" t="str">
        <f>"2493"</f>
        <v>2493</v>
      </c>
      <c r="B1918" t="str">
        <f t="shared" si="116"/>
        <v>1</v>
      </c>
      <c r="C1918" t="str">
        <f t="shared" si="117"/>
        <v>103</v>
      </c>
      <c r="D1918" t="str">
        <f>"15"</f>
        <v>15</v>
      </c>
      <c r="E1918" t="str">
        <f>"1-103-15"</f>
        <v>1-103-15</v>
      </c>
      <c r="F1918" t="s">
        <v>15</v>
      </c>
      <c r="G1918" t="s">
        <v>18</v>
      </c>
      <c r="H1918" t="s">
        <v>19</v>
      </c>
      <c r="I1918">
        <v>0</v>
      </c>
      <c r="J1918">
        <v>1</v>
      </c>
      <c r="K1918">
        <v>0</v>
      </c>
    </row>
    <row r="1919" spans="1:11" x14ac:dyDescent="0.25">
      <c r="A1919" t="str">
        <f>"2494"</f>
        <v>2494</v>
      </c>
      <c r="B1919" t="str">
        <f t="shared" si="116"/>
        <v>1</v>
      </c>
      <c r="C1919" t="str">
        <f t="shared" si="117"/>
        <v>103</v>
      </c>
      <c r="D1919" t="str">
        <f>"2"</f>
        <v>2</v>
      </c>
      <c r="E1919" t="str">
        <f>"1-103-2"</f>
        <v>1-103-2</v>
      </c>
      <c r="F1919" t="s">
        <v>15</v>
      </c>
      <c r="G1919" t="s">
        <v>18</v>
      </c>
      <c r="H1919" t="s">
        <v>19</v>
      </c>
      <c r="I1919">
        <v>0</v>
      </c>
      <c r="J1919">
        <v>1</v>
      </c>
      <c r="K1919">
        <v>0</v>
      </c>
    </row>
    <row r="1920" spans="1:11" x14ac:dyDescent="0.25">
      <c r="A1920" t="str">
        <f>"2495"</f>
        <v>2495</v>
      </c>
      <c r="B1920" t="str">
        <f t="shared" si="116"/>
        <v>1</v>
      </c>
      <c r="C1920" t="str">
        <f t="shared" si="117"/>
        <v>103</v>
      </c>
      <c r="D1920" t="str">
        <f>"16"</f>
        <v>16</v>
      </c>
      <c r="E1920" t="str">
        <f>"1-103-16"</f>
        <v>1-103-16</v>
      </c>
      <c r="F1920" t="s">
        <v>15</v>
      </c>
      <c r="G1920" t="s">
        <v>18</v>
      </c>
      <c r="H1920" t="s">
        <v>19</v>
      </c>
      <c r="I1920">
        <v>0</v>
      </c>
      <c r="J1920">
        <v>1</v>
      </c>
      <c r="K1920">
        <v>0</v>
      </c>
    </row>
    <row r="1921" spans="1:11" x14ac:dyDescent="0.25">
      <c r="A1921" t="str">
        <f>"2496"</f>
        <v>2496</v>
      </c>
      <c r="B1921" t="str">
        <f t="shared" si="116"/>
        <v>1</v>
      </c>
      <c r="C1921" t="str">
        <f t="shared" si="117"/>
        <v>103</v>
      </c>
      <c r="D1921" t="str">
        <f>"7"</f>
        <v>7</v>
      </c>
      <c r="E1921" t="str">
        <f>"1-103-7"</f>
        <v>1-103-7</v>
      </c>
      <c r="F1921" t="s">
        <v>15</v>
      </c>
      <c r="G1921" t="s">
        <v>18</v>
      </c>
      <c r="H1921" t="s">
        <v>19</v>
      </c>
      <c r="I1921">
        <v>1</v>
      </c>
      <c r="J1921">
        <v>0</v>
      </c>
      <c r="K1921">
        <v>0</v>
      </c>
    </row>
    <row r="1922" spans="1:11" x14ac:dyDescent="0.25">
      <c r="A1922" t="str">
        <f>"2497"</f>
        <v>2497</v>
      </c>
      <c r="B1922" t="str">
        <f t="shared" si="116"/>
        <v>1</v>
      </c>
      <c r="C1922" t="str">
        <f t="shared" si="117"/>
        <v>103</v>
      </c>
      <c r="D1922" t="str">
        <f>"17"</f>
        <v>17</v>
      </c>
      <c r="E1922" t="str">
        <f>"1-103-17"</f>
        <v>1-103-17</v>
      </c>
      <c r="F1922" t="s">
        <v>15</v>
      </c>
      <c r="G1922" t="s">
        <v>18</v>
      </c>
      <c r="H1922" t="s">
        <v>19</v>
      </c>
      <c r="I1922">
        <v>1</v>
      </c>
      <c r="J1922">
        <v>0</v>
      </c>
      <c r="K1922">
        <v>0</v>
      </c>
    </row>
    <row r="1923" spans="1:11" x14ac:dyDescent="0.25">
      <c r="A1923" t="str">
        <f>"2498"</f>
        <v>2498</v>
      </c>
      <c r="B1923" t="str">
        <f t="shared" si="116"/>
        <v>1</v>
      </c>
      <c r="C1923" t="str">
        <f t="shared" si="117"/>
        <v>103</v>
      </c>
      <c r="D1923" t="str">
        <f>"5"</f>
        <v>5</v>
      </c>
      <c r="E1923" t="str">
        <f>"1-103-5"</f>
        <v>1-103-5</v>
      </c>
      <c r="F1923" t="s">
        <v>15</v>
      </c>
      <c r="G1923" t="s">
        <v>18</v>
      </c>
      <c r="H1923" t="s">
        <v>19</v>
      </c>
      <c r="I1923">
        <v>0</v>
      </c>
      <c r="J1923">
        <v>1</v>
      </c>
      <c r="K1923">
        <v>0</v>
      </c>
    </row>
    <row r="1924" spans="1:11" x14ac:dyDescent="0.25">
      <c r="A1924" t="str">
        <f>"2499"</f>
        <v>2499</v>
      </c>
      <c r="B1924" t="str">
        <f t="shared" si="116"/>
        <v>1</v>
      </c>
      <c r="C1924" t="str">
        <f t="shared" si="117"/>
        <v>103</v>
      </c>
      <c r="D1924" t="str">
        <f>"18"</f>
        <v>18</v>
      </c>
      <c r="E1924" t="str">
        <f>"1-103-18"</f>
        <v>1-103-18</v>
      </c>
      <c r="F1924" t="s">
        <v>15</v>
      </c>
      <c r="G1924" t="s">
        <v>18</v>
      </c>
      <c r="H1924" t="s">
        <v>19</v>
      </c>
      <c r="I1924">
        <v>0</v>
      </c>
      <c r="J1924">
        <v>0</v>
      </c>
      <c r="K1924">
        <v>1</v>
      </c>
    </row>
    <row r="1925" spans="1:11" x14ac:dyDescent="0.25">
      <c r="A1925" t="str">
        <f>"2500"</f>
        <v>2500</v>
      </c>
      <c r="B1925" t="str">
        <f t="shared" si="116"/>
        <v>1</v>
      </c>
      <c r="C1925" t="str">
        <f t="shared" si="117"/>
        <v>103</v>
      </c>
      <c r="D1925" t="str">
        <f>"19"</f>
        <v>19</v>
      </c>
      <c r="E1925" t="str">
        <f>"1-103-19"</f>
        <v>1-103-19</v>
      </c>
      <c r="F1925" t="s">
        <v>15</v>
      </c>
      <c r="G1925" t="s">
        <v>18</v>
      </c>
      <c r="H1925" t="s">
        <v>19</v>
      </c>
      <c r="I1925">
        <v>1</v>
      </c>
      <c r="J1925">
        <v>0</v>
      </c>
      <c r="K1925">
        <v>0</v>
      </c>
    </row>
    <row r="1926" spans="1:11" x14ac:dyDescent="0.25">
      <c r="A1926" t="str">
        <f>"2501"</f>
        <v>2501</v>
      </c>
      <c r="B1926" t="str">
        <f t="shared" si="116"/>
        <v>1</v>
      </c>
      <c r="C1926" t="str">
        <f t="shared" si="117"/>
        <v>103</v>
      </c>
      <c r="D1926" t="str">
        <f>"11"</f>
        <v>11</v>
      </c>
      <c r="E1926" t="str">
        <f>"1-103-11"</f>
        <v>1-103-11</v>
      </c>
      <c r="F1926" t="s">
        <v>15</v>
      </c>
      <c r="G1926" t="s">
        <v>18</v>
      </c>
      <c r="H1926" t="s">
        <v>19</v>
      </c>
      <c r="I1926">
        <v>1</v>
      </c>
      <c r="J1926">
        <v>0</v>
      </c>
      <c r="K1926">
        <v>0</v>
      </c>
    </row>
    <row r="1927" spans="1:11" x14ac:dyDescent="0.25">
      <c r="A1927" t="str">
        <f>"2502"</f>
        <v>2502</v>
      </c>
      <c r="B1927" t="str">
        <f t="shared" si="116"/>
        <v>1</v>
      </c>
      <c r="C1927" t="str">
        <f t="shared" si="117"/>
        <v>103</v>
      </c>
      <c r="D1927" t="str">
        <f>"20"</f>
        <v>20</v>
      </c>
      <c r="E1927" t="str">
        <f>"1-103-20"</f>
        <v>1-103-20</v>
      </c>
      <c r="F1927" t="s">
        <v>15</v>
      </c>
      <c r="G1927" t="s">
        <v>18</v>
      </c>
      <c r="H1927" t="s">
        <v>19</v>
      </c>
      <c r="I1927">
        <v>1</v>
      </c>
      <c r="J1927">
        <v>0</v>
      </c>
      <c r="K1927">
        <v>0</v>
      </c>
    </row>
    <row r="1928" spans="1:11" x14ac:dyDescent="0.25">
      <c r="A1928" t="str">
        <f>"2503"</f>
        <v>2503</v>
      </c>
      <c r="B1928" t="str">
        <f t="shared" si="116"/>
        <v>1</v>
      </c>
      <c r="C1928" t="str">
        <f t="shared" si="117"/>
        <v>103</v>
      </c>
      <c r="D1928" t="str">
        <f>"14"</f>
        <v>14</v>
      </c>
      <c r="E1928" t="str">
        <f>"1-103-14"</f>
        <v>1-103-14</v>
      </c>
      <c r="F1928" t="s">
        <v>15</v>
      </c>
      <c r="G1928" t="s">
        <v>18</v>
      </c>
      <c r="H1928" t="s">
        <v>19</v>
      </c>
      <c r="I1928">
        <v>0</v>
      </c>
      <c r="J1928">
        <v>1</v>
      </c>
      <c r="K1928">
        <v>0</v>
      </c>
    </row>
    <row r="1929" spans="1:11" x14ac:dyDescent="0.25">
      <c r="A1929" t="str">
        <f>"2504"</f>
        <v>2504</v>
      </c>
      <c r="B1929" t="str">
        <f t="shared" si="116"/>
        <v>1</v>
      </c>
      <c r="C1929" t="str">
        <f t="shared" si="117"/>
        <v>103</v>
      </c>
      <c r="D1929" t="str">
        <f>"22"</f>
        <v>22</v>
      </c>
      <c r="E1929" t="str">
        <f>"1-103-22"</f>
        <v>1-103-22</v>
      </c>
      <c r="F1929" t="s">
        <v>15</v>
      </c>
      <c r="G1929" t="s">
        <v>16</v>
      </c>
      <c r="H1929" t="s">
        <v>17</v>
      </c>
      <c r="I1929">
        <v>0</v>
      </c>
      <c r="J1929">
        <v>0</v>
      </c>
      <c r="K1929">
        <v>1</v>
      </c>
    </row>
    <row r="1930" spans="1:11" x14ac:dyDescent="0.25">
      <c r="A1930" t="str">
        <f>"2505"</f>
        <v>2505</v>
      </c>
      <c r="B1930" t="str">
        <f t="shared" si="116"/>
        <v>1</v>
      </c>
      <c r="C1930" t="str">
        <f t="shared" si="117"/>
        <v>103</v>
      </c>
      <c r="D1930" t="str">
        <f>"9"</f>
        <v>9</v>
      </c>
      <c r="E1930" t="str">
        <f>"1-103-9"</f>
        <v>1-103-9</v>
      </c>
      <c r="F1930" t="s">
        <v>15</v>
      </c>
      <c r="G1930" t="s">
        <v>18</v>
      </c>
      <c r="H1930" t="s">
        <v>19</v>
      </c>
      <c r="I1930">
        <v>1</v>
      </c>
      <c r="J1930">
        <v>0</v>
      </c>
      <c r="K1930">
        <v>0</v>
      </c>
    </row>
    <row r="1931" spans="1:11" x14ac:dyDescent="0.25">
      <c r="A1931" t="str">
        <f>"2506"</f>
        <v>2506</v>
      </c>
      <c r="B1931" t="str">
        <f t="shared" si="116"/>
        <v>1</v>
      </c>
      <c r="C1931" t="str">
        <f t="shared" si="117"/>
        <v>103</v>
      </c>
      <c r="D1931" t="str">
        <f>"23"</f>
        <v>23</v>
      </c>
      <c r="E1931" t="str">
        <f>"1-103-23"</f>
        <v>1-103-23</v>
      </c>
      <c r="F1931" t="s">
        <v>15</v>
      </c>
      <c r="G1931" t="s">
        <v>16</v>
      </c>
      <c r="H1931" t="s">
        <v>17</v>
      </c>
      <c r="I1931">
        <v>0</v>
      </c>
      <c r="J1931">
        <v>0</v>
      </c>
      <c r="K1931">
        <v>1</v>
      </c>
    </row>
    <row r="1932" spans="1:11" x14ac:dyDescent="0.25">
      <c r="A1932" t="str">
        <f>"2507"</f>
        <v>2507</v>
      </c>
      <c r="B1932" t="str">
        <f t="shared" si="116"/>
        <v>1</v>
      </c>
      <c r="C1932" t="str">
        <f t="shared" si="117"/>
        <v>103</v>
      </c>
      <c r="D1932" t="str">
        <f>"6"</f>
        <v>6</v>
      </c>
      <c r="E1932" t="str">
        <f>"1-103-6"</f>
        <v>1-103-6</v>
      </c>
      <c r="F1932" t="s">
        <v>15</v>
      </c>
      <c r="G1932" t="s">
        <v>18</v>
      </c>
      <c r="H1932" t="s">
        <v>19</v>
      </c>
      <c r="I1932">
        <v>0</v>
      </c>
      <c r="J1932">
        <v>1</v>
      </c>
      <c r="K1932">
        <v>0</v>
      </c>
    </row>
    <row r="1933" spans="1:11" x14ac:dyDescent="0.25">
      <c r="A1933" t="str">
        <f>"2508"</f>
        <v>2508</v>
      </c>
      <c r="B1933" t="str">
        <f t="shared" si="116"/>
        <v>1</v>
      </c>
      <c r="C1933" t="str">
        <f t="shared" si="117"/>
        <v>103</v>
      </c>
      <c r="D1933" t="str">
        <f>"24"</f>
        <v>24</v>
      </c>
      <c r="E1933" t="str">
        <f>"1-103-24"</f>
        <v>1-103-24</v>
      </c>
      <c r="F1933" t="s">
        <v>15</v>
      </c>
      <c r="G1933" t="s">
        <v>18</v>
      </c>
      <c r="H1933" t="s">
        <v>19</v>
      </c>
      <c r="I1933">
        <v>0</v>
      </c>
      <c r="J1933">
        <v>1</v>
      </c>
      <c r="K1933">
        <v>0</v>
      </c>
    </row>
    <row r="1934" spans="1:11" x14ac:dyDescent="0.25">
      <c r="A1934" t="str">
        <f>"2509"</f>
        <v>2509</v>
      </c>
      <c r="B1934" t="str">
        <f t="shared" si="116"/>
        <v>1</v>
      </c>
      <c r="C1934" t="str">
        <f t="shared" si="117"/>
        <v>103</v>
      </c>
      <c r="D1934" t="str">
        <f>"8"</f>
        <v>8</v>
      </c>
      <c r="E1934" t="str">
        <f>"1-103-8"</f>
        <v>1-103-8</v>
      </c>
      <c r="F1934" t="s">
        <v>15</v>
      </c>
      <c r="G1934" t="s">
        <v>18</v>
      </c>
      <c r="H1934" t="s">
        <v>19</v>
      </c>
      <c r="I1934">
        <v>0</v>
      </c>
      <c r="J1934">
        <v>1</v>
      </c>
      <c r="K1934">
        <v>0</v>
      </c>
    </row>
    <row r="1935" spans="1:11" x14ac:dyDescent="0.25">
      <c r="A1935" t="str">
        <f>"2510"</f>
        <v>2510</v>
      </c>
      <c r="B1935" t="str">
        <f t="shared" si="116"/>
        <v>1</v>
      </c>
      <c r="C1935" t="str">
        <f t="shared" si="117"/>
        <v>103</v>
      </c>
      <c r="D1935" t="str">
        <f>"25"</f>
        <v>25</v>
      </c>
      <c r="E1935" t="str">
        <f>"1-103-25"</f>
        <v>1-103-25</v>
      </c>
      <c r="F1935" t="s">
        <v>15</v>
      </c>
      <c r="G1935" t="s">
        <v>18</v>
      </c>
      <c r="H1935" t="s">
        <v>19</v>
      </c>
      <c r="I1935">
        <v>0</v>
      </c>
      <c r="J1935">
        <v>1</v>
      </c>
      <c r="K1935">
        <v>0</v>
      </c>
    </row>
    <row r="1936" spans="1:11" x14ac:dyDescent="0.25">
      <c r="A1936" t="str">
        <f>"2511"</f>
        <v>2511</v>
      </c>
      <c r="B1936" t="str">
        <f t="shared" si="116"/>
        <v>1</v>
      </c>
      <c r="C1936" t="str">
        <f t="shared" si="117"/>
        <v>103</v>
      </c>
      <c r="D1936" t="str">
        <f>"1"</f>
        <v>1</v>
      </c>
      <c r="E1936" t="str">
        <f>"1-103-1"</f>
        <v>1-103-1</v>
      </c>
      <c r="F1936" t="s">
        <v>15</v>
      </c>
      <c r="G1936" t="s">
        <v>18</v>
      </c>
      <c r="H1936" t="s">
        <v>19</v>
      </c>
      <c r="I1936">
        <v>0</v>
      </c>
      <c r="J1936">
        <v>0</v>
      </c>
      <c r="K1936">
        <v>1</v>
      </c>
    </row>
    <row r="1937" spans="1:11" x14ac:dyDescent="0.25">
      <c r="A1937" t="str">
        <f>"2512"</f>
        <v>2512</v>
      </c>
      <c r="B1937" t="str">
        <f t="shared" si="116"/>
        <v>1</v>
      </c>
      <c r="C1937" t="str">
        <f t="shared" si="117"/>
        <v>103</v>
      </c>
      <c r="D1937" t="str">
        <f>"12"</f>
        <v>12</v>
      </c>
      <c r="E1937" t="str">
        <f>"1-103-12"</f>
        <v>1-103-12</v>
      </c>
      <c r="F1937" t="s">
        <v>15</v>
      </c>
      <c r="G1937" t="s">
        <v>18</v>
      </c>
      <c r="H1937" t="s">
        <v>19</v>
      </c>
      <c r="I1937">
        <v>1</v>
      </c>
      <c r="J1937">
        <v>0</v>
      </c>
      <c r="K1937">
        <v>0</v>
      </c>
    </row>
    <row r="1938" spans="1:11" x14ac:dyDescent="0.25">
      <c r="A1938" t="str">
        <f>"2513"</f>
        <v>2513</v>
      </c>
      <c r="B1938" t="str">
        <f t="shared" si="116"/>
        <v>1</v>
      </c>
      <c r="C1938" t="str">
        <f t="shared" si="117"/>
        <v>103</v>
      </c>
      <c r="D1938" t="str">
        <f>"3"</f>
        <v>3</v>
      </c>
      <c r="E1938" t="str">
        <f>"1-103-3"</f>
        <v>1-103-3</v>
      </c>
      <c r="F1938" t="s">
        <v>15</v>
      </c>
      <c r="G1938" t="s">
        <v>18</v>
      </c>
      <c r="H1938" t="s">
        <v>19</v>
      </c>
      <c r="I1938">
        <v>0</v>
      </c>
      <c r="J1938">
        <v>0</v>
      </c>
      <c r="K1938">
        <v>1</v>
      </c>
    </row>
    <row r="1939" spans="1:11" x14ac:dyDescent="0.25">
      <c r="A1939" t="str">
        <f>"2514"</f>
        <v>2514</v>
      </c>
      <c r="B1939" t="str">
        <f t="shared" si="116"/>
        <v>1</v>
      </c>
      <c r="C1939" t="str">
        <f t="shared" si="117"/>
        <v>103</v>
      </c>
      <c r="D1939" t="str">
        <f>"4"</f>
        <v>4</v>
      </c>
      <c r="E1939" t="str">
        <f>"1-103-4"</f>
        <v>1-103-4</v>
      </c>
      <c r="F1939" t="s">
        <v>15</v>
      </c>
      <c r="G1939" t="s">
        <v>18</v>
      </c>
      <c r="H1939" t="s">
        <v>19</v>
      </c>
      <c r="I1939">
        <v>1</v>
      </c>
      <c r="J1939">
        <v>0</v>
      </c>
      <c r="K1939">
        <v>0</v>
      </c>
    </row>
    <row r="1940" spans="1:11" x14ac:dyDescent="0.25">
      <c r="A1940" t="str">
        <f>"2515"</f>
        <v>2515</v>
      </c>
      <c r="B1940" t="str">
        <f t="shared" si="116"/>
        <v>1</v>
      </c>
      <c r="C1940" t="str">
        <f t="shared" si="117"/>
        <v>103</v>
      </c>
      <c r="D1940" t="str">
        <f>"10"</f>
        <v>10</v>
      </c>
      <c r="E1940" t="str">
        <f>"1-103-10"</f>
        <v>1-103-10</v>
      </c>
      <c r="F1940" t="s">
        <v>15</v>
      </c>
      <c r="G1940" t="s">
        <v>18</v>
      </c>
      <c r="H1940" t="s">
        <v>19</v>
      </c>
      <c r="I1940">
        <v>0</v>
      </c>
      <c r="J1940">
        <v>1</v>
      </c>
      <c r="K1940">
        <v>0</v>
      </c>
    </row>
    <row r="1941" spans="1:11" x14ac:dyDescent="0.25">
      <c r="A1941" t="str">
        <f>"2516"</f>
        <v>2516</v>
      </c>
      <c r="B1941" t="str">
        <f t="shared" si="116"/>
        <v>1</v>
      </c>
      <c r="C1941" t="str">
        <f t="shared" si="117"/>
        <v>103</v>
      </c>
      <c r="D1941" t="str">
        <f>"13"</f>
        <v>13</v>
      </c>
      <c r="E1941" t="str">
        <f>"1-103-13"</f>
        <v>1-103-13</v>
      </c>
      <c r="F1941" t="s">
        <v>15</v>
      </c>
      <c r="G1941" t="s">
        <v>18</v>
      </c>
      <c r="H1941" t="s">
        <v>19</v>
      </c>
      <c r="I1941">
        <v>0</v>
      </c>
      <c r="J1941">
        <v>0</v>
      </c>
      <c r="K1941">
        <v>0</v>
      </c>
    </row>
    <row r="1942" spans="1:11" x14ac:dyDescent="0.25">
      <c r="A1942" t="str">
        <f>"2517"</f>
        <v>2517</v>
      </c>
      <c r="B1942" t="str">
        <f t="shared" si="116"/>
        <v>1</v>
      </c>
      <c r="C1942" t="str">
        <f t="shared" ref="C1942:C1962" si="118">"104"</f>
        <v>104</v>
      </c>
      <c r="D1942" t="str">
        <f>"23"</f>
        <v>23</v>
      </c>
      <c r="E1942" t="str">
        <f>"1-104-23"</f>
        <v>1-104-23</v>
      </c>
      <c r="F1942" t="s">
        <v>15</v>
      </c>
      <c r="G1942" t="s">
        <v>16</v>
      </c>
      <c r="H1942" t="s">
        <v>17</v>
      </c>
      <c r="I1942">
        <v>1</v>
      </c>
      <c r="J1942">
        <v>0</v>
      </c>
      <c r="K1942">
        <v>0</v>
      </c>
    </row>
    <row r="1943" spans="1:11" x14ac:dyDescent="0.25">
      <c r="A1943" t="str">
        <f>"2518"</f>
        <v>2518</v>
      </c>
      <c r="B1943" t="str">
        <f t="shared" si="116"/>
        <v>1</v>
      </c>
      <c r="C1943" t="str">
        <f t="shared" si="118"/>
        <v>104</v>
      </c>
      <c r="D1943" t="str">
        <f>"15"</f>
        <v>15</v>
      </c>
      <c r="E1943" t="str">
        <f>"1-104-15"</f>
        <v>1-104-15</v>
      </c>
      <c r="F1943" t="s">
        <v>15</v>
      </c>
      <c r="G1943" t="s">
        <v>18</v>
      </c>
      <c r="H1943" t="s">
        <v>19</v>
      </c>
      <c r="I1943">
        <v>0</v>
      </c>
      <c r="J1943">
        <v>1</v>
      </c>
      <c r="K1943">
        <v>0</v>
      </c>
    </row>
    <row r="1944" spans="1:11" x14ac:dyDescent="0.25">
      <c r="A1944" t="str">
        <f>"2519"</f>
        <v>2519</v>
      </c>
      <c r="B1944" t="str">
        <f t="shared" si="116"/>
        <v>1</v>
      </c>
      <c r="C1944" t="str">
        <f t="shared" si="118"/>
        <v>104</v>
      </c>
      <c r="D1944" t="str">
        <f>"3"</f>
        <v>3</v>
      </c>
      <c r="E1944" t="str">
        <f>"1-104-3"</f>
        <v>1-104-3</v>
      </c>
      <c r="F1944" t="s">
        <v>15</v>
      </c>
      <c r="G1944" t="s">
        <v>16</v>
      </c>
      <c r="H1944" t="s">
        <v>17</v>
      </c>
      <c r="I1944">
        <v>0</v>
      </c>
      <c r="J1944">
        <v>0</v>
      </c>
      <c r="K1944">
        <v>1</v>
      </c>
    </row>
    <row r="1945" spans="1:11" x14ac:dyDescent="0.25">
      <c r="A1945" t="str">
        <f>"2520"</f>
        <v>2520</v>
      </c>
      <c r="B1945" t="str">
        <f t="shared" si="116"/>
        <v>1</v>
      </c>
      <c r="C1945" t="str">
        <f t="shared" si="118"/>
        <v>104</v>
      </c>
      <c r="D1945" t="str">
        <f>"16"</f>
        <v>16</v>
      </c>
      <c r="E1945" t="str">
        <f>"1-104-16"</f>
        <v>1-104-16</v>
      </c>
      <c r="F1945" t="s">
        <v>15</v>
      </c>
      <c r="G1945" t="s">
        <v>18</v>
      </c>
      <c r="H1945" t="s">
        <v>19</v>
      </c>
      <c r="I1945">
        <v>1</v>
      </c>
      <c r="J1945">
        <v>0</v>
      </c>
      <c r="K1945">
        <v>0</v>
      </c>
    </row>
    <row r="1946" spans="1:11" x14ac:dyDescent="0.25">
      <c r="A1946" t="str">
        <f>"2521"</f>
        <v>2521</v>
      </c>
      <c r="B1946" t="str">
        <f t="shared" si="116"/>
        <v>1</v>
      </c>
      <c r="C1946" t="str">
        <f t="shared" si="118"/>
        <v>104</v>
      </c>
      <c r="D1946" t="str">
        <f>"17"</f>
        <v>17</v>
      </c>
      <c r="E1946" t="str">
        <f>"1-104-17"</f>
        <v>1-104-17</v>
      </c>
      <c r="F1946" t="s">
        <v>15</v>
      </c>
      <c r="G1946" t="s">
        <v>20</v>
      </c>
      <c r="H1946" t="s">
        <v>21</v>
      </c>
      <c r="I1946">
        <v>1</v>
      </c>
      <c r="J1946">
        <v>0</v>
      </c>
      <c r="K1946">
        <v>0</v>
      </c>
    </row>
    <row r="1947" spans="1:11" x14ac:dyDescent="0.25">
      <c r="A1947" t="str">
        <f>"2522"</f>
        <v>2522</v>
      </c>
      <c r="B1947" t="str">
        <f t="shared" ref="B1947:B2004" si="119">"1"</f>
        <v>1</v>
      </c>
      <c r="C1947" t="str">
        <f t="shared" si="118"/>
        <v>104</v>
      </c>
      <c r="D1947" t="str">
        <f>"5"</f>
        <v>5</v>
      </c>
      <c r="E1947" t="str">
        <f>"1-104-5"</f>
        <v>1-104-5</v>
      </c>
      <c r="F1947" t="s">
        <v>15</v>
      </c>
      <c r="G1947" t="s">
        <v>16</v>
      </c>
      <c r="H1947" t="s">
        <v>17</v>
      </c>
      <c r="I1947">
        <v>0</v>
      </c>
      <c r="J1947">
        <v>1</v>
      </c>
      <c r="K1947">
        <v>0</v>
      </c>
    </row>
    <row r="1948" spans="1:11" x14ac:dyDescent="0.25">
      <c r="A1948" t="str">
        <f>"2523"</f>
        <v>2523</v>
      </c>
      <c r="B1948" t="str">
        <f t="shared" si="119"/>
        <v>1</v>
      </c>
      <c r="C1948" t="str">
        <f t="shared" si="118"/>
        <v>104</v>
      </c>
      <c r="D1948" t="str">
        <f>"18"</f>
        <v>18</v>
      </c>
      <c r="E1948" t="str">
        <f>"1-104-18"</f>
        <v>1-104-18</v>
      </c>
      <c r="F1948" t="s">
        <v>15</v>
      </c>
      <c r="G1948" t="s">
        <v>18</v>
      </c>
      <c r="H1948" t="s">
        <v>19</v>
      </c>
      <c r="I1948">
        <v>1</v>
      </c>
      <c r="J1948">
        <v>0</v>
      </c>
      <c r="K1948">
        <v>0</v>
      </c>
    </row>
    <row r="1949" spans="1:11" x14ac:dyDescent="0.25">
      <c r="A1949" t="str">
        <f>"2524"</f>
        <v>2524</v>
      </c>
      <c r="B1949" t="str">
        <f t="shared" si="119"/>
        <v>1</v>
      </c>
      <c r="C1949" t="str">
        <f t="shared" si="118"/>
        <v>104</v>
      </c>
      <c r="D1949" t="str">
        <f>"13"</f>
        <v>13</v>
      </c>
      <c r="E1949" t="str">
        <f>"1-104-13"</f>
        <v>1-104-13</v>
      </c>
      <c r="F1949" t="s">
        <v>15</v>
      </c>
      <c r="G1949" t="s">
        <v>18</v>
      </c>
      <c r="H1949" t="s">
        <v>19</v>
      </c>
      <c r="I1949">
        <v>0</v>
      </c>
      <c r="J1949">
        <v>1</v>
      </c>
      <c r="K1949">
        <v>0</v>
      </c>
    </row>
    <row r="1950" spans="1:11" x14ac:dyDescent="0.25">
      <c r="A1950" t="str">
        <f>"2525"</f>
        <v>2525</v>
      </c>
      <c r="B1950" t="str">
        <f t="shared" si="119"/>
        <v>1</v>
      </c>
      <c r="C1950" t="str">
        <f t="shared" si="118"/>
        <v>104</v>
      </c>
      <c r="D1950" t="str">
        <f>"19"</f>
        <v>19</v>
      </c>
      <c r="E1950" t="str">
        <f>"1-104-19"</f>
        <v>1-104-19</v>
      </c>
      <c r="F1950" t="s">
        <v>15</v>
      </c>
      <c r="G1950" t="s">
        <v>18</v>
      </c>
      <c r="H1950" t="s">
        <v>19</v>
      </c>
      <c r="I1950">
        <v>1</v>
      </c>
      <c r="J1950">
        <v>0</v>
      </c>
      <c r="K1950">
        <v>0</v>
      </c>
    </row>
    <row r="1951" spans="1:11" x14ac:dyDescent="0.25">
      <c r="A1951" t="str">
        <f>"2527"</f>
        <v>2527</v>
      </c>
      <c r="B1951" t="str">
        <f t="shared" si="119"/>
        <v>1</v>
      </c>
      <c r="C1951" t="str">
        <f t="shared" si="118"/>
        <v>104</v>
      </c>
      <c r="D1951" t="str">
        <f>"20"</f>
        <v>20</v>
      </c>
      <c r="E1951" t="str">
        <f>"1-104-20"</f>
        <v>1-104-20</v>
      </c>
      <c r="F1951" t="s">
        <v>15</v>
      </c>
      <c r="G1951" t="s">
        <v>16</v>
      </c>
      <c r="H1951" t="s">
        <v>17</v>
      </c>
      <c r="I1951">
        <v>0</v>
      </c>
      <c r="J1951">
        <v>1</v>
      </c>
      <c r="K1951">
        <v>0</v>
      </c>
    </row>
    <row r="1952" spans="1:11" x14ac:dyDescent="0.25">
      <c r="A1952" t="str">
        <f>"2529"</f>
        <v>2529</v>
      </c>
      <c r="B1952" t="str">
        <f t="shared" si="119"/>
        <v>1</v>
      </c>
      <c r="C1952" t="str">
        <f t="shared" si="118"/>
        <v>104</v>
      </c>
      <c r="D1952" t="str">
        <f>"21"</f>
        <v>21</v>
      </c>
      <c r="E1952" t="str">
        <f>"1-104-21"</f>
        <v>1-104-21</v>
      </c>
      <c r="F1952" t="s">
        <v>15</v>
      </c>
      <c r="G1952" t="s">
        <v>16</v>
      </c>
      <c r="H1952" t="s">
        <v>17</v>
      </c>
      <c r="I1952">
        <v>1</v>
      </c>
      <c r="J1952">
        <v>0</v>
      </c>
      <c r="K1952">
        <v>0</v>
      </c>
    </row>
    <row r="1953" spans="1:11" x14ac:dyDescent="0.25">
      <c r="A1953" t="str">
        <f>"2530"</f>
        <v>2530</v>
      </c>
      <c r="B1953" t="str">
        <f t="shared" si="119"/>
        <v>1</v>
      </c>
      <c r="C1953" t="str">
        <f t="shared" si="118"/>
        <v>104</v>
      </c>
      <c r="D1953" t="str">
        <f>"22"</f>
        <v>22</v>
      </c>
      <c r="E1953" t="str">
        <f>"1-104-22"</f>
        <v>1-104-22</v>
      </c>
      <c r="F1953" t="s">
        <v>15</v>
      </c>
      <c r="G1953" t="s">
        <v>16</v>
      </c>
      <c r="H1953" t="s">
        <v>17</v>
      </c>
      <c r="I1953">
        <v>1</v>
      </c>
      <c r="J1953">
        <v>0</v>
      </c>
      <c r="K1953">
        <v>0</v>
      </c>
    </row>
    <row r="1954" spans="1:11" x14ac:dyDescent="0.25">
      <c r="A1954" t="str">
        <f>"2531"</f>
        <v>2531</v>
      </c>
      <c r="B1954" t="str">
        <f t="shared" si="119"/>
        <v>1</v>
      </c>
      <c r="C1954" t="str">
        <f t="shared" si="118"/>
        <v>104</v>
      </c>
      <c r="D1954" t="str">
        <f>"10"</f>
        <v>10</v>
      </c>
      <c r="E1954" t="str">
        <f>"1-104-10"</f>
        <v>1-104-10</v>
      </c>
      <c r="F1954" t="s">
        <v>15</v>
      </c>
      <c r="G1954" t="s">
        <v>16</v>
      </c>
      <c r="H1954" t="s">
        <v>17</v>
      </c>
      <c r="I1954">
        <v>1</v>
      </c>
      <c r="J1954">
        <v>0</v>
      </c>
      <c r="K1954">
        <v>0</v>
      </c>
    </row>
    <row r="1955" spans="1:11" x14ac:dyDescent="0.25">
      <c r="A1955" t="str">
        <f>"2532"</f>
        <v>2532</v>
      </c>
      <c r="B1955" t="str">
        <f t="shared" si="119"/>
        <v>1</v>
      </c>
      <c r="C1955" t="str">
        <f t="shared" si="118"/>
        <v>104</v>
      </c>
      <c r="D1955" t="str">
        <f>"6"</f>
        <v>6</v>
      </c>
      <c r="E1955" t="str">
        <f>"1-104-6"</f>
        <v>1-104-6</v>
      </c>
      <c r="F1955" t="s">
        <v>15</v>
      </c>
      <c r="G1955" t="s">
        <v>16</v>
      </c>
      <c r="H1955" t="s">
        <v>17</v>
      </c>
      <c r="I1955">
        <v>1</v>
      </c>
      <c r="J1955">
        <v>0</v>
      </c>
      <c r="K1955">
        <v>0</v>
      </c>
    </row>
    <row r="1956" spans="1:11" x14ac:dyDescent="0.25">
      <c r="A1956" t="str">
        <f>"2533"</f>
        <v>2533</v>
      </c>
      <c r="B1956" t="str">
        <f t="shared" si="119"/>
        <v>1</v>
      </c>
      <c r="C1956" t="str">
        <f t="shared" si="118"/>
        <v>104</v>
      </c>
      <c r="D1956" t="str">
        <f>"12"</f>
        <v>12</v>
      </c>
      <c r="E1956" t="str">
        <f>"1-104-12"</f>
        <v>1-104-12</v>
      </c>
      <c r="F1956" t="s">
        <v>15</v>
      </c>
      <c r="G1956" t="s">
        <v>18</v>
      </c>
      <c r="H1956" t="s">
        <v>19</v>
      </c>
      <c r="I1956">
        <v>1</v>
      </c>
      <c r="J1956">
        <v>0</v>
      </c>
      <c r="K1956">
        <v>0</v>
      </c>
    </row>
    <row r="1957" spans="1:11" x14ac:dyDescent="0.25">
      <c r="A1957" t="str">
        <f>"2534"</f>
        <v>2534</v>
      </c>
      <c r="B1957" t="str">
        <f t="shared" si="119"/>
        <v>1</v>
      </c>
      <c r="C1957" t="str">
        <f t="shared" si="118"/>
        <v>104</v>
      </c>
      <c r="D1957" t="str">
        <f>"11"</f>
        <v>11</v>
      </c>
      <c r="E1957" t="str">
        <f>"1-104-11"</f>
        <v>1-104-11</v>
      </c>
      <c r="F1957" t="s">
        <v>15</v>
      </c>
      <c r="G1957" t="s">
        <v>18</v>
      </c>
      <c r="H1957" t="s">
        <v>19</v>
      </c>
      <c r="I1957">
        <v>1</v>
      </c>
      <c r="J1957">
        <v>0</v>
      </c>
      <c r="K1957">
        <v>0</v>
      </c>
    </row>
    <row r="1958" spans="1:11" x14ac:dyDescent="0.25">
      <c r="A1958" t="str">
        <f>"2535"</f>
        <v>2535</v>
      </c>
      <c r="B1958" t="str">
        <f t="shared" si="119"/>
        <v>1</v>
      </c>
      <c r="C1958" t="str">
        <f t="shared" si="118"/>
        <v>104</v>
      </c>
      <c r="D1958" t="str">
        <f>"9"</f>
        <v>9</v>
      </c>
      <c r="E1958" t="str">
        <f>"1-104-9"</f>
        <v>1-104-9</v>
      </c>
      <c r="F1958" t="s">
        <v>15</v>
      </c>
      <c r="G1958" t="s">
        <v>18</v>
      </c>
      <c r="H1958" t="s">
        <v>19</v>
      </c>
      <c r="I1958">
        <v>0</v>
      </c>
      <c r="J1958">
        <v>1</v>
      </c>
      <c r="K1958">
        <v>0</v>
      </c>
    </row>
    <row r="1959" spans="1:11" x14ac:dyDescent="0.25">
      <c r="A1959" t="str">
        <f>"2536"</f>
        <v>2536</v>
      </c>
      <c r="B1959" t="str">
        <f t="shared" si="119"/>
        <v>1</v>
      </c>
      <c r="C1959" t="str">
        <f t="shared" si="118"/>
        <v>104</v>
      </c>
      <c r="D1959" t="str">
        <f>"14"</f>
        <v>14</v>
      </c>
      <c r="E1959" t="str">
        <f>"1-104-14"</f>
        <v>1-104-14</v>
      </c>
      <c r="F1959" t="s">
        <v>15</v>
      </c>
      <c r="G1959" t="s">
        <v>18</v>
      </c>
      <c r="H1959" t="s">
        <v>19</v>
      </c>
      <c r="I1959">
        <v>1</v>
      </c>
      <c r="J1959">
        <v>0</v>
      </c>
      <c r="K1959">
        <v>0</v>
      </c>
    </row>
    <row r="1960" spans="1:11" x14ac:dyDescent="0.25">
      <c r="A1960" t="str">
        <f>"2537"</f>
        <v>2537</v>
      </c>
      <c r="B1960" t="str">
        <f t="shared" si="119"/>
        <v>1</v>
      </c>
      <c r="C1960" t="str">
        <f t="shared" si="118"/>
        <v>104</v>
      </c>
      <c r="D1960" t="str">
        <f>"4"</f>
        <v>4</v>
      </c>
      <c r="E1960" t="str">
        <f>"1-104-4"</f>
        <v>1-104-4</v>
      </c>
      <c r="F1960" t="s">
        <v>15</v>
      </c>
      <c r="G1960" t="s">
        <v>20</v>
      </c>
      <c r="H1960" t="s">
        <v>21</v>
      </c>
      <c r="I1960">
        <v>0</v>
      </c>
      <c r="J1960">
        <v>0</v>
      </c>
      <c r="K1960">
        <v>0</v>
      </c>
    </row>
    <row r="1961" spans="1:11" x14ac:dyDescent="0.25">
      <c r="A1961" t="str">
        <f>"2538"</f>
        <v>2538</v>
      </c>
      <c r="B1961" t="str">
        <f t="shared" si="119"/>
        <v>1</v>
      </c>
      <c r="C1961" t="str">
        <f t="shared" si="118"/>
        <v>104</v>
      </c>
      <c r="D1961" t="str">
        <f>"7"</f>
        <v>7</v>
      </c>
      <c r="E1961" t="str">
        <f>"1-104-7"</f>
        <v>1-104-7</v>
      </c>
      <c r="F1961" t="s">
        <v>15</v>
      </c>
      <c r="G1961" t="s">
        <v>16</v>
      </c>
      <c r="H1961" t="s">
        <v>17</v>
      </c>
      <c r="I1961">
        <v>0</v>
      </c>
      <c r="J1961">
        <v>0</v>
      </c>
      <c r="K1961">
        <v>0</v>
      </c>
    </row>
    <row r="1962" spans="1:11" x14ac:dyDescent="0.25">
      <c r="A1962" t="str">
        <f>"2539"</f>
        <v>2539</v>
      </c>
      <c r="B1962" t="str">
        <f t="shared" si="119"/>
        <v>1</v>
      </c>
      <c r="C1962" t="str">
        <f t="shared" si="118"/>
        <v>104</v>
      </c>
      <c r="D1962" t="str">
        <f>"8"</f>
        <v>8</v>
      </c>
      <c r="E1962" t="str">
        <f>"1-104-8"</f>
        <v>1-104-8</v>
      </c>
      <c r="F1962" t="s">
        <v>15</v>
      </c>
      <c r="G1962" t="s">
        <v>20</v>
      </c>
      <c r="H1962" t="s">
        <v>21</v>
      </c>
      <c r="I1962">
        <v>0</v>
      </c>
      <c r="J1962">
        <v>0</v>
      </c>
      <c r="K1962">
        <v>0</v>
      </c>
    </row>
    <row r="1963" spans="1:11" x14ac:dyDescent="0.25">
      <c r="A1963" t="str">
        <f>"2540"</f>
        <v>2540</v>
      </c>
      <c r="B1963" t="str">
        <f t="shared" si="119"/>
        <v>1</v>
      </c>
      <c r="C1963" t="str">
        <f t="shared" ref="C1963:C1977" si="120">"105"</f>
        <v>105</v>
      </c>
      <c r="D1963" t="str">
        <f>"15"</f>
        <v>15</v>
      </c>
      <c r="E1963" t="str">
        <f>"1-105-15"</f>
        <v>1-105-15</v>
      </c>
      <c r="F1963" t="s">
        <v>15</v>
      </c>
      <c r="G1963" t="s">
        <v>18</v>
      </c>
      <c r="H1963" t="s">
        <v>19</v>
      </c>
      <c r="I1963">
        <v>0</v>
      </c>
      <c r="J1963">
        <v>0</v>
      </c>
      <c r="K1963">
        <v>1</v>
      </c>
    </row>
    <row r="1964" spans="1:11" x14ac:dyDescent="0.25">
      <c r="A1964" t="str">
        <f>"2541"</f>
        <v>2541</v>
      </c>
      <c r="B1964" t="str">
        <f t="shared" si="119"/>
        <v>1</v>
      </c>
      <c r="C1964" t="str">
        <f t="shared" si="120"/>
        <v>105</v>
      </c>
      <c r="D1964" t="str">
        <f>"4"</f>
        <v>4</v>
      </c>
      <c r="E1964" t="str">
        <f>"1-105-4"</f>
        <v>1-105-4</v>
      </c>
      <c r="F1964" t="s">
        <v>15</v>
      </c>
      <c r="G1964" t="s">
        <v>20</v>
      </c>
      <c r="H1964" t="s">
        <v>21</v>
      </c>
      <c r="I1964">
        <v>1</v>
      </c>
      <c r="J1964">
        <v>0</v>
      </c>
      <c r="K1964">
        <v>0</v>
      </c>
    </row>
    <row r="1965" spans="1:11" x14ac:dyDescent="0.25">
      <c r="A1965" t="str">
        <f>"2542"</f>
        <v>2542</v>
      </c>
      <c r="B1965" t="str">
        <f t="shared" si="119"/>
        <v>1</v>
      </c>
      <c r="C1965" t="str">
        <f t="shared" si="120"/>
        <v>105</v>
      </c>
      <c r="D1965" t="str">
        <f>"1"</f>
        <v>1</v>
      </c>
      <c r="E1965" t="str">
        <f>"1-105-1"</f>
        <v>1-105-1</v>
      </c>
      <c r="F1965" t="s">
        <v>15</v>
      </c>
      <c r="G1965" t="s">
        <v>16</v>
      </c>
      <c r="H1965" t="s">
        <v>17</v>
      </c>
      <c r="I1965">
        <v>0</v>
      </c>
      <c r="J1965">
        <v>0</v>
      </c>
      <c r="K1965">
        <v>1</v>
      </c>
    </row>
    <row r="1966" spans="1:11" x14ac:dyDescent="0.25">
      <c r="A1966" t="str">
        <f>"2543"</f>
        <v>2543</v>
      </c>
      <c r="B1966" t="str">
        <f t="shared" si="119"/>
        <v>1</v>
      </c>
      <c r="C1966" t="str">
        <f t="shared" si="120"/>
        <v>105</v>
      </c>
      <c r="D1966" t="str">
        <f>"2"</f>
        <v>2</v>
      </c>
      <c r="E1966" t="str">
        <f>"1-105-2"</f>
        <v>1-105-2</v>
      </c>
      <c r="F1966" t="s">
        <v>15</v>
      </c>
      <c r="G1966" t="s">
        <v>16</v>
      </c>
      <c r="H1966" t="s">
        <v>17</v>
      </c>
      <c r="I1966">
        <v>0</v>
      </c>
      <c r="J1966">
        <v>0</v>
      </c>
      <c r="K1966">
        <v>1</v>
      </c>
    </row>
    <row r="1967" spans="1:11" x14ac:dyDescent="0.25">
      <c r="A1967" t="str">
        <f>"2544"</f>
        <v>2544</v>
      </c>
      <c r="B1967" t="str">
        <f t="shared" si="119"/>
        <v>1</v>
      </c>
      <c r="C1967" t="str">
        <f t="shared" si="120"/>
        <v>105</v>
      </c>
      <c r="D1967" t="str">
        <f>"3"</f>
        <v>3</v>
      </c>
      <c r="E1967" t="str">
        <f>"1-105-3"</f>
        <v>1-105-3</v>
      </c>
      <c r="F1967" t="s">
        <v>15</v>
      </c>
      <c r="G1967" t="s">
        <v>16</v>
      </c>
      <c r="H1967" t="s">
        <v>17</v>
      </c>
      <c r="I1967">
        <v>0</v>
      </c>
      <c r="J1967">
        <v>0</v>
      </c>
      <c r="K1967">
        <v>1</v>
      </c>
    </row>
    <row r="1968" spans="1:11" x14ac:dyDescent="0.25">
      <c r="A1968" t="str">
        <f>"2545"</f>
        <v>2545</v>
      </c>
      <c r="B1968" t="str">
        <f t="shared" si="119"/>
        <v>1</v>
      </c>
      <c r="C1968" t="str">
        <f t="shared" si="120"/>
        <v>105</v>
      </c>
      <c r="D1968" t="str">
        <f>"14"</f>
        <v>14</v>
      </c>
      <c r="E1968" t="str">
        <f>"1-105-14"</f>
        <v>1-105-14</v>
      </c>
      <c r="F1968" t="s">
        <v>15</v>
      </c>
      <c r="G1968" t="s">
        <v>18</v>
      </c>
      <c r="H1968" t="s">
        <v>19</v>
      </c>
      <c r="I1968">
        <v>0</v>
      </c>
      <c r="J1968">
        <v>0</v>
      </c>
      <c r="K1968">
        <v>1</v>
      </c>
    </row>
    <row r="1969" spans="1:11" x14ac:dyDescent="0.25">
      <c r="A1969" t="str">
        <f>"2546"</f>
        <v>2546</v>
      </c>
      <c r="B1969" t="str">
        <f t="shared" si="119"/>
        <v>1</v>
      </c>
      <c r="C1969" t="str">
        <f t="shared" si="120"/>
        <v>105</v>
      </c>
      <c r="D1969" t="str">
        <f>"9"</f>
        <v>9</v>
      </c>
      <c r="E1969" t="str">
        <f>"1-105-9"</f>
        <v>1-105-9</v>
      </c>
      <c r="F1969" t="s">
        <v>15</v>
      </c>
      <c r="G1969" t="s">
        <v>18</v>
      </c>
      <c r="H1969" t="s">
        <v>19</v>
      </c>
      <c r="I1969">
        <v>0</v>
      </c>
      <c r="J1969">
        <v>1</v>
      </c>
      <c r="K1969">
        <v>0</v>
      </c>
    </row>
    <row r="1970" spans="1:11" x14ac:dyDescent="0.25">
      <c r="A1970" t="str">
        <f>"2547"</f>
        <v>2547</v>
      </c>
      <c r="B1970" t="str">
        <f t="shared" si="119"/>
        <v>1</v>
      </c>
      <c r="C1970" t="str">
        <f t="shared" si="120"/>
        <v>105</v>
      </c>
      <c r="D1970" t="str">
        <f>"10"</f>
        <v>10</v>
      </c>
      <c r="E1970" t="str">
        <f>"1-105-10"</f>
        <v>1-105-10</v>
      </c>
      <c r="F1970" t="s">
        <v>15</v>
      </c>
      <c r="G1970" t="s">
        <v>16</v>
      </c>
      <c r="H1970" t="s">
        <v>17</v>
      </c>
      <c r="I1970">
        <v>1</v>
      </c>
      <c r="J1970">
        <v>0</v>
      </c>
      <c r="K1970">
        <v>0</v>
      </c>
    </row>
    <row r="1971" spans="1:11" x14ac:dyDescent="0.25">
      <c r="A1971" t="str">
        <f>"2548"</f>
        <v>2548</v>
      </c>
      <c r="B1971" t="str">
        <f t="shared" si="119"/>
        <v>1</v>
      </c>
      <c r="C1971" t="str">
        <f t="shared" si="120"/>
        <v>105</v>
      </c>
      <c r="D1971" t="str">
        <f>"11"</f>
        <v>11</v>
      </c>
      <c r="E1971" t="str">
        <f>"1-105-11"</f>
        <v>1-105-11</v>
      </c>
      <c r="F1971" t="s">
        <v>15</v>
      </c>
      <c r="G1971" t="s">
        <v>16</v>
      </c>
      <c r="H1971" t="s">
        <v>17</v>
      </c>
      <c r="I1971">
        <v>0</v>
      </c>
      <c r="J1971">
        <v>1</v>
      </c>
      <c r="K1971">
        <v>0</v>
      </c>
    </row>
    <row r="1972" spans="1:11" x14ac:dyDescent="0.25">
      <c r="A1972" t="str">
        <f>"2549"</f>
        <v>2549</v>
      </c>
      <c r="B1972" t="str">
        <f t="shared" si="119"/>
        <v>1</v>
      </c>
      <c r="C1972" t="str">
        <f t="shared" si="120"/>
        <v>105</v>
      </c>
      <c r="D1972" t="str">
        <f>"7"</f>
        <v>7</v>
      </c>
      <c r="E1972" t="str">
        <f>"1-105-7"</f>
        <v>1-105-7</v>
      </c>
      <c r="F1972" t="s">
        <v>15</v>
      </c>
      <c r="G1972" t="s">
        <v>16</v>
      </c>
      <c r="H1972" t="s">
        <v>17</v>
      </c>
      <c r="I1972">
        <v>0</v>
      </c>
      <c r="J1972">
        <v>0</v>
      </c>
      <c r="K1972">
        <v>1</v>
      </c>
    </row>
    <row r="1973" spans="1:11" x14ac:dyDescent="0.25">
      <c r="A1973" t="str">
        <f>"2550"</f>
        <v>2550</v>
      </c>
      <c r="B1973" t="str">
        <f t="shared" si="119"/>
        <v>1</v>
      </c>
      <c r="C1973" t="str">
        <f t="shared" si="120"/>
        <v>105</v>
      </c>
      <c r="D1973" t="str">
        <f>"6"</f>
        <v>6</v>
      </c>
      <c r="E1973" t="str">
        <f>"1-105-6"</f>
        <v>1-105-6</v>
      </c>
      <c r="F1973" t="s">
        <v>15</v>
      </c>
      <c r="G1973" t="s">
        <v>16</v>
      </c>
      <c r="H1973" t="s">
        <v>17</v>
      </c>
      <c r="I1973">
        <v>0</v>
      </c>
      <c r="J1973">
        <v>0</v>
      </c>
      <c r="K1973">
        <v>1</v>
      </c>
    </row>
    <row r="1974" spans="1:11" x14ac:dyDescent="0.25">
      <c r="A1974" t="str">
        <f>"2551"</f>
        <v>2551</v>
      </c>
      <c r="B1974" t="str">
        <f t="shared" si="119"/>
        <v>1</v>
      </c>
      <c r="C1974" t="str">
        <f t="shared" si="120"/>
        <v>105</v>
      </c>
      <c r="D1974" t="str">
        <f>"12"</f>
        <v>12</v>
      </c>
      <c r="E1974" t="str">
        <f>"1-105-12"</f>
        <v>1-105-12</v>
      </c>
      <c r="F1974" t="s">
        <v>15</v>
      </c>
      <c r="G1974" t="s">
        <v>16</v>
      </c>
      <c r="H1974" t="s">
        <v>17</v>
      </c>
      <c r="I1974">
        <v>0</v>
      </c>
      <c r="J1974">
        <v>1</v>
      </c>
      <c r="K1974">
        <v>0</v>
      </c>
    </row>
    <row r="1975" spans="1:11" x14ac:dyDescent="0.25">
      <c r="A1975" t="str">
        <f>"2552"</f>
        <v>2552</v>
      </c>
      <c r="B1975" t="str">
        <f t="shared" si="119"/>
        <v>1</v>
      </c>
      <c r="C1975" t="str">
        <f t="shared" si="120"/>
        <v>105</v>
      </c>
      <c r="D1975" t="str">
        <f>"8"</f>
        <v>8</v>
      </c>
      <c r="E1975" t="str">
        <f>"1-105-8"</f>
        <v>1-105-8</v>
      </c>
      <c r="F1975" t="s">
        <v>15</v>
      </c>
      <c r="G1975" t="s">
        <v>18</v>
      </c>
      <c r="H1975" t="s">
        <v>19</v>
      </c>
      <c r="I1975">
        <v>0</v>
      </c>
      <c r="J1975">
        <v>1</v>
      </c>
      <c r="K1975">
        <v>0</v>
      </c>
    </row>
    <row r="1976" spans="1:11" x14ac:dyDescent="0.25">
      <c r="A1976" t="str">
        <f>"2553"</f>
        <v>2553</v>
      </c>
      <c r="B1976" t="str">
        <f t="shared" si="119"/>
        <v>1</v>
      </c>
      <c r="C1976" t="str">
        <f t="shared" si="120"/>
        <v>105</v>
      </c>
      <c r="D1976" t="str">
        <f>"5"</f>
        <v>5</v>
      </c>
      <c r="E1976" t="str">
        <f>"1-105-5"</f>
        <v>1-105-5</v>
      </c>
      <c r="F1976" t="s">
        <v>15</v>
      </c>
      <c r="G1976" t="s">
        <v>20</v>
      </c>
      <c r="H1976" t="s">
        <v>21</v>
      </c>
      <c r="I1976">
        <v>0</v>
      </c>
      <c r="J1976">
        <v>1</v>
      </c>
      <c r="K1976">
        <v>0</v>
      </c>
    </row>
    <row r="1977" spans="1:11" x14ac:dyDescent="0.25">
      <c r="A1977" t="str">
        <f>"2554"</f>
        <v>2554</v>
      </c>
      <c r="B1977" t="str">
        <f t="shared" si="119"/>
        <v>1</v>
      </c>
      <c r="C1977" t="str">
        <f t="shared" si="120"/>
        <v>105</v>
      </c>
      <c r="D1977" t="str">
        <f>"13"</f>
        <v>13</v>
      </c>
      <c r="E1977" t="str">
        <f>"1-105-13"</f>
        <v>1-105-13</v>
      </c>
      <c r="F1977" t="s">
        <v>15</v>
      </c>
      <c r="G1977" t="s">
        <v>20</v>
      </c>
      <c r="H1977" t="s">
        <v>21</v>
      </c>
      <c r="I1977">
        <v>0</v>
      </c>
      <c r="J1977">
        <v>0</v>
      </c>
      <c r="K1977">
        <v>0</v>
      </c>
    </row>
    <row r="1978" spans="1:11" x14ac:dyDescent="0.25">
      <c r="A1978" t="str">
        <f>"2555"</f>
        <v>2555</v>
      </c>
      <c r="B1978" t="str">
        <f t="shared" si="119"/>
        <v>1</v>
      </c>
      <c r="C1978" t="str">
        <f t="shared" ref="C1978:C1994" si="121">"106"</f>
        <v>106</v>
      </c>
      <c r="D1978" t="str">
        <f>"17"</f>
        <v>17</v>
      </c>
      <c r="E1978" t="str">
        <f>"1-106-17"</f>
        <v>1-106-17</v>
      </c>
      <c r="F1978" t="s">
        <v>15</v>
      </c>
      <c r="G1978" t="s">
        <v>18</v>
      </c>
      <c r="H1978" t="s">
        <v>19</v>
      </c>
      <c r="I1978">
        <v>0</v>
      </c>
      <c r="J1978">
        <v>1</v>
      </c>
      <c r="K1978">
        <v>0</v>
      </c>
    </row>
    <row r="1979" spans="1:11" x14ac:dyDescent="0.25">
      <c r="A1979" t="str">
        <f>"2556"</f>
        <v>2556</v>
      </c>
      <c r="B1979" t="str">
        <f t="shared" si="119"/>
        <v>1</v>
      </c>
      <c r="C1979" t="str">
        <f t="shared" si="121"/>
        <v>106</v>
      </c>
      <c r="D1979" t="str">
        <f>"15"</f>
        <v>15</v>
      </c>
      <c r="E1979" t="str">
        <f>"1-106-15"</f>
        <v>1-106-15</v>
      </c>
      <c r="F1979" t="s">
        <v>15</v>
      </c>
      <c r="G1979" t="s">
        <v>18</v>
      </c>
      <c r="H1979" t="s">
        <v>19</v>
      </c>
      <c r="I1979">
        <v>1</v>
      </c>
      <c r="J1979">
        <v>0</v>
      </c>
      <c r="K1979">
        <v>0</v>
      </c>
    </row>
    <row r="1980" spans="1:11" x14ac:dyDescent="0.25">
      <c r="A1980" t="str">
        <f>"2557"</f>
        <v>2557</v>
      </c>
      <c r="B1980" t="str">
        <f t="shared" si="119"/>
        <v>1</v>
      </c>
      <c r="C1980" t="str">
        <f t="shared" si="121"/>
        <v>106</v>
      </c>
      <c r="D1980" t="str">
        <f>"2"</f>
        <v>2</v>
      </c>
      <c r="E1980" t="str">
        <f>"1-106-2"</f>
        <v>1-106-2</v>
      </c>
      <c r="F1980" t="s">
        <v>15</v>
      </c>
      <c r="G1980" t="s">
        <v>18</v>
      </c>
      <c r="H1980" t="s">
        <v>19</v>
      </c>
      <c r="I1980">
        <v>0</v>
      </c>
      <c r="J1980">
        <v>1</v>
      </c>
      <c r="K1980">
        <v>0</v>
      </c>
    </row>
    <row r="1981" spans="1:11" x14ac:dyDescent="0.25">
      <c r="A1981" t="str">
        <f>"2558"</f>
        <v>2558</v>
      </c>
      <c r="B1981" t="str">
        <f t="shared" si="119"/>
        <v>1</v>
      </c>
      <c r="C1981" t="str">
        <f t="shared" si="121"/>
        <v>106</v>
      </c>
      <c r="D1981" t="str">
        <f>"16"</f>
        <v>16</v>
      </c>
      <c r="E1981" t="str">
        <f>"1-106-16"</f>
        <v>1-106-16</v>
      </c>
      <c r="F1981" t="s">
        <v>15</v>
      </c>
      <c r="G1981" t="s">
        <v>18</v>
      </c>
      <c r="H1981" t="s">
        <v>19</v>
      </c>
      <c r="I1981">
        <v>0</v>
      </c>
      <c r="J1981">
        <v>0</v>
      </c>
      <c r="K1981">
        <v>1</v>
      </c>
    </row>
    <row r="1982" spans="1:11" x14ac:dyDescent="0.25">
      <c r="A1982" t="str">
        <f>"2559"</f>
        <v>2559</v>
      </c>
      <c r="B1982" t="str">
        <f t="shared" si="119"/>
        <v>1</v>
      </c>
      <c r="C1982" t="str">
        <f t="shared" si="121"/>
        <v>106</v>
      </c>
      <c r="D1982" t="str">
        <f>"4"</f>
        <v>4</v>
      </c>
      <c r="E1982" t="str">
        <f>"1-106-4"</f>
        <v>1-106-4</v>
      </c>
      <c r="F1982" t="s">
        <v>15</v>
      </c>
      <c r="G1982" t="s">
        <v>18</v>
      </c>
      <c r="H1982" t="s">
        <v>19</v>
      </c>
      <c r="I1982">
        <v>1</v>
      </c>
      <c r="J1982">
        <v>0</v>
      </c>
      <c r="K1982">
        <v>0</v>
      </c>
    </row>
    <row r="1983" spans="1:11" x14ac:dyDescent="0.25">
      <c r="A1983" t="str">
        <f>"2560"</f>
        <v>2560</v>
      </c>
      <c r="B1983" t="str">
        <f t="shared" si="119"/>
        <v>1</v>
      </c>
      <c r="C1983" t="str">
        <f t="shared" si="121"/>
        <v>106</v>
      </c>
      <c r="D1983" t="str">
        <f>"18"</f>
        <v>18</v>
      </c>
      <c r="E1983" t="str">
        <f>"1-106-18"</f>
        <v>1-106-18</v>
      </c>
      <c r="F1983" t="s">
        <v>15</v>
      </c>
      <c r="G1983" t="s">
        <v>18</v>
      </c>
      <c r="H1983" t="s">
        <v>19</v>
      </c>
      <c r="I1983">
        <v>0</v>
      </c>
      <c r="J1983">
        <v>1</v>
      </c>
      <c r="K1983">
        <v>0</v>
      </c>
    </row>
    <row r="1984" spans="1:11" x14ac:dyDescent="0.25">
      <c r="A1984" t="str">
        <f>"2562"</f>
        <v>2562</v>
      </c>
      <c r="B1984" t="str">
        <f t="shared" si="119"/>
        <v>1</v>
      </c>
      <c r="C1984" t="str">
        <f t="shared" si="121"/>
        <v>106</v>
      </c>
      <c r="D1984" t="str">
        <f>"3"</f>
        <v>3</v>
      </c>
      <c r="E1984" t="str">
        <f>"1-106-3"</f>
        <v>1-106-3</v>
      </c>
      <c r="F1984" t="s">
        <v>15</v>
      </c>
      <c r="G1984" t="s">
        <v>16</v>
      </c>
      <c r="H1984" t="s">
        <v>17</v>
      </c>
      <c r="I1984">
        <v>0</v>
      </c>
      <c r="J1984">
        <v>1</v>
      </c>
      <c r="K1984">
        <v>0</v>
      </c>
    </row>
    <row r="1985" spans="1:11" x14ac:dyDescent="0.25">
      <c r="A1985" t="str">
        <f>"2563"</f>
        <v>2563</v>
      </c>
      <c r="B1985" t="str">
        <f t="shared" si="119"/>
        <v>1</v>
      </c>
      <c r="C1985" t="str">
        <f t="shared" si="121"/>
        <v>106</v>
      </c>
      <c r="D1985" t="str">
        <f>"13"</f>
        <v>13</v>
      </c>
      <c r="E1985" t="str">
        <f>"1-106-13"</f>
        <v>1-106-13</v>
      </c>
      <c r="F1985" t="s">
        <v>15</v>
      </c>
      <c r="G1985" t="s">
        <v>18</v>
      </c>
      <c r="H1985" t="s">
        <v>19</v>
      </c>
      <c r="I1985">
        <v>0</v>
      </c>
      <c r="J1985">
        <v>0</v>
      </c>
      <c r="K1985">
        <v>1</v>
      </c>
    </row>
    <row r="1986" spans="1:11" x14ac:dyDescent="0.25">
      <c r="A1986" t="str">
        <f>"2564"</f>
        <v>2564</v>
      </c>
      <c r="B1986" t="str">
        <f t="shared" si="119"/>
        <v>1</v>
      </c>
      <c r="C1986" t="str">
        <f t="shared" si="121"/>
        <v>106</v>
      </c>
      <c r="D1986" t="str">
        <f>"14"</f>
        <v>14</v>
      </c>
      <c r="E1986" t="str">
        <f>"1-106-14"</f>
        <v>1-106-14</v>
      </c>
      <c r="F1986" t="s">
        <v>15</v>
      </c>
      <c r="G1986" t="s">
        <v>18</v>
      </c>
      <c r="H1986" t="s">
        <v>19</v>
      </c>
      <c r="I1986">
        <v>0</v>
      </c>
      <c r="J1986">
        <v>0</v>
      </c>
      <c r="K1986">
        <v>1</v>
      </c>
    </row>
    <row r="1987" spans="1:11" x14ac:dyDescent="0.25">
      <c r="A1987" t="str">
        <f>"2565"</f>
        <v>2565</v>
      </c>
      <c r="B1987" t="str">
        <f t="shared" si="119"/>
        <v>1</v>
      </c>
      <c r="C1987" t="str">
        <f t="shared" si="121"/>
        <v>106</v>
      </c>
      <c r="D1987" t="str">
        <f>"8"</f>
        <v>8</v>
      </c>
      <c r="E1987" t="str">
        <f>"1-106-8"</f>
        <v>1-106-8</v>
      </c>
      <c r="F1987" t="s">
        <v>15</v>
      </c>
      <c r="G1987" t="s">
        <v>18</v>
      </c>
      <c r="H1987" t="s">
        <v>19</v>
      </c>
      <c r="I1987">
        <v>0</v>
      </c>
      <c r="J1987">
        <v>0</v>
      </c>
      <c r="K1987">
        <v>1</v>
      </c>
    </row>
    <row r="1988" spans="1:11" x14ac:dyDescent="0.25">
      <c r="A1988" t="str">
        <f>"2566"</f>
        <v>2566</v>
      </c>
      <c r="B1988" t="str">
        <f t="shared" si="119"/>
        <v>1</v>
      </c>
      <c r="C1988" t="str">
        <f t="shared" si="121"/>
        <v>106</v>
      </c>
      <c r="D1988" t="str">
        <f>"9"</f>
        <v>9</v>
      </c>
      <c r="E1988" t="str">
        <f>"1-106-9"</f>
        <v>1-106-9</v>
      </c>
      <c r="F1988" t="s">
        <v>15</v>
      </c>
      <c r="G1988" t="s">
        <v>18</v>
      </c>
      <c r="H1988" t="s">
        <v>19</v>
      </c>
      <c r="I1988">
        <v>1</v>
      </c>
      <c r="J1988">
        <v>0</v>
      </c>
      <c r="K1988">
        <v>0</v>
      </c>
    </row>
    <row r="1989" spans="1:11" x14ac:dyDescent="0.25">
      <c r="A1989" t="str">
        <f>"2567"</f>
        <v>2567</v>
      </c>
      <c r="B1989" t="str">
        <f t="shared" si="119"/>
        <v>1</v>
      </c>
      <c r="C1989" t="str">
        <f t="shared" si="121"/>
        <v>106</v>
      </c>
      <c r="D1989" t="str">
        <f>"10"</f>
        <v>10</v>
      </c>
      <c r="E1989" t="str">
        <f>"1-106-10"</f>
        <v>1-106-10</v>
      </c>
      <c r="F1989" t="s">
        <v>15</v>
      </c>
      <c r="G1989" t="s">
        <v>16</v>
      </c>
      <c r="H1989" t="s">
        <v>17</v>
      </c>
      <c r="I1989">
        <v>0</v>
      </c>
      <c r="J1989">
        <v>1</v>
      </c>
      <c r="K1989">
        <v>0</v>
      </c>
    </row>
    <row r="1990" spans="1:11" x14ac:dyDescent="0.25">
      <c r="A1990" t="str">
        <f>"2568"</f>
        <v>2568</v>
      </c>
      <c r="B1990" t="str">
        <f t="shared" si="119"/>
        <v>1</v>
      </c>
      <c r="C1990" t="str">
        <f t="shared" si="121"/>
        <v>106</v>
      </c>
      <c r="D1990" t="str">
        <f>"11"</f>
        <v>11</v>
      </c>
      <c r="E1990" t="str">
        <f>"1-106-11"</f>
        <v>1-106-11</v>
      </c>
      <c r="F1990" t="s">
        <v>15</v>
      </c>
      <c r="G1990" t="s">
        <v>16</v>
      </c>
      <c r="H1990" t="s">
        <v>17</v>
      </c>
      <c r="I1990">
        <v>0</v>
      </c>
      <c r="J1990">
        <v>1</v>
      </c>
      <c r="K1990">
        <v>0</v>
      </c>
    </row>
    <row r="1991" spans="1:11" x14ac:dyDescent="0.25">
      <c r="A1991" t="str">
        <f>"2569"</f>
        <v>2569</v>
      </c>
      <c r="B1991" t="str">
        <f t="shared" si="119"/>
        <v>1</v>
      </c>
      <c r="C1991" t="str">
        <f t="shared" si="121"/>
        <v>106</v>
      </c>
      <c r="D1991" t="str">
        <f>"7"</f>
        <v>7</v>
      </c>
      <c r="E1991" t="str">
        <f>"1-106-7"</f>
        <v>1-106-7</v>
      </c>
      <c r="F1991" t="s">
        <v>15</v>
      </c>
      <c r="G1991" t="s">
        <v>18</v>
      </c>
      <c r="H1991" t="s">
        <v>19</v>
      </c>
      <c r="I1991">
        <v>1</v>
      </c>
      <c r="J1991">
        <v>0</v>
      </c>
      <c r="K1991">
        <v>0</v>
      </c>
    </row>
    <row r="1992" spans="1:11" x14ac:dyDescent="0.25">
      <c r="A1992" t="str">
        <f>"2570"</f>
        <v>2570</v>
      </c>
      <c r="B1992" t="str">
        <f t="shared" si="119"/>
        <v>1</v>
      </c>
      <c r="C1992" t="str">
        <f t="shared" si="121"/>
        <v>106</v>
      </c>
      <c r="D1992" t="str">
        <f>"5"</f>
        <v>5</v>
      </c>
      <c r="E1992" t="str">
        <f>"1-106-5"</f>
        <v>1-106-5</v>
      </c>
      <c r="F1992" t="s">
        <v>15</v>
      </c>
      <c r="G1992" t="s">
        <v>18</v>
      </c>
      <c r="H1992" t="s">
        <v>19</v>
      </c>
      <c r="I1992">
        <v>0</v>
      </c>
      <c r="J1992">
        <v>0</v>
      </c>
      <c r="K1992">
        <v>1</v>
      </c>
    </row>
    <row r="1993" spans="1:11" x14ac:dyDescent="0.25">
      <c r="A1993" t="str">
        <f>"2571"</f>
        <v>2571</v>
      </c>
      <c r="B1993" t="str">
        <f t="shared" si="119"/>
        <v>1</v>
      </c>
      <c r="C1993" t="str">
        <f t="shared" si="121"/>
        <v>106</v>
      </c>
      <c r="D1993" t="str">
        <f>"12"</f>
        <v>12</v>
      </c>
      <c r="E1993" t="str">
        <f>"1-106-12"</f>
        <v>1-106-12</v>
      </c>
      <c r="F1993" t="s">
        <v>15</v>
      </c>
      <c r="G1993" t="s">
        <v>18</v>
      </c>
      <c r="H1993" t="s">
        <v>19</v>
      </c>
      <c r="I1993">
        <v>0</v>
      </c>
      <c r="J1993">
        <v>0</v>
      </c>
      <c r="K1993">
        <v>1</v>
      </c>
    </row>
    <row r="1994" spans="1:11" x14ac:dyDescent="0.25">
      <c r="A1994" t="str">
        <f>"2572"</f>
        <v>2572</v>
      </c>
      <c r="B1994" t="str">
        <f t="shared" si="119"/>
        <v>1</v>
      </c>
      <c r="C1994" t="str">
        <f t="shared" si="121"/>
        <v>106</v>
      </c>
      <c r="D1994" t="str">
        <f>"1"</f>
        <v>1</v>
      </c>
      <c r="E1994" t="str">
        <f>"1-106-1"</f>
        <v>1-106-1</v>
      </c>
      <c r="F1994" t="s">
        <v>15</v>
      </c>
      <c r="G1994" t="s">
        <v>18</v>
      </c>
      <c r="H1994" t="s">
        <v>19</v>
      </c>
      <c r="I1994">
        <v>0</v>
      </c>
      <c r="J1994">
        <v>1</v>
      </c>
      <c r="K1994">
        <v>0</v>
      </c>
    </row>
    <row r="1995" spans="1:11" x14ac:dyDescent="0.25">
      <c r="A1995" t="str">
        <f>"2573"</f>
        <v>2573</v>
      </c>
      <c r="B1995" t="str">
        <f t="shared" si="119"/>
        <v>1</v>
      </c>
      <c r="C1995" t="str">
        <f t="shared" ref="C1995:C2008" si="122">"107"</f>
        <v>107</v>
      </c>
      <c r="D1995" t="str">
        <f>"17"</f>
        <v>17</v>
      </c>
      <c r="E1995" t="str">
        <f>"1-107-17"</f>
        <v>1-107-17</v>
      </c>
      <c r="F1995" t="s">
        <v>15</v>
      </c>
      <c r="G1995" t="s">
        <v>18</v>
      </c>
      <c r="H1995" t="s">
        <v>19</v>
      </c>
      <c r="I1995">
        <v>0</v>
      </c>
      <c r="J1995">
        <v>0</v>
      </c>
      <c r="K1995">
        <v>1</v>
      </c>
    </row>
    <row r="1996" spans="1:11" x14ac:dyDescent="0.25">
      <c r="A1996" t="str">
        <f>"2574"</f>
        <v>2574</v>
      </c>
      <c r="B1996" t="str">
        <f t="shared" si="119"/>
        <v>1</v>
      </c>
      <c r="C1996" t="str">
        <f t="shared" si="122"/>
        <v>107</v>
      </c>
      <c r="D1996" t="str">
        <f>"15"</f>
        <v>15</v>
      </c>
      <c r="E1996" t="str">
        <f>"1-107-15"</f>
        <v>1-107-15</v>
      </c>
      <c r="F1996" t="s">
        <v>15</v>
      </c>
      <c r="G1996" t="s">
        <v>18</v>
      </c>
      <c r="H1996" t="s">
        <v>19</v>
      </c>
      <c r="I1996">
        <v>1</v>
      </c>
      <c r="J1996">
        <v>0</v>
      </c>
      <c r="K1996">
        <v>0</v>
      </c>
    </row>
    <row r="1997" spans="1:11" x14ac:dyDescent="0.25">
      <c r="A1997" t="str">
        <f>"2576"</f>
        <v>2576</v>
      </c>
      <c r="B1997" t="str">
        <f t="shared" si="119"/>
        <v>1</v>
      </c>
      <c r="C1997" t="str">
        <f t="shared" si="122"/>
        <v>107</v>
      </c>
      <c r="D1997" t="str">
        <f>"16"</f>
        <v>16</v>
      </c>
      <c r="E1997" t="str">
        <f>"1-107-16"</f>
        <v>1-107-16</v>
      </c>
      <c r="F1997" t="s">
        <v>15</v>
      </c>
      <c r="G1997" t="s">
        <v>18</v>
      </c>
      <c r="H1997" t="s">
        <v>19</v>
      </c>
      <c r="I1997">
        <v>1</v>
      </c>
      <c r="J1997">
        <v>0</v>
      </c>
      <c r="K1997">
        <v>0</v>
      </c>
    </row>
    <row r="1998" spans="1:11" x14ac:dyDescent="0.25">
      <c r="A1998" t="str">
        <f>"2577"</f>
        <v>2577</v>
      </c>
      <c r="B1998" t="str">
        <f t="shared" si="119"/>
        <v>1</v>
      </c>
      <c r="C1998" t="str">
        <f t="shared" si="122"/>
        <v>107</v>
      </c>
      <c r="D1998" t="str">
        <f>"1"</f>
        <v>1</v>
      </c>
      <c r="E1998" t="str">
        <f>"1-107-1"</f>
        <v>1-107-1</v>
      </c>
      <c r="F1998" t="s">
        <v>15</v>
      </c>
      <c r="G1998" t="s">
        <v>18</v>
      </c>
      <c r="H1998" t="s">
        <v>19</v>
      </c>
      <c r="I1998">
        <v>0</v>
      </c>
      <c r="J1998">
        <v>0</v>
      </c>
      <c r="K1998">
        <v>1</v>
      </c>
    </row>
    <row r="1999" spans="1:11" x14ac:dyDescent="0.25">
      <c r="A1999" t="str">
        <f>"2580"</f>
        <v>2580</v>
      </c>
      <c r="B1999" t="str">
        <f t="shared" si="119"/>
        <v>1</v>
      </c>
      <c r="C1999" t="str">
        <f t="shared" si="122"/>
        <v>107</v>
      </c>
      <c r="D1999" t="str">
        <f>"2"</f>
        <v>2</v>
      </c>
      <c r="E1999" t="str">
        <f>"1-107-2"</f>
        <v>1-107-2</v>
      </c>
      <c r="F1999" t="s">
        <v>15</v>
      </c>
      <c r="G1999" t="s">
        <v>18</v>
      </c>
      <c r="H1999" t="s">
        <v>19</v>
      </c>
      <c r="I1999">
        <v>0</v>
      </c>
      <c r="J1999">
        <v>0</v>
      </c>
      <c r="K1999">
        <v>1</v>
      </c>
    </row>
    <row r="2000" spans="1:11" x14ac:dyDescent="0.25">
      <c r="A2000" t="str">
        <f>"2581"</f>
        <v>2581</v>
      </c>
      <c r="B2000" t="str">
        <f t="shared" si="119"/>
        <v>1</v>
      </c>
      <c r="C2000" t="str">
        <f t="shared" si="122"/>
        <v>107</v>
      </c>
      <c r="D2000" t="str">
        <f>"8"</f>
        <v>8</v>
      </c>
      <c r="E2000" t="str">
        <f>"1-107-8"</f>
        <v>1-107-8</v>
      </c>
      <c r="F2000" t="s">
        <v>15</v>
      </c>
      <c r="G2000" t="s">
        <v>18</v>
      </c>
      <c r="H2000" t="s">
        <v>19</v>
      </c>
      <c r="I2000">
        <v>0</v>
      </c>
      <c r="J2000">
        <v>1</v>
      </c>
      <c r="K2000">
        <v>0</v>
      </c>
    </row>
    <row r="2001" spans="1:11" x14ac:dyDescent="0.25">
      <c r="A2001" t="str">
        <f>"2582"</f>
        <v>2582</v>
      </c>
      <c r="B2001" t="str">
        <f t="shared" si="119"/>
        <v>1</v>
      </c>
      <c r="C2001" t="str">
        <f t="shared" si="122"/>
        <v>107</v>
      </c>
      <c r="D2001" t="str">
        <f>"14"</f>
        <v>14</v>
      </c>
      <c r="E2001" t="str">
        <f>"1-107-14"</f>
        <v>1-107-14</v>
      </c>
      <c r="F2001" t="s">
        <v>15</v>
      </c>
      <c r="G2001" t="s">
        <v>18</v>
      </c>
      <c r="H2001" t="s">
        <v>19</v>
      </c>
      <c r="I2001">
        <v>0</v>
      </c>
      <c r="J2001">
        <v>0</v>
      </c>
      <c r="K2001">
        <v>1</v>
      </c>
    </row>
    <row r="2002" spans="1:11" x14ac:dyDescent="0.25">
      <c r="A2002" t="str">
        <f>"2583"</f>
        <v>2583</v>
      </c>
      <c r="B2002" t="str">
        <f t="shared" si="119"/>
        <v>1</v>
      </c>
      <c r="C2002" t="str">
        <f t="shared" si="122"/>
        <v>107</v>
      </c>
      <c r="D2002" t="str">
        <f>"3"</f>
        <v>3</v>
      </c>
      <c r="E2002" t="str">
        <f>"1-107-3"</f>
        <v>1-107-3</v>
      </c>
      <c r="F2002" t="s">
        <v>15</v>
      </c>
      <c r="G2002" t="s">
        <v>18</v>
      </c>
      <c r="H2002" t="s">
        <v>19</v>
      </c>
      <c r="I2002">
        <v>0</v>
      </c>
      <c r="J2002">
        <v>1</v>
      </c>
      <c r="K2002">
        <v>0</v>
      </c>
    </row>
    <row r="2003" spans="1:11" x14ac:dyDescent="0.25">
      <c r="A2003" t="str">
        <f>"2584"</f>
        <v>2584</v>
      </c>
      <c r="B2003" t="str">
        <f t="shared" si="119"/>
        <v>1</v>
      </c>
      <c r="C2003" t="str">
        <f t="shared" si="122"/>
        <v>107</v>
      </c>
      <c r="D2003" t="str">
        <f>"12"</f>
        <v>12</v>
      </c>
      <c r="E2003" t="str">
        <f>"1-107-12"</f>
        <v>1-107-12</v>
      </c>
      <c r="F2003" t="s">
        <v>15</v>
      </c>
      <c r="G2003" t="s">
        <v>18</v>
      </c>
      <c r="H2003" t="s">
        <v>19</v>
      </c>
      <c r="I2003">
        <v>1</v>
      </c>
      <c r="J2003">
        <v>0</v>
      </c>
      <c r="K2003">
        <v>0</v>
      </c>
    </row>
    <row r="2004" spans="1:11" x14ac:dyDescent="0.25">
      <c r="A2004" t="str">
        <f>"2585"</f>
        <v>2585</v>
      </c>
      <c r="B2004" t="str">
        <f t="shared" si="119"/>
        <v>1</v>
      </c>
      <c r="C2004" t="str">
        <f t="shared" si="122"/>
        <v>107</v>
      </c>
      <c r="D2004" t="str">
        <f>"11"</f>
        <v>11</v>
      </c>
      <c r="E2004" t="str">
        <f>"1-107-11"</f>
        <v>1-107-11</v>
      </c>
      <c r="F2004" t="s">
        <v>15</v>
      </c>
      <c r="G2004" t="s">
        <v>18</v>
      </c>
      <c r="H2004" t="s">
        <v>19</v>
      </c>
      <c r="I2004">
        <v>0</v>
      </c>
      <c r="J2004">
        <v>1</v>
      </c>
      <c r="K2004">
        <v>0</v>
      </c>
    </row>
    <row r="2005" spans="1:11" x14ac:dyDescent="0.25">
      <c r="A2005" t="str">
        <f>"2586"</f>
        <v>2586</v>
      </c>
      <c r="B2005" t="str">
        <f t="shared" ref="B2005:B2061" si="123">"1"</f>
        <v>1</v>
      </c>
      <c r="C2005" t="str">
        <f t="shared" si="122"/>
        <v>107</v>
      </c>
      <c r="D2005" t="str">
        <f>"10"</f>
        <v>10</v>
      </c>
      <c r="E2005" t="str">
        <f>"1-107-10"</f>
        <v>1-107-10</v>
      </c>
      <c r="F2005" t="s">
        <v>15</v>
      </c>
      <c r="G2005" t="s">
        <v>18</v>
      </c>
      <c r="H2005" t="s">
        <v>19</v>
      </c>
      <c r="I2005">
        <v>0</v>
      </c>
      <c r="J2005">
        <v>0</v>
      </c>
      <c r="K2005">
        <v>1</v>
      </c>
    </row>
    <row r="2006" spans="1:11" x14ac:dyDescent="0.25">
      <c r="A2006" t="str">
        <f>"2587"</f>
        <v>2587</v>
      </c>
      <c r="B2006" t="str">
        <f t="shared" si="123"/>
        <v>1</v>
      </c>
      <c r="C2006" t="str">
        <f t="shared" si="122"/>
        <v>107</v>
      </c>
      <c r="D2006" t="str">
        <f>"9"</f>
        <v>9</v>
      </c>
      <c r="E2006" t="str">
        <f>"1-107-9"</f>
        <v>1-107-9</v>
      </c>
      <c r="F2006" t="s">
        <v>15</v>
      </c>
      <c r="G2006" t="s">
        <v>18</v>
      </c>
      <c r="H2006" t="s">
        <v>19</v>
      </c>
      <c r="I2006">
        <v>0</v>
      </c>
      <c r="J2006">
        <v>1</v>
      </c>
      <c r="K2006">
        <v>0</v>
      </c>
    </row>
    <row r="2007" spans="1:11" x14ac:dyDescent="0.25">
      <c r="A2007" t="str">
        <f>"2588"</f>
        <v>2588</v>
      </c>
      <c r="B2007" t="str">
        <f t="shared" si="123"/>
        <v>1</v>
      </c>
      <c r="C2007" t="str">
        <f t="shared" si="122"/>
        <v>107</v>
      </c>
      <c r="D2007" t="str">
        <f>"4"</f>
        <v>4</v>
      </c>
      <c r="E2007" t="str">
        <f>"1-107-4"</f>
        <v>1-107-4</v>
      </c>
      <c r="F2007" t="s">
        <v>15</v>
      </c>
      <c r="G2007" t="s">
        <v>18</v>
      </c>
      <c r="H2007" t="s">
        <v>19</v>
      </c>
      <c r="I2007">
        <v>0</v>
      </c>
      <c r="J2007">
        <v>1</v>
      </c>
      <c r="K2007">
        <v>0</v>
      </c>
    </row>
    <row r="2008" spans="1:11" x14ac:dyDescent="0.25">
      <c r="A2008" t="str">
        <f>"2589"</f>
        <v>2589</v>
      </c>
      <c r="B2008" t="str">
        <f t="shared" si="123"/>
        <v>1</v>
      </c>
      <c r="C2008" t="str">
        <f t="shared" si="122"/>
        <v>107</v>
      </c>
      <c r="D2008" t="str">
        <f>"13"</f>
        <v>13</v>
      </c>
      <c r="E2008" t="str">
        <f>"1-107-13"</f>
        <v>1-107-13</v>
      </c>
      <c r="F2008" t="s">
        <v>15</v>
      </c>
      <c r="G2008" t="s">
        <v>18</v>
      </c>
      <c r="H2008" t="s">
        <v>19</v>
      </c>
      <c r="I2008">
        <v>0</v>
      </c>
      <c r="J2008">
        <v>0</v>
      </c>
      <c r="K2008">
        <v>0</v>
      </c>
    </row>
    <row r="2009" spans="1:11" x14ac:dyDescent="0.25">
      <c r="A2009" t="str">
        <f>"2590"</f>
        <v>2590</v>
      </c>
      <c r="B2009" t="str">
        <f t="shared" si="123"/>
        <v>1</v>
      </c>
      <c r="C2009" t="str">
        <f t="shared" ref="C2009:C2036" si="124">"108"</f>
        <v>108</v>
      </c>
      <c r="D2009" t="str">
        <f>"18"</f>
        <v>18</v>
      </c>
      <c r="E2009" t="str">
        <f>"1-108-18"</f>
        <v>1-108-18</v>
      </c>
      <c r="F2009" t="s">
        <v>15</v>
      </c>
      <c r="G2009" t="s">
        <v>16</v>
      </c>
      <c r="H2009" t="s">
        <v>17</v>
      </c>
      <c r="I2009">
        <v>1</v>
      </c>
      <c r="J2009">
        <v>0</v>
      </c>
      <c r="K2009">
        <v>0</v>
      </c>
    </row>
    <row r="2010" spans="1:11" x14ac:dyDescent="0.25">
      <c r="A2010" t="str">
        <f>"2591"</f>
        <v>2591</v>
      </c>
      <c r="B2010" t="str">
        <f t="shared" si="123"/>
        <v>1</v>
      </c>
      <c r="C2010" t="str">
        <f t="shared" si="124"/>
        <v>108</v>
      </c>
      <c r="D2010" t="str">
        <f>"15"</f>
        <v>15</v>
      </c>
      <c r="E2010" t="str">
        <f>"1-108-15"</f>
        <v>1-108-15</v>
      </c>
      <c r="F2010" t="s">
        <v>15</v>
      </c>
      <c r="G2010" t="s">
        <v>18</v>
      </c>
      <c r="H2010" t="s">
        <v>19</v>
      </c>
      <c r="I2010">
        <v>1</v>
      </c>
      <c r="J2010">
        <v>0</v>
      </c>
      <c r="K2010">
        <v>0</v>
      </c>
    </row>
    <row r="2011" spans="1:11" x14ac:dyDescent="0.25">
      <c r="A2011" t="str">
        <f>"2592"</f>
        <v>2592</v>
      </c>
      <c r="B2011" t="str">
        <f t="shared" si="123"/>
        <v>1</v>
      </c>
      <c r="C2011" t="str">
        <f t="shared" si="124"/>
        <v>108</v>
      </c>
      <c r="D2011" t="str">
        <f>"7"</f>
        <v>7</v>
      </c>
      <c r="E2011" t="str">
        <f>"1-108-7"</f>
        <v>1-108-7</v>
      </c>
      <c r="F2011" t="s">
        <v>15</v>
      </c>
      <c r="G2011" t="s">
        <v>20</v>
      </c>
      <c r="H2011" t="s">
        <v>21</v>
      </c>
      <c r="I2011">
        <v>1</v>
      </c>
      <c r="J2011">
        <v>0</v>
      </c>
      <c r="K2011">
        <v>0</v>
      </c>
    </row>
    <row r="2012" spans="1:11" x14ac:dyDescent="0.25">
      <c r="A2012" t="str">
        <f>"2593"</f>
        <v>2593</v>
      </c>
      <c r="B2012" t="str">
        <f t="shared" si="123"/>
        <v>1</v>
      </c>
      <c r="C2012" t="str">
        <f t="shared" si="124"/>
        <v>108</v>
      </c>
      <c r="D2012" t="str">
        <f>"26"</f>
        <v>26</v>
      </c>
      <c r="E2012" t="str">
        <f>"1-108-26"</f>
        <v>1-108-26</v>
      </c>
      <c r="F2012" t="s">
        <v>15</v>
      </c>
      <c r="G2012" t="s">
        <v>16</v>
      </c>
      <c r="H2012" t="s">
        <v>17</v>
      </c>
      <c r="I2012">
        <v>1</v>
      </c>
      <c r="J2012">
        <v>0</v>
      </c>
      <c r="K2012">
        <v>0</v>
      </c>
    </row>
    <row r="2013" spans="1:11" x14ac:dyDescent="0.25">
      <c r="A2013" t="str">
        <f>"2594"</f>
        <v>2594</v>
      </c>
      <c r="B2013" t="str">
        <f t="shared" si="123"/>
        <v>1</v>
      </c>
      <c r="C2013" t="str">
        <f t="shared" si="124"/>
        <v>108</v>
      </c>
      <c r="D2013" t="str">
        <f>"16"</f>
        <v>16</v>
      </c>
      <c r="E2013" t="str">
        <f>"1-108-16"</f>
        <v>1-108-16</v>
      </c>
      <c r="F2013" t="s">
        <v>15</v>
      </c>
      <c r="G2013" t="s">
        <v>16</v>
      </c>
      <c r="H2013" t="s">
        <v>17</v>
      </c>
      <c r="I2013">
        <v>1</v>
      </c>
      <c r="J2013">
        <v>0</v>
      </c>
      <c r="K2013">
        <v>0</v>
      </c>
    </row>
    <row r="2014" spans="1:11" x14ac:dyDescent="0.25">
      <c r="A2014" t="str">
        <f>"2595"</f>
        <v>2595</v>
      </c>
      <c r="B2014" t="str">
        <f t="shared" si="123"/>
        <v>1</v>
      </c>
      <c r="C2014" t="str">
        <f t="shared" si="124"/>
        <v>108</v>
      </c>
      <c r="D2014" t="str">
        <f>"1"</f>
        <v>1</v>
      </c>
      <c r="E2014" t="str">
        <f>"1-108-1"</f>
        <v>1-108-1</v>
      </c>
      <c r="F2014" t="s">
        <v>15</v>
      </c>
      <c r="G2014" t="s">
        <v>16</v>
      </c>
      <c r="H2014" t="s">
        <v>17</v>
      </c>
      <c r="I2014">
        <v>0</v>
      </c>
      <c r="J2014">
        <v>0</v>
      </c>
      <c r="K2014">
        <v>1</v>
      </c>
    </row>
    <row r="2015" spans="1:11" x14ac:dyDescent="0.25">
      <c r="A2015" t="str">
        <f>"2596"</f>
        <v>2596</v>
      </c>
      <c r="B2015" t="str">
        <f t="shared" si="123"/>
        <v>1</v>
      </c>
      <c r="C2015" t="str">
        <f t="shared" si="124"/>
        <v>108</v>
      </c>
      <c r="D2015" t="str">
        <f>"17"</f>
        <v>17</v>
      </c>
      <c r="E2015" t="str">
        <f>"1-108-17"</f>
        <v>1-108-17</v>
      </c>
      <c r="F2015" t="s">
        <v>15</v>
      </c>
      <c r="G2015" t="s">
        <v>16</v>
      </c>
      <c r="H2015" t="s">
        <v>17</v>
      </c>
      <c r="I2015">
        <v>1</v>
      </c>
      <c r="J2015">
        <v>0</v>
      </c>
      <c r="K2015">
        <v>0</v>
      </c>
    </row>
    <row r="2016" spans="1:11" x14ac:dyDescent="0.25">
      <c r="A2016" t="str">
        <f>"2598"</f>
        <v>2598</v>
      </c>
      <c r="B2016" t="str">
        <f t="shared" si="123"/>
        <v>1</v>
      </c>
      <c r="C2016" t="str">
        <f t="shared" si="124"/>
        <v>108</v>
      </c>
      <c r="D2016" t="str">
        <f>"19"</f>
        <v>19</v>
      </c>
      <c r="E2016" t="str">
        <f>"1-108-19"</f>
        <v>1-108-19</v>
      </c>
      <c r="F2016" t="s">
        <v>15</v>
      </c>
      <c r="G2016" t="s">
        <v>16</v>
      </c>
      <c r="H2016" t="s">
        <v>17</v>
      </c>
      <c r="I2016">
        <v>1</v>
      </c>
      <c r="J2016">
        <v>0</v>
      </c>
      <c r="K2016">
        <v>0</v>
      </c>
    </row>
    <row r="2017" spans="1:11" x14ac:dyDescent="0.25">
      <c r="A2017" t="str">
        <f>"2599"</f>
        <v>2599</v>
      </c>
      <c r="B2017" t="str">
        <f t="shared" si="123"/>
        <v>1</v>
      </c>
      <c r="C2017" t="str">
        <f t="shared" si="124"/>
        <v>108</v>
      </c>
      <c r="D2017" t="str">
        <f>"4"</f>
        <v>4</v>
      </c>
      <c r="E2017" t="str">
        <f>"1-108-4"</f>
        <v>1-108-4</v>
      </c>
      <c r="F2017" t="s">
        <v>15</v>
      </c>
      <c r="G2017" t="s">
        <v>16</v>
      </c>
      <c r="H2017" t="s">
        <v>17</v>
      </c>
      <c r="I2017">
        <v>0</v>
      </c>
      <c r="J2017">
        <v>1</v>
      </c>
      <c r="K2017">
        <v>0</v>
      </c>
    </row>
    <row r="2018" spans="1:11" x14ac:dyDescent="0.25">
      <c r="A2018" t="str">
        <f>"2600"</f>
        <v>2600</v>
      </c>
      <c r="B2018" t="str">
        <f t="shared" si="123"/>
        <v>1</v>
      </c>
      <c r="C2018" t="str">
        <f t="shared" si="124"/>
        <v>108</v>
      </c>
      <c r="D2018" t="str">
        <f>"20"</f>
        <v>20</v>
      </c>
      <c r="E2018" t="str">
        <f>"1-108-20"</f>
        <v>1-108-20</v>
      </c>
      <c r="F2018" t="s">
        <v>15</v>
      </c>
      <c r="G2018" t="s">
        <v>16</v>
      </c>
      <c r="H2018" t="s">
        <v>17</v>
      </c>
      <c r="I2018">
        <v>1</v>
      </c>
      <c r="J2018">
        <v>0</v>
      </c>
      <c r="K2018">
        <v>0</v>
      </c>
    </row>
    <row r="2019" spans="1:11" x14ac:dyDescent="0.25">
      <c r="A2019" t="str">
        <f>"2601"</f>
        <v>2601</v>
      </c>
      <c r="B2019" t="str">
        <f t="shared" si="123"/>
        <v>1</v>
      </c>
      <c r="C2019" t="str">
        <f t="shared" si="124"/>
        <v>108</v>
      </c>
      <c r="D2019" t="str">
        <f>"11"</f>
        <v>11</v>
      </c>
      <c r="E2019" t="str">
        <f>"1-108-11"</f>
        <v>1-108-11</v>
      </c>
      <c r="F2019" t="s">
        <v>15</v>
      </c>
      <c r="G2019" t="s">
        <v>16</v>
      </c>
      <c r="H2019" t="s">
        <v>17</v>
      </c>
      <c r="I2019">
        <v>0</v>
      </c>
      <c r="J2019">
        <v>1</v>
      </c>
      <c r="K2019">
        <v>0</v>
      </c>
    </row>
    <row r="2020" spans="1:11" x14ac:dyDescent="0.25">
      <c r="A2020" t="str">
        <f>"2602"</f>
        <v>2602</v>
      </c>
      <c r="B2020" t="str">
        <f t="shared" si="123"/>
        <v>1</v>
      </c>
      <c r="C2020" t="str">
        <f t="shared" si="124"/>
        <v>108</v>
      </c>
      <c r="D2020" t="str">
        <f>"21"</f>
        <v>21</v>
      </c>
      <c r="E2020" t="str">
        <f>"1-108-21"</f>
        <v>1-108-21</v>
      </c>
      <c r="F2020" t="s">
        <v>15</v>
      </c>
      <c r="G2020" t="s">
        <v>16</v>
      </c>
      <c r="H2020" t="s">
        <v>17</v>
      </c>
      <c r="I2020">
        <v>0</v>
      </c>
      <c r="J2020">
        <v>1</v>
      </c>
      <c r="K2020">
        <v>0</v>
      </c>
    </row>
    <row r="2021" spans="1:11" x14ac:dyDescent="0.25">
      <c r="A2021" t="str">
        <f>"2603"</f>
        <v>2603</v>
      </c>
      <c r="B2021" t="str">
        <f t="shared" si="123"/>
        <v>1</v>
      </c>
      <c r="C2021" t="str">
        <f t="shared" si="124"/>
        <v>108</v>
      </c>
      <c r="D2021" t="str">
        <f>"9"</f>
        <v>9</v>
      </c>
      <c r="E2021" t="str">
        <f>"1-108-9"</f>
        <v>1-108-9</v>
      </c>
      <c r="F2021" t="s">
        <v>15</v>
      </c>
      <c r="G2021" t="s">
        <v>16</v>
      </c>
      <c r="H2021" t="s">
        <v>17</v>
      </c>
      <c r="I2021">
        <v>0</v>
      </c>
      <c r="J2021">
        <v>0</v>
      </c>
      <c r="K2021">
        <v>1</v>
      </c>
    </row>
    <row r="2022" spans="1:11" x14ac:dyDescent="0.25">
      <c r="A2022" t="str">
        <f>"2604"</f>
        <v>2604</v>
      </c>
      <c r="B2022" t="str">
        <f t="shared" si="123"/>
        <v>1</v>
      </c>
      <c r="C2022" t="str">
        <f t="shared" si="124"/>
        <v>108</v>
      </c>
      <c r="D2022" t="str">
        <f>"5"</f>
        <v>5</v>
      </c>
      <c r="E2022" t="str">
        <f>"1-108-5"</f>
        <v>1-108-5</v>
      </c>
      <c r="F2022" t="s">
        <v>15</v>
      </c>
      <c r="G2022" t="s">
        <v>16</v>
      </c>
      <c r="H2022" t="s">
        <v>17</v>
      </c>
      <c r="I2022">
        <v>1</v>
      </c>
      <c r="J2022">
        <v>0</v>
      </c>
      <c r="K2022">
        <v>0</v>
      </c>
    </row>
    <row r="2023" spans="1:11" x14ac:dyDescent="0.25">
      <c r="A2023" t="str">
        <f>"2605"</f>
        <v>2605</v>
      </c>
      <c r="B2023" t="str">
        <f t="shared" si="123"/>
        <v>1</v>
      </c>
      <c r="C2023" t="str">
        <f t="shared" si="124"/>
        <v>108</v>
      </c>
      <c r="D2023" t="str">
        <f>"23"</f>
        <v>23</v>
      </c>
      <c r="E2023" t="str">
        <f>"1-108-23"</f>
        <v>1-108-23</v>
      </c>
      <c r="F2023" t="s">
        <v>15</v>
      </c>
      <c r="G2023" t="s">
        <v>16</v>
      </c>
      <c r="H2023" t="s">
        <v>17</v>
      </c>
      <c r="I2023">
        <v>1</v>
      </c>
      <c r="J2023">
        <v>0</v>
      </c>
      <c r="K2023">
        <v>0</v>
      </c>
    </row>
    <row r="2024" spans="1:11" x14ac:dyDescent="0.25">
      <c r="A2024" t="str">
        <f>"2606"</f>
        <v>2606</v>
      </c>
      <c r="B2024" t="str">
        <f t="shared" si="123"/>
        <v>1</v>
      </c>
      <c r="C2024" t="str">
        <f t="shared" si="124"/>
        <v>108</v>
      </c>
      <c r="D2024" t="str">
        <f>"14"</f>
        <v>14</v>
      </c>
      <c r="E2024" t="str">
        <f>"1-108-14"</f>
        <v>1-108-14</v>
      </c>
      <c r="F2024" t="s">
        <v>15</v>
      </c>
      <c r="G2024" t="s">
        <v>16</v>
      </c>
      <c r="H2024" t="s">
        <v>17</v>
      </c>
      <c r="I2024">
        <v>0</v>
      </c>
      <c r="J2024">
        <v>1</v>
      </c>
      <c r="K2024">
        <v>0</v>
      </c>
    </row>
    <row r="2025" spans="1:11" x14ac:dyDescent="0.25">
      <c r="A2025" t="str">
        <f>"2607"</f>
        <v>2607</v>
      </c>
      <c r="B2025" t="str">
        <f t="shared" si="123"/>
        <v>1</v>
      </c>
      <c r="C2025" t="str">
        <f t="shared" si="124"/>
        <v>108</v>
      </c>
      <c r="D2025" t="str">
        <f>"24"</f>
        <v>24</v>
      </c>
      <c r="E2025" t="str">
        <f>"1-108-24"</f>
        <v>1-108-24</v>
      </c>
      <c r="F2025" t="s">
        <v>15</v>
      </c>
      <c r="G2025" t="s">
        <v>16</v>
      </c>
      <c r="H2025" t="s">
        <v>17</v>
      </c>
      <c r="I2025">
        <v>0</v>
      </c>
      <c r="J2025">
        <v>1</v>
      </c>
      <c r="K2025">
        <v>0</v>
      </c>
    </row>
    <row r="2026" spans="1:11" x14ac:dyDescent="0.25">
      <c r="A2026" t="str">
        <f>"2608"</f>
        <v>2608</v>
      </c>
      <c r="B2026" t="str">
        <f t="shared" si="123"/>
        <v>1</v>
      </c>
      <c r="C2026" t="str">
        <f t="shared" si="124"/>
        <v>108</v>
      </c>
      <c r="D2026" t="str">
        <f>"25"</f>
        <v>25</v>
      </c>
      <c r="E2026" t="str">
        <f>"1-108-25"</f>
        <v>1-108-25</v>
      </c>
      <c r="F2026" t="s">
        <v>15</v>
      </c>
      <c r="G2026" t="s">
        <v>16</v>
      </c>
      <c r="H2026" t="s">
        <v>17</v>
      </c>
      <c r="I2026">
        <v>1</v>
      </c>
      <c r="J2026">
        <v>0</v>
      </c>
      <c r="K2026">
        <v>0</v>
      </c>
    </row>
    <row r="2027" spans="1:11" x14ac:dyDescent="0.25">
      <c r="A2027" t="str">
        <f>"2609"</f>
        <v>2609</v>
      </c>
      <c r="B2027" t="str">
        <f t="shared" si="123"/>
        <v>1</v>
      </c>
      <c r="C2027" t="str">
        <f t="shared" si="124"/>
        <v>108</v>
      </c>
      <c r="D2027" t="str">
        <f>"12"</f>
        <v>12</v>
      </c>
      <c r="E2027" t="str">
        <f>"1-108-12"</f>
        <v>1-108-12</v>
      </c>
      <c r="F2027" t="s">
        <v>15</v>
      </c>
      <c r="G2027" t="s">
        <v>16</v>
      </c>
      <c r="H2027" t="s">
        <v>17</v>
      </c>
      <c r="I2027">
        <v>0</v>
      </c>
      <c r="J2027">
        <v>1</v>
      </c>
      <c r="K2027">
        <v>0</v>
      </c>
    </row>
    <row r="2028" spans="1:11" x14ac:dyDescent="0.25">
      <c r="A2028" t="str">
        <f>"2610"</f>
        <v>2610</v>
      </c>
      <c r="B2028" t="str">
        <f t="shared" si="123"/>
        <v>1</v>
      </c>
      <c r="C2028" t="str">
        <f t="shared" si="124"/>
        <v>108</v>
      </c>
      <c r="D2028" t="str">
        <f>"27"</f>
        <v>27</v>
      </c>
      <c r="E2028" t="str">
        <f>"1-108-27"</f>
        <v>1-108-27</v>
      </c>
      <c r="F2028" t="s">
        <v>15</v>
      </c>
      <c r="G2028" t="s">
        <v>18</v>
      </c>
      <c r="H2028" t="s">
        <v>19</v>
      </c>
      <c r="I2028">
        <v>1</v>
      </c>
      <c r="J2028">
        <v>0</v>
      </c>
      <c r="K2028">
        <v>0</v>
      </c>
    </row>
    <row r="2029" spans="1:11" x14ac:dyDescent="0.25">
      <c r="A2029" t="str">
        <f>"2611"</f>
        <v>2611</v>
      </c>
      <c r="B2029" t="str">
        <f t="shared" si="123"/>
        <v>1</v>
      </c>
      <c r="C2029" t="str">
        <f t="shared" si="124"/>
        <v>108</v>
      </c>
      <c r="D2029" t="str">
        <f>"28"</f>
        <v>28</v>
      </c>
      <c r="E2029" t="str">
        <f>"1-108-28"</f>
        <v>1-108-28</v>
      </c>
      <c r="F2029" t="s">
        <v>15</v>
      </c>
      <c r="G2029" t="s">
        <v>16</v>
      </c>
      <c r="H2029" t="s">
        <v>17</v>
      </c>
      <c r="I2029">
        <v>0</v>
      </c>
      <c r="J2029">
        <v>1</v>
      </c>
      <c r="K2029">
        <v>0</v>
      </c>
    </row>
    <row r="2030" spans="1:11" x14ac:dyDescent="0.25">
      <c r="A2030" t="str">
        <f>"2612"</f>
        <v>2612</v>
      </c>
      <c r="B2030" t="str">
        <f t="shared" si="123"/>
        <v>1</v>
      </c>
      <c r="C2030" t="str">
        <f t="shared" si="124"/>
        <v>108</v>
      </c>
      <c r="D2030" t="str">
        <f>"3"</f>
        <v>3</v>
      </c>
      <c r="E2030" t="str">
        <f>"1-108-3"</f>
        <v>1-108-3</v>
      </c>
      <c r="F2030" t="s">
        <v>15</v>
      </c>
      <c r="G2030" t="s">
        <v>18</v>
      </c>
      <c r="H2030" t="s">
        <v>19</v>
      </c>
      <c r="I2030">
        <v>0</v>
      </c>
      <c r="J2030">
        <v>0</v>
      </c>
      <c r="K2030">
        <v>1</v>
      </c>
    </row>
    <row r="2031" spans="1:11" x14ac:dyDescent="0.25">
      <c r="A2031" t="str">
        <f>"2613"</f>
        <v>2613</v>
      </c>
      <c r="B2031" t="str">
        <f t="shared" si="123"/>
        <v>1</v>
      </c>
      <c r="C2031" t="str">
        <f t="shared" si="124"/>
        <v>108</v>
      </c>
      <c r="D2031" t="str">
        <f>"29"</f>
        <v>29</v>
      </c>
      <c r="E2031" t="str">
        <f>"1-108-29"</f>
        <v>1-108-29</v>
      </c>
      <c r="F2031" t="s">
        <v>15</v>
      </c>
      <c r="G2031" t="s">
        <v>16</v>
      </c>
      <c r="H2031" t="s">
        <v>17</v>
      </c>
      <c r="I2031">
        <v>0</v>
      </c>
      <c r="J2031">
        <v>0</v>
      </c>
      <c r="K2031">
        <v>1</v>
      </c>
    </row>
    <row r="2032" spans="1:11" x14ac:dyDescent="0.25">
      <c r="A2032" t="str">
        <f>"2614"</f>
        <v>2614</v>
      </c>
      <c r="B2032" t="str">
        <f t="shared" si="123"/>
        <v>1</v>
      </c>
      <c r="C2032" t="str">
        <f t="shared" si="124"/>
        <v>108</v>
      </c>
      <c r="D2032" t="str">
        <f>"8"</f>
        <v>8</v>
      </c>
      <c r="E2032" t="str">
        <f>"1-108-8"</f>
        <v>1-108-8</v>
      </c>
      <c r="F2032" t="s">
        <v>15</v>
      </c>
      <c r="G2032" t="s">
        <v>16</v>
      </c>
      <c r="H2032" t="s">
        <v>17</v>
      </c>
      <c r="I2032">
        <v>1</v>
      </c>
      <c r="J2032">
        <v>0</v>
      </c>
      <c r="K2032">
        <v>0</v>
      </c>
    </row>
    <row r="2033" spans="1:11" x14ac:dyDescent="0.25">
      <c r="A2033" t="str">
        <f>"2615"</f>
        <v>2615</v>
      </c>
      <c r="B2033" t="str">
        <f t="shared" si="123"/>
        <v>1</v>
      </c>
      <c r="C2033" t="str">
        <f t="shared" si="124"/>
        <v>108</v>
      </c>
      <c r="D2033" t="str">
        <f>"6"</f>
        <v>6</v>
      </c>
      <c r="E2033" t="str">
        <f>"1-108-6"</f>
        <v>1-108-6</v>
      </c>
      <c r="F2033" t="s">
        <v>15</v>
      </c>
      <c r="G2033" t="s">
        <v>20</v>
      </c>
      <c r="H2033" t="s">
        <v>21</v>
      </c>
      <c r="I2033">
        <v>1</v>
      </c>
      <c r="J2033">
        <v>0</v>
      </c>
      <c r="K2033">
        <v>0</v>
      </c>
    </row>
    <row r="2034" spans="1:11" x14ac:dyDescent="0.25">
      <c r="A2034" t="str">
        <f>"2616"</f>
        <v>2616</v>
      </c>
      <c r="B2034" t="str">
        <f t="shared" si="123"/>
        <v>1</v>
      </c>
      <c r="C2034" t="str">
        <f t="shared" si="124"/>
        <v>108</v>
      </c>
      <c r="D2034" t="str">
        <f>"13"</f>
        <v>13</v>
      </c>
      <c r="E2034" t="str">
        <f>"1-108-13"</f>
        <v>1-108-13</v>
      </c>
      <c r="F2034" t="s">
        <v>15</v>
      </c>
      <c r="G2034" t="s">
        <v>16</v>
      </c>
      <c r="H2034" t="s">
        <v>17</v>
      </c>
      <c r="I2034">
        <v>0</v>
      </c>
      <c r="J2034">
        <v>0</v>
      </c>
      <c r="K2034">
        <v>0</v>
      </c>
    </row>
    <row r="2035" spans="1:11" x14ac:dyDescent="0.25">
      <c r="A2035" t="str">
        <f>"2617"</f>
        <v>2617</v>
      </c>
      <c r="B2035" t="str">
        <f t="shared" si="123"/>
        <v>1</v>
      </c>
      <c r="C2035" t="str">
        <f t="shared" si="124"/>
        <v>108</v>
      </c>
      <c r="D2035" t="str">
        <f>"22"</f>
        <v>22</v>
      </c>
      <c r="E2035" t="str">
        <f>"1-108-22"</f>
        <v>1-108-22</v>
      </c>
      <c r="F2035" t="s">
        <v>15</v>
      </c>
      <c r="G2035" t="s">
        <v>16</v>
      </c>
      <c r="H2035" t="s">
        <v>17</v>
      </c>
      <c r="I2035">
        <v>0</v>
      </c>
      <c r="J2035">
        <v>0</v>
      </c>
      <c r="K2035">
        <v>1</v>
      </c>
    </row>
    <row r="2036" spans="1:11" x14ac:dyDescent="0.25">
      <c r="A2036" t="str">
        <f>"2618"</f>
        <v>2618</v>
      </c>
      <c r="B2036" t="str">
        <f t="shared" si="123"/>
        <v>1</v>
      </c>
      <c r="C2036" t="str">
        <f t="shared" si="124"/>
        <v>108</v>
      </c>
      <c r="D2036" t="str">
        <f>"2"</f>
        <v>2</v>
      </c>
      <c r="E2036" t="str">
        <f>"1-108-2"</f>
        <v>1-108-2</v>
      </c>
      <c r="F2036" t="s">
        <v>15</v>
      </c>
      <c r="G2036" t="s">
        <v>18</v>
      </c>
      <c r="H2036" t="s">
        <v>19</v>
      </c>
      <c r="I2036">
        <v>0</v>
      </c>
      <c r="J2036">
        <v>0</v>
      </c>
      <c r="K2036">
        <v>0</v>
      </c>
    </row>
    <row r="2037" spans="1:11" x14ac:dyDescent="0.25">
      <c r="A2037" t="str">
        <f>"2619"</f>
        <v>2619</v>
      </c>
      <c r="B2037" t="str">
        <f t="shared" si="123"/>
        <v>1</v>
      </c>
      <c r="C2037" t="str">
        <f t="shared" ref="C2037:C2053" si="125">"109"</f>
        <v>109</v>
      </c>
      <c r="D2037" t="str">
        <f>"15"</f>
        <v>15</v>
      </c>
      <c r="E2037" t="str">
        <f>"1-109-15"</f>
        <v>1-109-15</v>
      </c>
      <c r="F2037" t="s">
        <v>15</v>
      </c>
      <c r="G2037" t="s">
        <v>16</v>
      </c>
      <c r="H2037" t="s">
        <v>17</v>
      </c>
      <c r="I2037">
        <v>0</v>
      </c>
      <c r="J2037">
        <v>0</v>
      </c>
      <c r="K2037">
        <v>1</v>
      </c>
    </row>
    <row r="2038" spans="1:11" x14ac:dyDescent="0.25">
      <c r="A2038" t="str">
        <f>"2621"</f>
        <v>2621</v>
      </c>
      <c r="B2038" t="str">
        <f t="shared" si="123"/>
        <v>1</v>
      </c>
      <c r="C2038" t="str">
        <f t="shared" si="125"/>
        <v>109</v>
      </c>
      <c r="D2038" t="str">
        <f>"16"</f>
        <v>16</v>
      </c>
      <c r="E2038" t="str">
        <f>"1-109-16"</f>
        <v>1-109-16</v>
      </c>
      <c r="F2038" t="s">
        <v>15</v>
      </c>
      <c r="G2038" t="s">
        <v>18</v>
      </c>
      <c r="H2038" t="s">
        <v>19</v>
      </c>
      <c r="I2038">
        <v>0</v>
      </c>
      <c r="J2038">
        <v>0</v>
      </c>
      <c r="K2038">
        <v>1</v>
      </c>
    </row>
    <row r="2039" spans="1:11" x14ac:dyDescent="0.25">
      <c r="A2039" t="str">
        <f>"2622"</f>
        <v>2622</v>
      </c>
      <c r="B2039" t="str">
        <f t="shared" si="123"/>
        <v>1</v>
      </c>
      <c r="C2039" t="str">
        <f t="shared" si="125"/>
        <v>109</v>
      </c>
      <c r="D2039" t="str">
        <f>"17"</f>
        <v>17</v>
      </c>
      <c r="E2039" t="str">
        <f>"1-109-17"</f>
        <v>1-109-17</v>
      </c>
      <c r="F2039" t="s">
        <v>15</v>
      </c>
      <c r="G2039" t="s">
        <v>18</v>
      </c>
      <c r="H2039" t="s">
        <v>19</v>
      </c>
      <c r="I2039">
        <v>0</v>
      </c>
      <c r="J2039">
        <v>0</v>
      </c>
      <c r="K2039">
        <v>1</v>
      </c>
    </row>
    <row r="2040" spans="1:11" x14ac:dyDescent="0.25">
      <c r="A2040" t="str">
        <f>"2623"</f>
        <v>2623</v>
      </c>
      <c r="B2040" t="str">
        <f t="shared" si="123"/>
        <v>1</v>
      </c>
      <c r="C2040" t="str">
        <f t="shared" si="125"/>
        <v>109</v>
      </c>
      <c r="D2040" t="str">
        <f>"13"</f>
        <v>13</v>
      </c>
      <c r="E2040" t="str">
        <f>"1-109-13"</f>
        <v>1-109-13</v>
      </c>
      <c r="F2040" t="s">
        <v>15</v>
      </c>
      <c r="G2040" t="s">
        <v>16</v>
      </c>
      <c r="H2040" t="s">
        <v>17</v>
      </c>
      <c r="I2040">
        <v>0</v>
      </c>
      <c r="J2040">
        <v>1</v>
      </c>
      <c r="K2040">
        <v>0</v>
      </c>
    </row>
    <row r="2041" spans="1:11" x14ac:dyDescent="0.25">
      <c r="A2041" t="str">
        <f>"2624"</f>
        <v>2624</v>
      </c>
      <c r="B2041" t="str">
        <f t="shared" si="123"/>
        <v>1</v>
      </c>
      <c r="C2041" t="str">
        <f t="shared" si="125"/>
        <v>109</v>
      </c>
      <c r="D2041" t="str">
        <f>"18"</f>
        <v>18</v>
      </c>
      <c r="E2041" t="str">
        <f>"1-109-18"</f>
        <v>1-109-18</v>
      </c>
      <c r="F2041" t="s">
        <v>15</v>
      </c>
      <c r="G2041" t="s">
        <v>16</v>
      </c>
      <c r="H2041" t="s">
        <v>17</v>
      </c>
      <c r="I2041">
        <v>0</v>
      </c>
      <c r="J2041">
        <v>0</v>
      </c>
      <c r="K2041">
        <v>1</v>
      </c>
    </row>
    <row r="2042" spans="1:11" x14ac:dyDescent="0.25">
      <c r="A2042" t="str">
        <f>"2626"</f>
        <v>2626</v>
      </c>
      <c r="B2042" t="str">
        <f t="shared" si="123"/>
        <v>1</v>
      </c>
      <c r="C2042" t="str">
        <f t="shared" si="125"/>
        <v>109</v>
      </c>
      <c r="D2042" t="str">
        <f>"19"</f>
        <v>19</v>
      </c>
      <c r="E2042" t="str">
        <f>"1-109-19"</f>
        <v>1-109-19</v>
      </c>
      <c r="F2042" t="s">
        <v>15</v>
      </c>
      <c r="G2042" t="s">
        <v>16</v>
      </c>
      <c r="H2042" t="s">
        <v>17</v>
      </c>
      <c r="I2042">
        <v>1</v>
      </c>
      <c r="J2042">
        <v>0</v>
      </c>
      <c r="K2042">
        <v>0</v>
      </c>
    </row>
    <row r="2043" spans="1:11" x14ac:dyDescent="0.25">
      <c r="A2043" t="str">
        <f>"2627"</f>
        <v>2627</v>
      </c>
      <c r="B2043" t="str">
        <f t="shared" si="123"/>
        <v>1</v>
      </c>
      <c r="C2043" t="str">
        <f t="shared" si="125"/>
        <v>109</v>
      </c>
      <c r="D2043" t="str">
        <f>"7"</f>
        <v>7</v>
      </c>
      <c r="E2043" t="str">
        <f>"1-109-7"</f>
        <v>1-109-7</v>
      </c>
      <c r="F2043" t="s">
        <v>15</v>
      </c>
      <c r="G2043" t="s">
        <v>16</v>
      </c>
      <c r="H2043" t="s">
        <v>17</v>
      </c>
      <c r="I2043">
        <v>0</v>
      </c>
      <c r="J2043">
        <v>0</v>
      </c>
      <c r="K2043">
        <v>1</v>
      </c>
    </row>
    <row r="2044" spans="1:11" x14ac:dyDescent="0.25">
      <c r="A2044" t="str">
        <f>"2628"</f>
        <v>2628</v>
      </c>
      <c r="B2044" t="str">
        <f t="shared" si="123"/>
        <v>1</v>
      </c>
      <c r="C2044" t="str">
        <f t="shared" si="125"/>
        <v>109</v>
      </c>
      <c r="D2044" t="str">
        <f>"20"</f>
        <v>20</v>
      </c>
      <c r="E2044" t="str">
        <f>"1-109-20"</f>
        <v>1-109-20</v>
      </c>
      <c r="F2044" t="s">
        <v>15</v>
      </c>
      <c r="G2044" t="s">
        <v>16</v>
      </c>
      <c r="H2044" t="s">
        <v>17</v>
      </c>
      <c r="I2044">
        <v>0</v>
      </c>
      <c r="J2044">
        <v>1</v>
      </c>
      <c r="K2044">
        <v>0</v>
      </c>
    </row>
    <row r="2045" spans="1:11" x14ac:dyDescent="0.25">
      <c r="A2045" t="str">
        <f>"2630"</f>
        <v>2630</v>
      </c>
      <c r="B2045" t="str">
        <f t="shared" si="123"/>
        <v>1</v>
      </c>
      <c r="C2045" t="str">
        <f t="shared" si="125"/>
        <v>109</v>
      </c>
      <c r="D2045" t="str">
        <f>"14"</f>
        <v>14</v>
      </c>
      <c r="E2045" t="str">
        <f>"1-109-14"</f>
        <v>1-109-14</v>
      </c>
      <c r="F2045" t="s">
        <v>15</v>
      </c>
      <c r="G2045" t="s">
        <v>16</v>
      </c>
      <c r="H2045" t="s">
        <v>17</v>
      </c>
      <c r="I2045">
        <v>0</v>
      </c>
      <c r="J2045">
        <v>0</v>
      </c>
      <c r="K2045">
        <v>1</v>
      </c>
    </row>
    <row r="2046" spans="1:11" x14ac:dyDescent="0.25">
      <c r="A2046" t="str">
        <f>"2631"</f>
        <v>2631</v>
      </c>
      <c r="B2046" t="str">
        <f t="shared" si="123"/>
        <v>1</v>
      </c>
      <c r="C2046" t="str">
        <f t="shared" si="125"/>
        <v>109</v>
      </c>
      <c r="D2046" t="str">
        <f>"2"</f>
        <v>2</v>
      </c>
      <c r="E2046" t="str">
        <f>"1-109-2"</f>
        <v>1-109-2</v>
      </c>
      <c r="F2046" t="s">
        <v>15</v>
      </c>
      <c r="G2046" t="s">
        <v>16</v>
      </c>
      <c r="H2046" t="s">
        <v>17</v>
      </c>
      <c r="I2046">
        <v>0</v>
      </c>
      <c r="J2046">
        <v>0</v>
      </c>
      <c r="K2046">
        <v>1</v>
      </c>
    </row>
    <row r="2047" spans="1:11" x14ac:dyDescent="0.25">
      <c r="A2047" t="str">
        <f>"2632"</f>
        <v>2632</v>
      </c>
      <c r="B2047" t="str">
        <f t="shared" si="123"/>
        <v>1</v>
      </c>
      <c r="C2047" t="str">
        <f t="shared" si="125"/>
        <v>109</v>
      </c>
      <c r="D2047" t="str">
        <f>"12"</f>
        <v>12</v>
      </c>
      <c r="E2047" t="str">
        <f>"1-109-12"</f>
        <v>1-109-12</v>
      </c>
      <c r="F2047" t="s">
        <v>15</v>
      </c>
      <c r="G2047" t="s">
        <v>18</v>
      </c>
      <c r="H2047" t="s">
        <v>19</v>
      </c>
      <c r="I2047">
        <v>1</v>
      </c>
      <c r="J2047">
        <v>0</v>
      </c>
      <c r="K2047">
        <v>0</v>
      </c>
    </row>
    <row r="2048" spans="1:11" x14ac:dyDescent="0.25">
      <c r="A2048" t="str">
        <f>"2633"</f>
        <v>2633</v>
      </c>
      <c r="B2048" t="str">
        <f t="shared" si="123"/>
        <v>1</v>
      </c>
      <c r="C2048" t="str">
        <f t="shared" si="125"/>
        <v>109</v>
      </c>
      <c r="D2048" t="str">
        <f>"10"</f>
        <v>10</v>
      </c>
      <c r="E2048" t="str">
        <f>"1-109-10"</f>
        <v>1-109-10</v>
      </c>
      <c r="F2048" t="s">
        <v>15</v>
      </c>
      <c r="G2048" t="s">
        <v>16</v>
      </c>
      <c r="H2048" t="s">
        <v>17</v>
      </c>
      <c r="I2048">
        <v>0</v>
      </c>
      <c r="J2048">
        <v>1</v>
      </c>
      <c r="K2048">
        <v>0</v>
      </c>
    </row>
    <row r="2049" spans="1:11" x14ac:dyDescent="0.25">
      <c r="A2049" t="str">
        <f>"2634"</f>
        <v>2634</v>
      </c>
      <c r="B2049" t="str">
        <f t="shared" si="123"/>
        <v>1</v>
      </c>
      <c r="C2049" t="str">
        <f t="shared" si="125"/>
        <v>109</v>
      </c>
      <c r="D2049" t="str">
        <f>"9"</f>
        <v>9</v>
      </c>
      <c r="E2049" t="str">
        <f>"1-109-9"</f>
        <v>1-109-9</v>
      </c>
      <c r="F2049" t="s">
        <v>15</v>
      </c>
      <c r="G2049" t="s">
        <v>20</v>
      </c>
      <c r="H2049" t="s">
        <v>21</v>
      </c>
      <c r="I2049">
        <v>0</v>
      </c>
      <c r="J2049">
        <v>0</v>
      </c>
      <c r="K2049">
        <v>1</v>
      </c>
    </row>
    <row r="2050" spans="1:11" x14ac:dyDescent="0.25">
      <c r="A2050" t="str">
        <f>"2635"</f>
        <v>2635</v>
      </c>
      <c r="B2050" t="str">
        <f t="shared" si="123"/>
        <v>1</v>
      </c>
      <c r="C2050" t="str">
        <f t="shared" si="125"/>
        <v>109</v>
      </c>
      <c r="D2050" t="str">
        <f>"5"</f>
        <v>5</v>
      </c>
      <c r="E2050" t="str">
        <f>"1-109-5"</f>
        <v>1-109-5</v>
      </c>
      <c r="F2050" t="s">
        <v>15</v>
      </c>
      <c r="G2050" t="s">
        <v>20</v>
      </c>
      <c r="H2050" t="s">
        <v>21</v>
      </c>
      <c r="I2050">
        <v>0</v>
      </c>
      <c r="J2050">
        <v>1</v>
      </c>
      <c r="K2050">
        <v>0</v>
      </c>
    </row>
    <row r="2051" spans="1:11" x14ac:dyDescent="0.25">
      <c r="A2051" t="str">
        <f>"2636"</f>
        <v>2636</v>
      </c>
      <c r="B2051" t="str">
        <f t="shared" si="123"/>
        <v>1</v>
      </c>
      <c r="C2051" t="str">
        <f t="shared" si="125"/>
        <v>109</v>
      </c>
      <c r="D2051" t="str">
        <f>"11"</f>
        <v>11</v>
      </c>
      <c r="E2051" t="str">
        <f>"1-109-11"</f>
        <v>1-109-11</v>
      </c>
      <c r="F2051" t="s">
        <v>15</v>
      </c>
      <c r="G2051" t="s">
        <v>16</v>
      </c>
      <c r="H2051" t="s">
        <v>17</v>
      </c>
      <c r="I2051">
        <v>1</v>
      </c>
      <c r="J2051">
        <v>0</v>
      </c>
      <c r="K2051">
        <v>0</v>
      </c>
    </row>
    <row r="2052" spans="1:11" x14ac:dyDescent="0.25">
      <c r="A2052" t="str">
        <f>"2637"</f>
        <v>2637</v>
      </c>
      <c r="B2052" t="str">
        <f t="shared" si="123"/>
        <v>1</v>
      </c>
      <c r="C2052" t="str">
        <f t="shared" si="125"/>
        <v>109</v>
      </c>
      <c r="D2052" t="str">
        <f>"4"</f>
        <v>4</v>
      </c>
      <c r="E2052" t="str">
        <f>"1-109-4"</f>
        <v>1-109-4</v>
      </c>
      <c r="F2052" t="s">
        <v>15</v>
      </c>
      <c r="G2052" t="s">
        <v>20</v>
      </c>
      <c r="H2052" t="s">
        <v>21</v>
      </c>
      <c r="I2052">
        <v>0</v>
      </c>
      <c r="J2052">
        <v>0</v>
      </c>
      <c r="K2052">
        <v>0</v>
      </c>
    </row>
    <row r="2053" spans="1:11" x14ac:dyDescent="0.25">
      <c r="A2053" t="str">
        <f>"2638"</f>
        <v>2638</v>
      </c>
      <c r="B2053" t="str">
        <f t="shared" si="123"/>
        <v>1</v>
      </c>
      <c r="C2053" t="str">
        <f t="shared" si="125"/>
        <v>109</v>
      </c>
      <c r="D2053" t="str">
        <f>"6"</f>
        <v>6</v>
      </c>
      <c r="E2053" t="str">
        <f>"1-109-6"</f>
        <v>1-109-6</v>
      </c>
      <c r="F2053" t="s">
        <v>15</v>
      </c>
      <c r="G2053" t="s">
        <v>16</v>
      </c>
      <c r="H2053" t="s">
        <v>17</v>
      </c>
      <c r="I2053">
        <v>0</v>
      </c>
      <c r="J2053">
        <v>0</v>
      </c>
      <c r="K2053">
        <v>0</v>
      </c>
    </row>
    <row r="2054" spans="1:11" x14ac:dyDescent="0.25">
      <c r="A2054" t="str">
        <f>"2641"</f>
        <v>2641</v>
      </c>
      <c r="B2054" t="str">
        <f t="shared" si="123"/>
        <v>1</v>
      </c>
      <c r="C2054" t="str">
        <f t="shared" ref="C2054:C2075" si="126">"110"</f>
        <v>110</v>
      </c>
      <c r="D2054" t="str">
        <f>"2"</f>
        <v>2</v>
      </c>
      <c r="E2054" t="str">
        <f>"1-110-2"</f>
        <v>1-110-2</v>
      </c>
      <c r="F2054" t="s">
        <v>15</v>
      </c>
      <c r="G2054" t="s">
        <v>16</v>
      </c>
      <c r="H2054" t="s">
        <v>17</v>
      </c>
      <c r="I2054">
        <v>0</v>
      </c>
      <c r="J2054">
        <v>0</v>
      </c>
      <c r="K2054">
        <v>1</v>
      </c>
    </row>
    <row r="2055" spans="1:11" x14ac:dyDescent="0.25">
      <c r="A2055" t="str">
        <f>"2643"</f>
        <v>2643</v>
      </c>
      <c r="B2055" t="str">
        <f t="shared" si="123"/>
        <v>1</v>
      </c>
      <c r="C2055" t="str">
        <f t="shared" si="126"/>
        <v>110</v>
      </c>
      <c r="D2055" t="str">
        <f>"16"</f>
        <v>16</v>
      </c>
      <c r="E2055" t="str">
        <f>"1-110-16"</f>
        <v>1-110-16</v>
      </c>
      <c r="F2055" t="s">
        <v>15</v>
      </c>
      <c r="G2055" t="s">
        <v>16</v>
      </c>
      <c r="H2055" t="s">
        <v>17</v>
      </c>
      <c r="I2055">
        <v>0</v>
      </c>
      <c r="J2055">
        <v>1</v>
      </c>
      <c r="K2055">
        <v>0</v>
      </c>
    </row>
    <row r="2056" spans="1:11" x14ac:dyDescent="0.25">
      <c r="A2056" t="str">
        <f>"2644"</f>
        <v>2644</v>
      </c>
      <c r="B2056" t="str">
        <f t="shared" si="123"/>
        <v>1</v>
      </c>
      <c r="C2056" t="str">
        <f t="shared" si="126"/>
        <v>110</v>
      </c>
      <c r="D2056" t="str">
        <f>"4"</f>
        <v>4</v>
      </c>
      <c r="E2056" t="str">
        <f>"1-110-4"</f>
        <v>1-110-4</v>
      </c>
      <c r="F2056" t="s">
        <v>15</v>
      </c>
      <c r="G2056" t="s">
        <v>18</v>
      </c>
      <c r="H2056" t="s">
        <v>19</v>
      </c>
      <c r="I2056">
        <v>0</v>
      </c>
      <c r="J2056">
        <v>0</v>
      </c>
      <c r="K2056">
        <v>1</v>
      </c>
    </row>
    <row r="2057" spans="1:11" x14ac:dyDescent="0.25">
      <c r="A2057" t="str">
        <f>"2645"</f>
        <v>2645</v>
      </c>
      <c r="B2057" t="str">
        <f t="shared" si="123"/>
        <v>1</v>
      </c>
      <c r="C2057" t="str">
        <f t="shared" si="126"/>
        <v>110</v>
      </c>
      <c r="D2057" t="str">
        <f>"9"</f>
        <v>9</v>
      </c>
      <c r="E2057" t="str">
        <f>"1-110-9"</f>
        <v>1-110-9</v>
      </c>
      <c r="F2057" t="s">
        <v>15</v>
      </c>
      <c r="G2057" t="s">
        <v>20</v>
      </c>
      <c r="H2057" t="s">
        <v>21</v>
      </c>
      <c r="I2057">
        <v>0</v>
      </c>
      <c r="J2057">
        <v>1</v>
      </c>
      <c r="K2057">
        <v>0</v>
      </c>
    </row>
    <row r="2058" spans="1:11" x14ac:dyDescent="0.25">
      <c r="A2058" t="str">
        <f>"2646"</f>
        <v>2646</v>
      </c>
      <c r="B2058" t="str">
        <f t="shared" si="123"/>
        <v>1</v>
      </c>
      <c r="C2058" t="str">
        <f t="shared" si="126"/>
        <v>110</v>
      </c>
      <c r="D2058" t="str">
        <f>"18"</f>
        <v>18</v>
      </c>
      <c r="E2058" t="str">
        <f>"1-110-18"</f>
        <v>1-110-18</v>
      </c>
      <c r="F2058" t="s">
        <v>15</v>
      </c>
      <c r="G2058" t="s">
        <v>20</v>
      </c>
      <c r="H2058" t="s">
        <v>21</v>
      </c>
      <c r="I2058">
        <v>0</v>
      </c>
      <c r="J2058">
        <v>0</v>
      </c>
      <c r="K2058">
        <v>1</v>
      </c>
    </row>
    <row r="2059" spans="1:11" x14ac:dyDescent="0.25">
      <c r="A2059" t="str">
        <f>"2647"</f>
        <v>2647</v>
      </c>
      <c r="B2059" t="str">
        <f t="shared" si="123"/>
        <v>1</v>
      </c>
      <c r="C2059" t="str">
        <f t="shared" si="126"/>
        <v>110</v>
      </c>
      <c r="D2059" t="str">
        <f>"8"</f>
        <v>8</v>
      </c>
      <c r="E2059" t="str">
        <f>"1-110-8"</f>
        <v>1-110-8</v>
      </c>
      <c r="F2059" t="s">
        <v>15</v>
      </c>
      <c r="G2059" t="s">
        <v>20</v>
      </c>
      <c r="H2059" t="s">
        <v>21</v>
      </c>
      <c r="I2059">
        <v>0</v>
      </c>
      <c r="J2059">
        <v>0</v>
      </c>
      <c r="K2059">
        <v>1</v>
      </c>
    </row>
    <row r="2060" spans="1:11" x14ac:dyDescent="0.25">
      <c r="A2060" t="str">
        <f>"2648"</f>
        <v>2648</v>
      </c>
      <c r="B2060" t="str">
        <f t="shared" si="123"/>
        <v>1</v>
      </c>
      <c r="C2060" t="str">
        <f t="shared" si="126"/>
        <v>110</v>
      </c>
      <c r="D2060" t="str">
        <f>"20"</f>
        <v>20</v>
      </c>
      <c r="E2060" t="str">
        <f>"1-110-20"</f>
        <v>1-110-20</v>
      </c>
      <c r="F2060" t="s">
        <v>15</v>
      </c>
      <c r="G2060" t="s">
        <v>20</v>
      </c>
      <c r="H2060" t="s">
        <v>21</v>
      </c>
      <c r="I2060">
        <v>1</v>
      </c>
      <c r="J2060">
        <v>0</v>
      </c>
      <c r="K2060">
        <v>0</v>
      </c>
    </row>
    <row r="2061" spans="1:11" x14ac:dyDescent="0.25">
      <c r="A2061" t="str">
        <f>"2649"</f>
        <v>2649</v>
      </c>
      <c r="B2061" t="str">
        <f t="shared" si="123"/>
        <v>1</v>
      </c>
      <c r="C2061" t="str">
        <f t="shared" si="126"/>
        <v>110</v>
      </c>
      <c r="D2061" t="str">
        <f>"1"</f>
        <v>1</v>
      </c>
      <c r="E2061" t="str">
        <f>"1-110-1"</f>
        <v>1-110-1</v>
      </c>
      <c r="F2061" t="s">
        <v>15</v>
      </c>
      <c r="G2061" t="s">
        <v>16</v>
      </c>
      <c r="H2061" t="s">
        <v>17</v>
      </c>
      <c r="I2061">
        <v>1</v>
      </c>
      <c r="J2061">
        <v>0</v>
      </c>
      <c r="K2061">
        <v>0</v>
      </c>
    </row>
    <row r="2062" spans="1:11" x14ac:dyDescent="0.25">
      <c r="A2062" t="str">
        <f>"2650"</f>
        <v>2650</v>
      </c>
      <c r="B2062" t="str">
        <f t="shared" ref="B2062:B2118" si="127">"1"</f>
        <v>1</v>
      </c>
      <c r="C2062" t="str">
        <f t="shared" si="126"/>
        <v>110</v>
      </c>
      <c r="D2062" t="str">
        <f>"21"</f>
        <v>21</v>
      </c>
      <c r="E2062" t="str">
        <f>"1-110-21"</f>
        <v>1-110-21</v>
      </c>
      <c r="F2062" t="s">
        <v>15</v>
      </c>
      <c r="G2062" t="s">
        <v>16</v>
      </c>
      <c r="H2062" t="s">
        <v>17</v>
      </c>
      <c r="I2062">
        <v>1</v>
      </c>
      <c r="J2062">
        <v>0</v>
      </c>
      <c r="K2062">
        <v>0</v>
      </c>
    </row>
    <row r="2063" spans="1:11" x14ac:dyDescent="0.25">
      <c r="A2063" t="str">
        <f>"2651"</f>
        <v>2651</v>
      </c>
      <c r="B2063" t="str">
        <f t="shared" si="127"/>
        <v>1</v>
      </c>
      <c r="C2063" t="str">
        <f t="shared" si="126"/>
        <v>110</v>
      </c>
      <c r="D2063" t="str">
        <f>"12"</f>
        <v>12</v>
      </c>
      <c r="E2063" t="str">
        <f>"1-110-12"</f>
        <v>1-110-12</v>
      </c>
      <c r="F2063" t="s">
        <v>15</v>
      </c>
      <c r="G2063" t="s">
        <v>16</v>
      </c>
      <c r="H2063" t="s">
        <v>17</v>
      </c>
      <c r="I2063">
        <v>1</v>
      </c>
      <c r="J2063">
        <v>0</v>
      </c>
      <c r="K2063">
        <v>0</v>
      </c>
    </row>
    <row r="2064" spans="1:11" x14ac:dyDescent="0.25">
      <c r="A2064" t="str">
        <f>"2652"</f>
        <v>2652</v>
      </c>
      <c r="B2064" t="str">
        <f t="shared" si="127"/>
        <v>1</v>
      </c>
      <c r="C2064" t="str">
        <f t="shared" si="126"/>
        <v>110</v>
      </c>
      <c r="D2064" t="str">
        <f>"22"</f>
        <v>22</v>
      </c>
      <c r="E2064" t="str">
        <f>"1-110-22"</f>
        <v>1-110-22</v>
      </c>
      <c r="F2064" t="s">
        <v>15</v>
      </c>
      <c r="G2064" t="s">
        <v>20</v>
      </c>
      <c r="H2064" t="s">
        <v>21</v>
      </c>
      <c r="I2064">
        <v>1</v>
      </c>
      <c r="J2064">
        <v>0</v>
      </c>
      <c r="K2064">
        <v>0</v>
      </c>
    </row>
    <row r="2065" spans="1:11" x14ac:dyDescent="0.25">
      <c r="A2065" t="str">
        <f>"2653"</f>
        <v>2653</v>
      </c>
      <c r="B2065" t="str">
        <f t="shared" si="127"/>
        <v>1</v>
      </c>
      <c r="C2065" t="str">
        <f t="shared" si="126"/>
        <v>110</v>
      </c>
      <c r="D2065" t="str">
        <f>"7"</f>
        <v>7</v>
      </c>
      <c r="E2065" t="str">
        <f>"1-110-7"</f>
        <v>1-110-7</v>
      </c>
      <c r="F2065" t="s">
        <v>15</v>
      </c>
      <c r="G2065" t="s">
        <v>18</v>
      </c>
      <c r="H2065" t="s">
        <v>19</v>
      </c>
      <c r="I2065">
        <v>1</v>
      </c>
      <c r="J2065">
        <v>0</v>
      </c>
      <c r="K2065">
        <v>0</v>
      </c>
    </row>
    <row r="2066" spans="1:11" x14ac:dyDescent="0.25">
      <c r="A2066" t="str">
        <f>"2654"</f>
        <v>2654</v>
      </c>
      <c r="B2066" t="str">
        <f t="shared" si="127"/>
        <v>1</v>
      </c>
      <c r="C2066" t="str">
        <f t="shared" si="126"/>
        <v>110</v>
      </c>
      <c r="D2066" t="str">
        <f>"24"</f>
        <v>24</v>
      </c>
      <c r="E2066" t="str">
        <f>"1-110-24"</f>
        <v>1-110-24</v>
      </c>
      <c r="F2066" t="s">
        <v>15</v>
      </c>
      <c r="G2066" t="s">
        <v>16</v>
      </c>
      <c r="H2066" t="s">
        <v>17</v>
      </c>
      <c r="I2066">
        <v>0</v>
      </c>
      <c r="J2066">
        <v>1</v>
      </c>
      <c r="K2066">
        <v>0</v>
      </c>
    </row>
    <row r="2067" spans="1:11" x14ac:dyDescent="0.25">
      <c r="A2067" t="str">
        <f>"2655"</f>
        <v>2655</v>
      </c>
      <c r="B2067" t="str">
        <f t="shared" si="127"/>
        <v>1</v>
      </c>
      <c r="C2067" t="str">
        <f t="shared" si="126"/>
        <v>110</v>
      </c>
      <c r="D2067" t="str">
        <f>"14"</f>
        <v>14</v>
      </c>
      <c r="E2067" t="str">
        <f>"1-110-14"</f>
        <v>1-110-14</v>
      </c>
      <c r="F2067" t="s">
        <v>15</v>
      </c>
      <c r="G2067" t="s">
        <v>16</v>
      </c>
      <c r="H2067" t="s">
        <v>17</v>
      </c>
      <c r="I2067">
        <v>0</v>
      </c>
      <c r="J2067">
        <v>1</v>
      </c>
      <c r="K2067">
        <v>0</v>
      </c>
    </row>
    <row r="2068" spans="1:11" x14ac:dyDescent="0.25">
      <c r="A2068" t="str">
        <f>"2656"</f>
        <v>2656</v>
      </c>
      <c r="B2068" t="str">
        <f t="shared" si="127"/>
        <v>1</v>
      </c>
      <c r="C2068" t="str">
        <f t="shared" si="126"/>
        <v>110</v>
      </c>
      <c r="D2068" t="str">
        <f>"25"</f>
        <v>25</v>
      </c>
      <c r="E2068" t="str">
        <f>"1-110-25"</f>
        <v>1-110-25</v>
      </c>
      <c r="F2068" t="s">
        <v>15</v>
      </c>
      <c r="G2068" t="s">
        <v>20</v>
      </c>
      <c r="H2068" t="s">
        <v>21</v>
      </c>
      <c r="I2068">
        <v>0</v>
      </c>
      <c r="J2068">
        <v>0</v>
      </c>
      <c r="K2068">
        <v>1</v>
      </c>
    </row>
    <row r="2069" spans="1:11" x14ac:dyDescent="0.25">
      <c r="A2069" t="str">
        <f>"2657"</f>
        <v>2657</v>
      </c>
      <c r="B2069" t="str">
        <f t="shared" si="127"/>
        <v>1</v>
      </c>
      <c r="C2069" t="str">
        <f t="shared" si="126"/>
        <v>110</v>
      </c>
      <c r="D2069" t="str">
        <f>"5"</f>
        <v>5</v>
      </c>
      <c r="E2069" t="str">
        <f>"1-110-5"</f>
        <v>1-110-5</v>
      </c>
      <c r="F2069" t="s">
        <v>15</v>
      </c>
      <c r="G2069" t="s">
        <v>18</v>
      </c>
      <c r="H2069" t="s">
        <v>19</v>
      </c>
      <c r="I2069">
        <v>0</v>
      </c>
      <c r="J2069">
        <v>0</v>
      </c>
      <c r="K2069">
        <v>1</v>
      </c>
    </row>
    <row r="2070" spans="1:11" x14ac:dyDescent="0.25">
      <c r="A2070" t="str">
        <f>"2658"</f>
        <v>2658</v>
      </c>
      <c r="B2070" t="str">
        <f t="shared" si="127"/>
        <v>1</v>
      </c>
      <c r="C2070" t="str">
        <f t="shared" si="126"/>
        <v>110</v>
      </c>
      <c r="D2070" t="str">
        <f>"11"</f>
        <v>11</v>
      </c>
      <c r="E2070" t="str">
        <f>"1-110-11"</f>
        <v>1-110-11</v>
      </c>
      <c r="F2070" t="s">
        <v>15</v>
      </c>
      <c r="G2070" t="s">
        <v>20</v>
      </c>
      <c r="H2070" t="s">
        <v>21</v>
      </c>
      <c r="I2070">
        <v>0</v>
      </c>
      <c r="J2070">
        <v>1</v>
      </c>
      <c r="K2070">
        <v>0</v>
      </c>
    </row>
    <row r="2071" spans="1:11" x14ac:dyDescent="0.25">
      <c r="A2071" t="str">
        <f>"2659"</f>
        <v>2659</v>
      </c>
      <c r="B2071" t="str">
        <f t="shared" si="127"/>
        <v>1</v>
      </c>
      <c r="C2071" t="str">
        <f t="shared" si="126"/>
        <v>110</v>
      </c>
      <c r="D2071" t="str">
        <f>"10"</f>
        <v>10</v>
      </c>
      <c r="E2071" t="str">
        <f>"1-110-10"</f>
        <v>1-110-10</v>
      </c>
      <c r="F2071" t="s">
        <v>15</v>
      </c>
      <c r="G2071" t="s">
        <v>16</v>
      </c>
      <c r="H2071" t="s">
        <v>17</v>
      </c>
      <c r="I2071">
        <v>1</v>
      </c>
      <c r="J2071">
        <v>0</v>
      </c>
      <c r="K2071">
        <v>0</v>
      </c>
    </row>
    <row r="2072" spans="1:11" x14ac:dyDescent="0.25">
      <c r="A2072" t="str">
        <f>"2660"</f>
        <v>2660</v>
      </c>
      <c r="B2072" t="str">
        <f t="shared" si="127"/>
        <v>1</v>
      </c>
      <c r="C2072" t="str">
        <f t="shared" si="126"/>
        <v>110</v>
      </c>
      <c r="D2072" t="str">
        <f>"13"</f>
        <v>13</v>
      </c>
      <c r="E2072" t="str">
        <f>"1-110-13"</f>
        <v>1-110-13</v>
      </c>
      <c r="F2072" t="s">
        <v>15</v>
      </c>
      <c r="G2072" t="s">
        <v>16</v>
      </c>
      <c r="H2072" t="s">
        <v>17</v>
      </c>
      <c r="I2072">
        <v>0</v>
      </c>
      <c r="J2072">
        <v>0</v>
      </c>
      <c r="K2072">
        <v>1</v>
      </c>
    </row>
    <row r="2073" spans="1:11" x14ac:dyDescent="0.25">
      <c r="A2073" t="str">
        <f>"2661"</f>
        <v>2661</v>
      </c>
      <c r="B2073" t="str">
        <f t="shared" si="127"/>
        <v>1</v>
      </c>
      <c r="C2073" t="str">
        <f t="shared" si="126"/>
        <v>110</v>
      </c>
      <c r="D2073" t="str">
        <f>"3"</f>
        <v>3</v>
      </c>
      <c r="E2073" t="str">
        <f>"1-110-3"</f>
        <v>1-110-3</v>
      </c>
      <c r="F2073" t="s">
        <v>15</v>
      </c>
      <c r="G2073" t="s">
        <v>18</v>
      </c>
      <c r="H2073" t="s">
        <v>19</v>
      </c>
      <c r="I2073">
        <v>0</v>
      </c>
      <c r="J2073">
        <v>1</v>
      </c>
      <c r="K2073">
        <v>0</v>
      </c>
    </row>
    <row r="2074" spans="1:11" x14ac:dyDescent="0.25">
      <c r="A2074" t="str">
        <f>"2662"</f>
        <v>2662</v>
      </c>
      <c r="B2074" t="str">
        <f t="shared" si="127"/>
        <v>1</v>
      </c>
      <c r="C2074" t="str">
        <f t="shared" si="126"/>
        <v>110</v>
      </c>
      <c r="D2074" t="str">
        <f>"6"</f>
        <v>6</v>
      </c>
      <c r="E2074" t="str">
        <f>"1-110-6"</f>
        <v>1-110-6</v>
      </c>
      <c r="F2074" t="s">
        <v>15</v>
      </c>
      <c r="G2074" t="s">
        <v>18</v>
      </c>
      <c r="H2074" t="s">
        <v>19</v>
      </c>
      <c r="I2074">
        <v>1</v>
      </c>
      <c r="J2074">
        <v>0</v>
      </c>
      <c r="K2074">
        <v>0</v>
      </c>
    </row>
    <row r="2075" spans="1:11" x14ac:dyDescent="0.25">
      <c r="A2075" t="str">
        <f>"2663"</f>
        <v>2663</v>
      </c>
      <c r="B2075" t="str">
        <f t="shared" si="127"/>
        <v>1</v>
      </c>
      <c r="C2075" t="str">
        <f t="shared" si="126"/>
        <v>110</v>
      </c>
      <c r="D2075" t="str">
        <f>"17"</f>
        <v>17</v>
      </c>
      <c r="E2075" t="str">
        <f>"1-110-17"</f>
        <v>1-110-17</v>
      </c>
      <c r="F2075" t="s">
        <v>15</v>
      </c>
      <c r="G2075" t="s">
        <v>16</v>
      </c>
      <c r="H2075" t="s">
        <v>17</v>
      </c>
      <c r="I2075">
        <v>0</v>
      </c>
      <c r="J2075">
        <v>0</v>
      </c>
      <c r="K2075">
        <v>1</v>
      </c>
    </row>
    <row r="2076" spans="1:11" x14ac:dyDescent="0.25">
      <c r="A2076" t="str">
        <f>"2664"</f>
        <v>2664</v>
      </c>
      <c r="B2076" t="str">
        <f t="shared" si="127"/>
        <v>1</v>
      </c>
      <c r="C2076" t="str">
        <f t="shared" ref="C2076:C2103" si="128">"111"</f>
        <v>111</v>
      </c>
      <c r="D2076" t="str">
        <f>"27"</f>
        <v>27</v>
      </c>
      <c r="E2076" t="str">
        <f>"1-111-27"</f>
        <v>1-111-27</v>
      </c>
      <c r="F2076" t="s">
        <v>15</v>
      </c>
      <c r="G2076" t="s">
        <v>18</v>
      </c>
      <c r="H2076" t="s">
        <v>19</v>
      </c>
      <c r="I2076">
        <v>1</v>
      </c>
      <c r="J2076">
        <v>0</v>
      </c>
      <c r="K2076">
        <v>0</v>
      </c>
    </row>
    <row r="2077" spans="1:11" x14ac:dyDescent="0.25">
      <c r="A2077" t="str">
        <f>"2665"</f>
        <v>2665</v>
      </c>
      <c r="B2077" t="str">
        <f t="shared" si="127"/>
        <v>1</v>
      </c>
      <c r="C2077" t="str">
        <f t="shared" si="128"/>
        <v>111</v>
      </c>
      <c r="D2077" t="str">
        <f>"26"</f>
        <v>26</v>
      </c>
      <c r="E2077" t="str">
        <f>"1-111-26"</f>
        <v>1-111-26</v>
      </c>
      <c r="F2077" t="s">
        <v>15</v>
      </c>
      <c r="G2077" t="s">
        <v>18</v>
      </c>
      <c r="H2077" t="s">
        <v>19</v>
      </c>
      <c r="I2077">
        <v>1</v>
      </c>
      <c r="J2077">
        <v>0</v>
      </c>
      <c r="K2077">
        <v>0</v>
      </c>
    </row>
    <row r="2078" spans="1:11" x14ac:dyDescent="0.25">
      <c r="A2078" t="str">
        <f>"2666"</f>
        <v>2666</v>
      </c>
      <c r="B2078" t="str">
        <f t="shared" si="127"/>
        <v>1</v>
      </c>
      <c r="C2078" t="str">
        <f t="shared" si="128"/>
        <v>111</v>
      </c>
      <c r="D2078" t="str">
        <f>"15"</f>
        <v>15</v>
      </c>
      <c r="E2078" t="str">
        <f>"1-111-15"</f>
        <v>1-111-15</v>
      </c>
      <c r="F2078" t="s">
        <v>15</v>
      </c>
      <c r="G2078" t="s">
        <v>18</v>
      </c>
      <c r="H2078" t="s">
        <v>19</v>
      </c>
      <c r="I2078">
        <v>0</v>
      </c>
      <c r="J2078">
        <v>0</v>
      </c>
      <c r="K2078">
        <v>1</v>
      </c>
    </row>
    <row r="2079" spans="1:11" x14ac:dyDescent="0.25">
      <c r="A2079" t="str">
        <f>"2667"</f>
        <v>2667</v>
      </c>
      <c r="B2079" t="str">
        <f t="shared" si="127"/>
        <v>1</v>
      </c>
      <c r="C2079" t="str">
        <f t="shared" si="128"/>
        <v>111</v>
      </c>
      <c r="D2079" t="str">
        <f>"6"</f>
        <v>6</v>
      </c>
      <c r="E2079" t="str">
        <f>"1-111-6"</f>
        <v>1-111-6</v>
      </c>
      <c r="F2079" t="s">
        <v>15</v>
      </c>
      <c r="G2079" t="s">
        <v>16</v>
      </c>
      <c r="H2079" t="s">
        <v>17</v>
      </c>
      <c r="I2079">
        <v>0</v>
      </c>
      <c r="J2079">
        <v>0</v>
      </c>
      <c r="K2079">
        <v>1</v>
      </c>
    </row>
    <row r="2080" spans="1:11" x14ac:dyDescent="0.25">
      <c r="A2080" t="str">
        <f>"2668"</f>
        <v>2668</v>
      </c>
      <c r="B2080" t="str">
        <f t="shared" si="127"/>
        <v>1</v>
      </c>
      <c r="C2080" t="str">
        <f t="shared" si="128"/>
        <v>111</v>
      </c>
      <c r="D2080" t="str">
        <f>"16"</f>
        <v>16</v>
      </c>
      <c r="E2080" t="str">
        <f>"1-111-16"</f>
        <v>1-111-16</v>
      </c>
      <c r="F2080" t="s">
        <v>15</v>
      </c>
      <c r="G2080" t="s">
        <v>16</v>
      </c>
      <c r="H2080" t="s">
        <v>17</v>
      </c>
      <c r="I2080">
        <v>0</v>
      </c>
      <c r="J2080">
        <v>0</v>
      </c>
      <c r="K2080">
        <v>1</v>
      </c>
    </row>
    <row r="2081" spans="1:11" x14ac:dyDescent="0.25">
      <c r="A2081" t="str">
        <f>"2669"</f>
        <v>2669</v>
      </c>
      <c r="B2081" t="str">
        <f t="shared" si="127"/>
        <v>1</v>
      </c>
      <c r="C2081" t="str">
        <f t="shared" si="128"/>
        <v>111</v>
      </c>
      <c r="D2081" t="str">
        <f>"3"</f>
        <v>3</v>
      </c>
      <c r="E2081" t="str">
        <f>"1-111-3"</f>
        <v>1-111-3</v>
      </c>
      <c r="F2081" t="s">
        <v>15</v>
      </c>
      <c r="G2081" t="s">
        <v>16</v>
      </c>
      <c r="H2081" t="s">
        <v>17</v>
      </c>
      <c r="I2081">
        <v>0</v>
      </c>
      <c r="J2081">
        <v>0</v>
      </c>
      <c r="K2081">
        <v>1</v>
      </c>
    </row>
    <row r="2082" spans="1:11" x14ac:dyDescent="0.25">
      <c r="A2082" t="str">
        <f>"2670"</f>
        <v>2670</v>
      </c>
      <c r="B2082" t="str">
        <f t="shared" si="127"/>
        <v>1</v>
      </c>
      <c r="C2082" t="str">
        <f t="shared" si="128"/>
        <v>111</v>
      </c>
      <c r="D2082" t="str">
        <f>"18"</f>
        <v>18</v>
      </c>
      <c r="E2082" t="str">
        <f>"1-111-18"</f>
        <v>1-111-18</v>
      </c>
      <c r="F2082" t="s">
        <v>15</v>
      </c>
      <c r="G2082" t="s">
        <v>16</v>
      </c>
      <c r="H2082" t="s">
        <v>17</v>
      </c>
      <c r="I2082">
        <v>1</v>
      </c>
      <c r="J2082">
        <v>0</v>
      </c>
      <c r="K2082">
        <v>0</v>
      </c>
    </row>
    <row r="2083" spans="1:11" x14ac:dyDescent="0.25">
      <c r="A2083" t="str">
        <f>"2672"</f>
        <v>2672</v>
      </c>
      <c r="B2083" t="str">
        <f t="shared" si="127"/>
        <v>1</v>
      </c>
      <c r="C2083" t="str">
        <f t="shared" si="128"/>
        <v>111</v>
      </c>
      <c r="D2083" t="str">
        <f>"19"</f>
        <v>19</v>
      </c>
      <c r="E2083" t="str">
        <f>"1-111-19"</f>
        <v>1-111-19</v>
      </c>
      <c r="F2083" t="s">
        <v>15</v>
      </c>
      <c r="G2083" t="s">
        <v>16</v>
      </c>
      <c r="H2083" t="s">
        <v>17</v>
      </c>
      <c r="I2083">
        <v>0</v>
      </c>
      <c r="J2083">
        <v>1</v>
      </c>
      <c r="K2083">
        <v>0</v>
      </c>
    </row>
    <row r="2084" spans="1:11" x14ac:dyDescent="0.25">
      <c r="A2084" t="str">
        <f>"2673"</f>
        <v>2673</v>
      </c>
      <c r="B2084" t="str">
        <f t="shared" si="127"/>
        <v>1</v>
      </c>
      <c r="C2084" t="str">
        <f t="shared" si="128"/>
        <v>111</v>
      </c>
      <c r="D2084" t="str">
        <f>"7"</f>
        <v>7</v>
      </c>
      <c r="E2084" t="str">
        <f>"1-111-7"</f>
        <v>1-111-7</v>
      </c>
      <c r="F2084" t="s">
        <v>15</v>
      </c>
      <c r="G2084" t="s">
        <v>16</v>
      </c>
      <c r="H2084" t="s">
        <v>17</v>
      </c>
      <c r="I2084">
        <v>0</v>
      </c>
      <c r="J2084">
        <v>0</v>
      </c>
      <c r="K2084">
        <v>1</v>
      </c>
    </row>
    <row r="2085" spans="1:11" x14ac:dyDescent="0.25">
      <c r="A2085" t="str">
        <f>"2674"</f>
        <v>2674</v>
      </c>
      <c r="B2085" t="str">
        <f t="shared" si="127"/>
        <v>1</v>
      </c>
      <c r="C2085" t="str">
        <f t="shared" si="128"/>
        <v>111</v>
      </c>
      <c r="D2085" t="str">
        <f>"20"</f>
        <v>20</v>
      </c>
      <c r="E2085" t="str">
        <f>"1-111-20"</f>
        <v>1-111-20</v>
      </c>
      <c r="F2085" t="s">
        <v>15</v>
      </c>
      <c r="G2085" t="s">
        <v>16</v>
      </c>
      <c r="H2085" t="s">
        <v>17</v>
      </c>
      <c r="I2085">
        <v>1</v>
      </c>
      <c r="J2085">
        <v>0</v>
      </c>
      <c r="K2085">
        <v>0</v>
      </c>
    </row>
    <row r="2086" spans="1:11" x14ac:dyDescent="0.25">
      <c r="A2086" t="str">
        <f>"2675"</f>
        <v>2675</v>
      </c>
      <c r="B2086" t="str">
        <f t="shared" si="127"/>
        <v>1</v>
      </c>
      <c r="C2086" t="str">
        <f t="shared" si="128"/>
        <v>111</v>
      </c>
      <c r="D2086" t="str">
        <f>"8"</f>
        <v>8</v>
      </c>
      <c r="E2086" t="str">
        <f>"1-111-8"</f>
        <v>1-111-8</v>
      </c>
      <c r="F2086" t="s">
        <v>15</v>
      </c>
      <c r="G2086" t="s">
        <v>20</v>
      </c>
      <c r="H2086" t="s">
        <v>21</v>
      </c>
      <c r="I2086">
        <v>0</v>
      </c>
      <c r="J2086">
        <v>0</v>
      </c>
      <c r="K2086">
        <v>1</v>
      </c>
    </row>
    <row r="2087" spans="1:11" x14ac:dyDescent="0.25">
      <c r="A2087" t="str">
        <f>"2676"</f>
        <v>2676</v>
      </c>
      <c r="B2087" t="str">
        <f t="shared" si="127"/>
        <v>1</v>
      </c>
      <c r="C2087" t="str">
        <f t="shared" si="128"/>
        <v>111</v>
      </c>
      <c r="D2087" t="str">
        <f>"21"</f>
        <v>21</v>
      </c>
      <c r="E2087" t="str">
        <f>"1-111-21"</f>
        <v>1-111-21</v>
      </c>
      <c r="F2087" t="s">
        <v>15</v>
      </c>
      <c r="G2087" t="s">
        <v>16</v>
      </c>
      <c r="H2087" t="s">
        <v>17</v>
      </c>
      <c r="I2087">
        <v>1</v>
      </c>
      <c r="J2087">
        <v>0</v>
      </c>
      <c r="K2087">
        <v>0</v>
      </c>
    </row>
    <row r="2088" spans="1:11" x14ac:dyDescent="0.25">
      <c r="A2088" t="str">
        <f>"2677"</f>
        <v>2677</v>
      </c>
      <c r="B2088" t="str">
        <f t="shared" si="127"/>
        <v>1</v>
      </c>
      <c r="C2088" t="str">
        <f t="shared" si="128"/>
        <v>111</v>
      </c>
      <c r="D2088" t="str">
        <f>"14"</f>
        <v>14</v>
      </c>
      <c r="E2088" t="str">
        <f>"1-111-14"</f>
        <v>1-111-14</v>
      </c>
      <c r="F2088" t="s">
        <v>15</v>
      </c>
      <c r="G2088" t="s">
        <v>16</v>
      </c>
      <c r="H2088" t="s">
        <v>17</v>
      </c>
      <c r="I2088">
        <v>0</v>
      </c>
      <c r="J2088">
        <v>0</v>
      </c>
      <c r="K2088">
        <v>1</v>
      </c>
    </row>
    <row r="2089" spans="1:11" x14ac:dyDescent="0.25">
      <c r="A2089" t="str">
        <f>"2678"</f>
        <v>2678</v>
      </c>
      <c r="B2089" t="str">
        <f t="shared" si="127"/>
        <v>1</v>
      </c>
      <c r="C2089" t="str">
        <f t="shared" si="128"/>
        <v>111</v>
      </c>
      <c r="D2089" t="str">
        <f>"22"</f>
        <v>22</v>
      </c>
      <c r="E2089" t="str">
        <f>"1-111-22"</f>
        <v>1-111-22</v>
      </c>
      <c r="F2089" t="s">
        <v>15</v>
      </c>
      <c r="G2089" t="s">
        <v>16</v>
      </c>
      <c r="H2089" t="s">
        <v>17</v>
      </c>
      <c r="I2089">
        <v>0</v>
      </c>
      <c r="J2089">
        <v>0</v>
      </c>
      <c r="K2089">
        <v>1</v>
      </c>
    </row>
    <row r="2090" spans="1:11" x14ac:dyDescent="0.25">
      <c r="A2090" t="str">
        <f>"2679"</f>
        <v>2679</v>
      </c>
      <c r="B2090" t="str">
        <f t="shared" si="127"/>
        <v>1</v>
      </c>
      <c r="C2090" t="str">
        <f t="shared" si="128"/>
        <v>111</v>
      </c>
      <c r="D2090" t="str">
        <f>"13"</f>
        <v>13</v>
      </c>
      <c r="E2090" t="str">
        <f>"1-111-13"</f>
        <v>1-111-13</v>
      </c>
      <c r="F2090" t="s">
        <v>15</v>
      </c>
      <c r="G2090" t="s">
        <v>16</v>
      </c>
      <c r="H2090" t="s">
        <v>17</v>
      </c>
      <c r="I2090">
        <v>0</v>
      </c>
      <c r="J2090">
        <v>0</v>
      </c>
      <c r="K2090">
        <v>1</v>
      </c>
    </row>
    <row r="2091" spans="1:11" x14ac:dyDescent="0.25">
      <c r="A2091" t="str">
        <f>"2680"</f>
        <v>2680</v>
      </c>
      <c r="B2091" t="str">
        <f t="shared" si="127"/>
        <v>1</v>
      </c>
      <c r="C2091" t="str">
        <f t="shared" si="128"/>
        <v>111</v>
      </c>
      <c r="D2091" t="str">
        <f>"23"</f>
        <v>23</v>
      </c>
      <c r="E2091" t="str">
        <f>"1-111-23"</f>
        <v>1-111-23</v>
      </c>
      <c r="F2091" t="s">
        <v>15</v>
      </c>
      <c r="G2091" t="s">
        <v>18</v>
      </c>
      <c r="H2091" t="s">
        <v>19</v>
      </c>
      <c r="I2091">
        <v>0</v>
      </c>
      <c r="J2091">
        <v>0</v>
      </c>
      <c r="K2091">
        <v>1</v>
      </c>
    </row>
    <row r="2092" spans="1:11" x14ac:dyDescent="0.25">
      <c r="A2092" t="str">
        <f>"2681"</f>
        <v>2681</v>
      </c>
      <c r="B2092" t="str">
        <f t="shared" si="127"/>
        <v>1</v>
      </c>
      <c r="C2092" t="str">
        <f t="shared" si="128"/>
        <v>111</v>
      </c>
      <c r="D2092" t="str">
        <f>"5"</f>
        <v>5</v>
      </c>
      <c r="E2092" t="str">
        <f>"1-111-5"</f>
        <v>1-111-5</v>
      </c>
      <c r="F2092" t="s">
        <v>15</v>
      </c>
      <c r="G2092" t="s">
        <v>16</v>
      </c>
      <c r="H2092" t="s">
        <v>17</v>
      </c>
      <c r="I2092">
        <v>0</v>
      </c>
      <c r="J2092">
        <v>1</v>
      </c>
      <c r="K2092">
        <v>0</v>
      </c>
    </row>
    <row r="2093" spans="1:11" x14ac:dyDescent="0.25">
      <c r="A2093" t="str">
        <f>"2682"</f>
        <v>2682</v>
      </c>
      <c r="B2093" t="str">
        <f t="shared" si="127"/>
        <v>1</v>
      </c>
      <c r="C2093" t="str">
        <f t="shared" si="128"/>
        <v>111</v>
      </c>
      <c r="D2093" t="str">
        <f>"24"</f>
        <v>24</v>
      </c>
      <c r="E2093" t="str">
        <f>"1-111-24"</f>
        <v>1-111-24</v>
      </c>
      <c r="F2093" t="s">
        <v>15</v>
      </c>
      <c r="G2093" t="s">
        <v>18</v>
      </c>
      <c r="H2093" t="s">
        <v>19</v>
      </c>
      <c r="I2093">
        <v>0</v>
      </c>
      <c r="J2093">
        <v>0</v>
      </c>
      <c r="K2093">
        <v>1</v>
      </c>
    </row>
    <row r="2094" spans="1:11" x14ac:dyDescent="0.25">
      <c r="A2094" t="str">
        <f>"2683"</f>
        <v>2683</v>
      </c>
      <c r="B2094" t="str">
        <f t="shared" si="127"/>
        <v>1</v>
      </c>
      <c r="C2094" t="str">
        <f t="shared" si="128"/>
        <v>111</v>
      </c>
      <c r="D2094" t="str">
        <f>"9"</f>
        <v>9</v>
      </c>
      <c r="E2094" t="str">
        <f>"1-111-9"</f>
        <v>1-111-9</v>
      </c>
      <c r="F2094" t="s">
        <v>15</v>
      </c>
      <c r="G2094" t="s">
        <v>20</v>
      </c>
      <c r="H2094" t="s">
        <v>21</v>
      </c>
      <c r="I2094">
        <v>0</v>
      </c>
      <c r="J2094">
        <v>0</v>
      </c>
      <c r="K2094">
        <v>1</v>
      </c>
    </row>
    <row r="2095" spans="1:11" x14ac:dyDescent="0.25">
      <c r="A2095" t="str">
        <f>"2684"</f>
        <v>2684</v>
      </c>
      <c r="B2095" t="str">
        <f t="shared" si="127"/>
        <v>1</v>
      </c>
      <c r="C2095" t="str">
        <f t="shared" si="128"/>
        <v>111</v>
      </c>
      <c r="D2095" t="str">
        <f>"25"</f>
        <v>25</v>
      </c>
      <c r="E2095" t="str">
        <f>"1-111-25"</f>
        <v>1-111-25</v>
      </c>
      <c r="F2095" t="s">
        <v>15</v>
      </c>
      <c r="G2095" t="s">
        <v>18</v>
      </c>
      <c r="H2095" t="s">
        <v>19</v>
      </c>
      <c r="I2095">
        <v>0</v>
      </c>
      <c r="J2095">
        <v>0</v>
      </c>
      <c r="K2095">
        <v>1</v>
      </c>
    </row>
    <row r="2096" spans="1:11" x14ac:dyDescent="0.25">
      <c r="A2096" t="str">
        <f>"2685"</f>
        <v>2685</v>
      </c>
      <c r="B2096" t="str">
        <f t="shared" si="127"/>
        <v>1</v>
      </c>
      <c r="C2096" t="str">
        <f t="shared" si="128"/>
        <v>111</v>
      </c>
      <c r="D2096" t="str">
        <f>"1"</f>
        <v>1</v>
      </c>
      <c r="E2096" t="str">
        <f>"1-111-1"</f>
        <v>1-111-1</v>
      </c>
      <c r="F2096" t="s">
        <v>15</v>
      </c>
      <c r="G2096" t="s">
        <v>16</v>
      </c>
      <c r="H2096" t="s">
        <v>17</v>
      </c>
      <c r="I2096">
        <v>1</v>
      </c>
      <c r="J2096">
        <v>0</v>
      </c>
      <c r="K2096">
        <v>0</v>
      </c>
    </row>
    <row r="2097" spans="1:11" x14ac:dyDescent="0.25">
      <c r="A2097" t="str">
        <f>"2686"</f>
        <v>2686</v>
      </c>
      <c r="B2097" t="str">
        <f t="shared" si="127"/>
        <v>1</v>
      </c>
      <c r="C2097" t="str">
        <f t="shared" si="128"/>
        <v>111</v>
      </c>
      <c r="D2097" t="str">
        <f>"28"</f>
        <v>28</v>
      </c>
      <c r="E2097" t="str">
        <f>"1-111-28"</f>
        <v>1-111-28</v>
      </c>
      <c r="F2097" t="s">
        <v>15</v>
      </c>
      <c r="G2097" t="s">
        <v>18</v>
      </c>
      <c r="H2097" t="s">
        <v>19</v>
      </c>
      <c r="I2097">
        <v>1</v>
      </c>
      <c r="J2097">
        <v>0</v>
      </c>
      <c r="K2097">
        <v>0</v>
      </c>
    </row>
    <row r="2098" spans="1:11" x14ac:dyDescent="0.25">
      <c r="A2098" t="str">
        <f>"2687"</f>
        <v>2687</v>
      </c>
      <c r="B2098" t="str">
        <f t="shared" si="127"/>
        <v>1</v>
      </c>
      <c r="C2098" t="str">
        <f t="shared" si="128"/>
        <v>111</v>
      </c>
      <c r="D2098" t="str">
        <f>"4"</f>
        <v>4</v>
      </c>
      <c r="E2098" t="str">
        <f>"1-111-4"</f>
        <v>1-111-4</v>
      </c>
      <c r="F2098" t="s">
        <v>15</v>
      </c>
      <c r="G2098" t="s">
        <v>16</v>
      </c>
      <c r="H2098" t="s">
        <v>17</v>
      </c>
      <c r="I2098">
        <v>1</v>
      </c>
      <c r="J2098">
        <v>0</v>
      </c>
      <c r="K2098">
        <v>0</v>
      </c>
    </row>
    <row r="2099" spans="1:11" x14ac:dyDescent="0.25">
      <c r="A2099" t="str">
        <f>"2688"</f>
        <v>2688</v>
      </c>
      <c r="B2099" t="str">
        <f t="shared" si="127"/>
        <v>1</v>
      </c>
      <c r="C2099" t="str">
        <f t="shared" si="128"/>
        <v>111</v>
      </c>
      <c r="D2099" t="str">
        <f>"29"</f>
        <v>29</v>
      </c>
      <c r="E2099" t="str">
        <f>"1-111-29"</f>
        <v>1-111-29</v>
      </c>
      <c r="F2099" t="s">
        <v>15</v>
      </c>
      <c r="G2099" t="s">
        <v>16</v>
      </c>
      <c r="H2099" t="s">
        <v>17</v>
      </c>
      <c r="I2099">
        <v>0</v>
      </c>
      <c r="J2099">
        <v>1</v>
      </c>
      <c r="K2099">
        <v>0</v>
      </c>
    </row>
    <row r="2100" spans="1:11" x14ac:dyDescent="0.25">
      <c r="A2100" t="str">
        <f>"2689"</f>
        <v>2689</v>
      </c>
      <c r="B2100" t="str">
        <f t="shared" si="127"/>
        <v>1</v>
      </c>
      <c r="C2100" t="str">
        <f t="shared" si="128"/>
        <v>111</v>
      </c>
      <c r="D2100" t="str">
        <f>"11"</f>
        <v>11</v>
      </c>
      <c r="E2100" t="str">
        <f>"1-111-11"</f>
        <v>1-111-11</v>
      </c>
      <c r="F2100" t="s">
        <v>15</v>
      </c>
      <c r="G2100" t="s">
        <v>16</v>
      </c>
      <c r="H2100" t="s">
        <v>17</v>
      </c>
      <c r="I2100">
        <v>1</v>
      </c>
      <c r="J2100">
        <v>0</v>
      </c>
      <c r="K2100">
        <v>0</v>
      </c>
    </row>
    <row r="2101" spans="1:11" x14ac:dyDescent="0.25">
      <c r="A2101" t="str">
        <f>"2690"</f>
        <v>2690</v>
      </c>
      <c r="B2101" t="str">
        <f t="shared" si="127"/>
        <v>1</v>
      </c>
      <c r="C2101" t="str">
        <f t="shared" si="128"/>
        <v>111</v>
      </c>
      <c r="D2101" t="str">
        <f>"12"</f>
        <v>12</v>
      </c>
      <c r="E2101" t="str">
        <f>"1-111-12"</f>
        <v>1-111-12</v>
      </c>
      <c r="F2101" t="s">
        <v>15</v>
      </c>
      <c r="G2101" t="s">
        <v>16</v>
      </c>
      <c r="H2101" t="s">
        <v>17</v>
      </c>
      <c r="I2101">
        <v>0</v>
      </c>
      <c r="J2101">
        <v>1</v>
      </c>
      <c r="K2101">
        <v>0</v>
      </c>
    </row>
    <row r="2102" spans="1:11" x14ac:dyDescent="0.25">
      <c r="A2102" t="str">
        <f>"2691"</f>
        <v>2691</v>
      </c>
      <c r="B2102" t="str">
        <f t="shared" si="127"/>
        <v>1</v>
      </c>
      <c r="C2102" t="str">
        <f t="shared" si="128"/>
        <v>111</v>
      </c>
      <c r="D2102" t="str">
        <f>"2"</f>
        <v>2</v>
      </c>
      <c r="E2102" t="str">
        <f>"1-111-2"</f>
        <v>1-111-2</v>
      </c>
      <c r="F2102" t="s">
        <v>15</v>
      </c>
      <c r="G2102" t="s">
        <v>18</v>
      </c>
      <c r="H2102" t="s">
        <v>19</v>
      </c>
      <c r="I2102">
        <v>1</v>
      </c>
      <c r="J2102">
        <v>0</v>
      </c>
      <c r="K2102">
        <v>0</v>
      </c>
    </row>
    <row r="2103" spans="1:11" x14ac:dyDescent="0.25">
      <c r="A2103" t="str">
        <f>"2692"</f>
        <v>2692</v>
      </c>
      <c r="B2103" t="str">
        <f t="shared" si="127"/>
        <v>1</v>
      </c>
      <c r="C2103" t="str">
        <f t="shared" si="128"/>
        <v>111</v>
      </c>
      <c r="D2103" t="str">
        <f>"17"</f>
        <v>17</v>
      </c>
      <c r="E2103" t="str">
        <f>"1-111-17"</f>
        <v>1-111-17</v>
      </c>
      <c r="F2103" t="s">
        <v>15</v>
      </c>
      <c r="G2103" t="s">
        <v>16</v>
      </c>
      <c r="H2103" t="s">
        <v>17</v>
      </c>
      <c r="I2103">
        <v>0</v>
      </c>
      <c r="J2103">
        <v>0</v>
      </c>
      <c r="K2103">
        <v>0</v>
      </c>
    </row>
    <row r="2104" spans="1:11" x14ac:dyDescent="0.25">
      <c r="A2104" t="str">
        <f>"2693"</f>
        <v>2693</v>
      </c>
      <c r="B2104" t="str">
        <f t="shared" si="127"/>
        <v>1</v>
      </c>
      <c r="C2104" t="str">
        <f t="shared" ref="C2104:C2121" si="129">"112"</f>
        <v>112</v>
      </c>
      <c r="D2104" t="str">
        <f>"15"</f>
        <v>15</v>
      </c>
      <c r="E2104" t="str">
        <f>"1-112-15"</f>
        <v>1-112-15</v>
      </c>
      <c r="F2104" t="s">
        <v>15</v>
      </c>
      <c r="G2104" t="s">
        <v>18</v>
      </c>
      <c r="H2104" t="s">
        <v>19</v>
      </c>
      <c r="I2104">
        <v>0</v>
      </c>
      <c r="J2104">
        <v>0</v>
      </c>
      <c r="K2104">
        <v>1</v>
      </c>
    </row>
    <row r="2105" spans="1:11" x14ac:dyDescent="0.25">
      <c r="A2105" t="str">
        <f>"2694"</f>
        <v>2694</v>
      </c>
      <c r="B2105" t="str">
        <f t="shared" si="127"/>
        <v>1</v>
      </c>
      <c r="C2105" t="str">
        <f t="shared" si="129"/>
        <v>112</v>
      </c>
      <c r="D2105" t="str">
        <f>"7"</f>
        <v>7</v>
      </c>
      <c r="E2105" t="str">
        <f>"1-112-7"</f>
        <v>1-112-7</v>
      </c>
      <c r="F2105" t="s">
        <v>15</v>
      </c>
      <c r="G2105" t="s">
        <v>18</v>
      </c>
      <c r="H2105" t="s">
        <v>19</v>
      </c>
      <c r="I2105">
        <v>1</v>
      </c>
      <c r="J2105">
        <v>0</v>
      </c>
      <c r="K2105">
        <v>0</v>
      </c>
    </row>
    <row r="2106" spans="1:11" x14ac:dyDescent="0.25">
      <c r="A2106" t="str">
        <f>"2695"</f>
        <v>2695</v>
      </c>
      <c r="B2106" t="str">
        <f t="shared" si="127"/>
        <v>1</v>
      </c>
      <c r="C2106" t="str">
        <f t="shared" si="129"/>
        <v>112</v>
      </c>
      <c r="D2106" t="str">
        <f>"16"</f>
        <v>16</v>
      </c>
      <c r="E2106" t="str">
        <f>"1-112-16"</f>
        <v>1-112-16</v>
      </c>
      <c r="F2106" t="s">
        <v>15</v>
      </c>
      <c r="G2106" t="s">
        <v>16</v>
      </c>
      <c r="H2106" t="s">
        <v>17</v>
      </c>
      <c r="I2106">
        <v>0</v>
      </c>
      <c r="J2106">
        <v>1</v>
      </c>
      <c r="K2106">
        <v>0</v>
      </c>
    </row>
    <row r="2107" spans="1:11" x14ac:dyDescent="0.25">
      <c r="A2107" t="str">
        <f>"2696"</f>
        <v>2696</v>
      </c>
      <c r="B2107" t="str">
        <f t="shared" si="127"/>
        <v>1</v>
      </c>
      <c r="C2107" t="str">
        <f t="shared" si="129"/>
        <v>112</v>
      </c>
      <c r="D2107" t="str">
        <f>"4"</f>
        <v>4</v>
      </c>
      <c r="E2107" t="str">
        <f>"1-112-4"</f>
        <v>1-112-4</v>
      </c>
      <c r="F2107" t="s">
        <v>15</v>
      </c>
      <c r="G2107" t="s">
        <v>18</v>
      </c>
      <c r="H2107" t="s">
        <v>19</v>
      </c>
      <c r="I2107">
        <v>0</v>
      </c>
      <c r="J2107">
        <v>0</v>
      </c>
      <c r="K2107">
        <v>1</v>
      </c>
    </row>
    <row r="2108" spans="1:11" x14ac:dyDescent="0.25">
      <c r="A2108" t="str">
        <f>"2699"</f>
        <v>2699</v>
      </c>
      <c r="B2108" t="str">
        <f t="shared" si="127"/>
        <v>1</v>
      </c>
      <c r="C2108" t="str">
        <f t="shared" si="129"/>
        <v>112</v>
      </c>
      <c r="D2108" t="str">
        <f>"18"</f>
        <v>18</v>
      </c>
      <c r="E2108" t="str">
        <f>"1-112-18"</f>
        <v>1-112-18</v>
      </c>
      <c r="F2108" t="s">
        <v>15</v>
      </c>
      <c r="G2108" t="s">
        <v>18</v>
      </c>
      <c r="H2108" t="s">
        <v>19</v>
      </c>
      <c r="I2108">
        <v>1</v>
      </c>
      <c r="J2108">
        <v>0</v>
      </c>
      <c r="K2108">
        <v>0</v>
      </c>
    </row>
    <row r="2109" spans="1:11" x14ac:dyDescent="0.25">
      <c r="A2109" t="str">
        <f>"2700"</f>
        <v>2700</v>
      </c>
      <c r="B2109" t="str">
        <f t="shared" si="127"/>
        <v>1</v>
      </c>
      <c r="C2109" t="str">
        <f t="shared" si="129"/>
        <v>112</v>
      </c>
      <c r="D2109" t="str">
        <f>"8"</f>
        <v>8</v>
      </c>
      <c r="E2109" t="str">
        <f>"1-112-8"</f>
        <v>1-112-8</v>
      </c>
      <c r="F2109" t="s">
        <v>15</v>
      </c>
      <c r="G2109" t="s">
        <v>18</v>
      </c>
      <c r="H2109" t="s">
        <v>19</v>
      </c>
      <c r="I2109">
        <v>1</v>
      </c>
      <c r="J2109">
        <v>0</v>
      </c>
      <c r="K2109">
        <v>0</v>
      </c>
    </row>
    <row r="2110" spans="1:11" x14ac:dyDescent="0.25">
      <c r="A2110" t="str">
        <f>"2701"</f>
        <v>2701</v>
      </c>
      <c r="B2110" t="str">
        <f t="shared" si="127"/>
        <v>1</v>
      </c>
      <c r="C2110" t="str">
        <f t="shared" si="129"/>
        <v>112</v>
      </c>
      <c r="D2110" t="str">
        <f>"19"</f>
        <v>19</v>
      </c>
      <c r="E2110" t="str">
        <f>"1-112-19"</f>
        <v>1-112-19</v>
      </c>
      <c r="F2110" t="s">
        <v>15</v>
      </c>
      <c r="G2110" t="s">
        <v>18</v>
      </c>
      <c r="H2110" t="s">
        <v>19</v>
      </c>
      <c r="I2110">
        <v>0</v>
      </c>
      <c r="J2110">
        <v>1</v>
      </c>
      <c r="K2110">
        <v>0</v>
      </c>
    </row>
    <row r="2111" spans="1:11" x14ac:dyDescent="0.25">
      <c r="A2111" t="str">
        <f>"2703"</f>
        <v>2703</v>
      </c>
      <c r="B2111" t="str">
        <f t="shared" si="127"/>
        <v>1</v>
      </c>
      <c r="C2111" t="str">
        <f t="shared" si="129"/>
        <v>112</v>
      </c>
      <c r="D2111" t="str">
        <f>"20"</f>
        <v>20</v>
      </c>
      <c r="E2111" t="str">
        <f>"1-112-20"</f>
        <v>1-112-20</v>
      </c>
      <c r="F2111" t="s">
        <v>15</v>
      </c>
      <c r="G2111" t="s">
        <v>18</v>
      </c>
      <c r="H2111" t="s">
        <v>19</v>
      </c>
      <c r="I2111">
        <v>0</v>
      </c>
      <c r="J2111">
        <v>0</v>
      </c>
      <c r="K2111">
        <v>1</v>
      </c>
    </row>
    <row r="2112" spans="1:11" x14ac:dyDescent="0.25">
      <c r="A2112" t="str">
        <f>"2705"</f>
        <v>2705</v>
      </c>
      <c r="B2112" t="str">
        <f t="shared" si="127"/>
        <v>1</v>
      </c>
      <c r="C2112" t="str">
        <f t="shared" si="129"/>
        <v>112</v>
      </c>
      <c r="D2112" t="str">
        <f>"21"</f>
        <v>21</v>
      </c>
      <c r="E2112" t="str">
        <f>"1-112-21"</f>
        <v>1-112-21</v>
      </c>
      <c r="F2112" t="s">
        <v>15</v>
      </c>
      <c r="G2112" t="s">
        <v>18</v>
      </c>
      <c r="H2112" t="s">
        <v>19</v>
      </c>
      <c r="I2112">
        <v>0</v>
      </c>
      <c r="J2112">
        <v>1</v>
      </c>
      <c r="K2112">
        <v>0</v>
      </c>
    </row>
    <row r="2113" spans="1:11" x14ac:dyDescent="0.25">
      <c r="A2113" t="str">
        <f>"2707"</f>
        <v>2707</v>
      </c>
      <c r="B2113" t="str">
        <f t="shared" si="127"/>
        <v>1</v>
      </c>
      <c r="C2113" t="str">
        <f t="shared" si="129"/>
        <v>112</v>
      </c>
      <c r="D2113" t="str">
        <f>"22"</f>
        <v>22</v>
      </c>
      <c r="E2113" t="str">
        <f>"1-112-22"</f>
        <v>1-112-22</v>
      </c>
      <c r="F2113" t="s">
        <v>15</v>
      </c>
      <c r="G2113" t="s">
        <v>18</v>
      </c>
      <c r="H2113" t="s">
        <v>19</v>
      </c>
      <c r="I2113">
        <v>0</v>
      </c>
      <c r="J2113">
        <v>0</v>
      </c>
      <c r="K2113">
        <v>1</v>
      </c>
    </row>
    <row r="2114" spans="1:11" x14ac:dyDescent="0.25">
      <c r="A2114" t="str">
        <f>"2709"</f>
        <v>2709</v>
      </c>
      <c r="B2114" t="str">
        <f t="shared" si="127"/>
        <v>1</v>
      </c>
      <c r="C2114" t="str">
        <f t="shared" si="129"/>
        <v>112</v>
      </c>
      <c r="D2114" t="str">
        <f>"23"</f>
        <v>23</v>
      </c>
      <c r="E2114" t="str">
        <f>"1-112-23"</f>
        <v>1-112-23</v>
      </c>
      <c r="F2114" t="s">
        <v>15</v>
      </c>
      <c r="G2114" t="s">
        <v>18</v>
      </c>
      <c r="H2114" t="s">
        <v>19</v>
      </c>
      <c r="I2114">
        <v>0</v>
      </c>
      <c r="J2114">
        <v>0</v>
      </c>
      <c r="K2114">
        <v>1</v>
      </c>
    </row>
    <row r="2115" spans="1:11" x14ac:dyDescent="0.25">
      <c r="A2115" t="str">
        <f>"2710"</f>
        <v>2710</v>
      </c>
      <c r="B2115" t="str">
        <f t="shared" si="127"/>
        <v>1</v>
      </c>
      <c r="C2115" t="str">
        <f t="shared" si="129"/>
        <v>112</v>
      </c>
      <c r="D2115" t="str">
        <f>"2"</f>
        <v>2</v>
      </c>
      <c r="E2115" t="str">
        <f>"1-112-2"</f>
        <v>1-112-2</v>
      </c>
      <c r="F2115" t="s">
        <v>15</v>
      </c>
      <c r="G2115" t="s">
        <v>18</v>
      </c>
      <c r="H2115" t="s">
        <v>19</v>
      </c>
      <c r="I2115">
        <v>0</v>
      </c>
      <c r="J2115">
        <v>0</v>
      </c>
      <c r="K2115">
        <v>1</v>
      </c>
    </row>
    <row r="2116" spans="1:11" x14ac:dyDescent="0.25">
      <c r="A2116" t="str">
        <f>"2711"</f>
        <v>2711</v>
      </c>
      <c r="B2116" t="str">
        <f t="shared" si="127"/>
        <v>1</v>
      </c>
      <c r="C2116" t="str">
        <f t="shared" si="129"/>
        <v>112</v>
      </c>
      <c r="D2116" t="str">
        <f>"24"</f>
        <v>24</v>
      </c>
      <c r="E2116" t="str">
        <f>"1-112-24"</f>
        <v>1-112-24</v>
      </c>
      <c r="F2116" t="s">
        <v>15</v>
      </c>
      <c r="G2116" t="s">
        <v>18</v>
      </c>
      <c r="H2116" t="s">
        <v>19</v>
      </c>
      <c r="I2116">
        <v>0</v>
      </c>
      <c r="J2116">
        <v>1</v>
      </c>
      <c r="K2116">
        <v>0</v>
      </c>
    </row>
    <row r="2117" spans="1:11" x14ac:dyDescent="0.25">
      <c r="A2117" t="str">
        <f>"2712"</f>
        <v>2712</v>
      </c>
      <c r="B2117" t="str">
        <f t="shared" si="127"/>
        <v>1</v>
      </c>
      <c r="C2117" t="str">
        <f t="shared" si="129"/>
        <v>112</v>
      </c>
      <c r="D2117" t="str">
        <f>"13"</f>
        <v>13</v>
      </c>
      <c r="E2117" t="str">
        <f>"1-112-13"</f>
        <v>1-112-13</v>
      </c>
      <c r="F2117" t="s">
        <v>15</v>
      </c>
      <c r="G2117" t="s">
        <v>18</v>
      </c>
      <c r="H2117" t="s">
        <v>19</v>
      </c>
      <c r="I2117">
        <v>0</v>
      </c>
      <c r="J2117">
        <v>0</v>
      </c>
      <c r="K2117">
        <v>1</v>
      </c>
    </row>
    <row r="2118" spans="1:11" x14ac:dyDescent="0.25">
      <c r="A2118" t="str">
        <f>"2713"</f>
        <v>2713</v>
      </c>
      <c r="B2118" t="str">
        <f t="shared" si="127"/>
        <v>1</v>
      </c>
      <c r="C2118" t="str">
        <f t="shared" si="129"/>
        <v>112</v>
      </c>
      <c r="D2118" t="str">
        <f>"25"</f>
        <v>25</v>
      </c>
      <c r="E2118" t="str">
        <f>"1-112-25"</f>
        <v>1-112-25</v>
      </c>
      <c r="F2118" t="s">
        <v>15</v>
      </c>
      <c r="G2118" t="s">
        <v>18</v>
      </c>
      <c r="H2118" t="s">
        <v>19</v>
      </c>
      <c r="I2118">
        <v>0</v>
      </c>
      <c r="J2118">
        <v>1</v>
      </c>
      <c r="K2118">
        <v>0</v>
      </c>
    </row>
    <row r="2119" spans="1:11" x14ac:dyDescent="0.25">
      <c r="A2119" t="str">
        <f>"2714"</f>
        <v>2714</v>
      </c>
      <c r="B2119" t="str">
        <f t="shared" ref="B2119:B2167" si="130">"1"</f>
        <v>1</v>
      </c>
      <c r="C2119" t="str">
        <f t="shared" si="129"/>
        <v>112</v>
      </c>
      <c r="D2119" t="str">
        <f>"14"</f>
        <v>14</v>
      </c>
      <c r="E2119" t="str">
        <f>"1-112-14"</f>
        <v>1-112-14</v>
      </c>
      <c r="F2119" t="s">
        <v>15</v>
      </c>
      <c r="G2119" t="s">
        <v>18</v>
      </c>
      <c r="H2119" t="s">
        <v>19</v>
      </c>
      <c r="I2119">
        <v>1</v>
      </c>
      <c r="J2119">
        <v>0</v>
      </c>
      <c r="K2119">
        <v>0</v>
      </c>
    </row>
    <row r="2120" spans="1:11" x14ac:dyDescent="0.25">
      <c r="A2120" t="str">
        <f>"2716"</f>
        <v>2716</v>
      </c>
      <c r="B2120" t="str">
        <f t="shared" si="130"/>
        <v>1</v>
      </c>
      <c r="C2120" t="str">
        <f t="shared" si="129"/>
        <v>112</v>
      </c>
      <c r="D2120" t="str">
        <f>"5"</f>
        <v>5</v>
      </c>
      <c r="E2120" t="str">
        <f>"1-112-5"</f>
        <v>1-112-5</v>
      </c>
      <c r="F2120" t="s">
        <v>15</v>
      </c>
      <c r="G2120" t="s">
        <v>18</v>
      </c>
      <c r="H2120" t="s">
        <v>19</v>
      </c>
      <c r="I2120">
        <v>0</v>
      </c>
      <c r="J2120">
        <v>0</v>
      </c>
      <c r="K2120">
        <v>1</v>
      </c>
    </row>
    <row r="2121" spans="1:11" x14ac:dyDescent="0.25">
      <c r="A2121" t="str">
        <f>"2717"</f>
        <v>2717</v>
      </c>
      <c r="B2121" t="str">
        <f t="shared" si="130"/>
        <v>1</v>
      </c>
      <c r="C2121" t="str">
        <f t="shared" si="129"/>
        <v>112</v>
      </c>
      <c r="D2121" t="str">
        <f>"6"</f>
        <v>6</v>
      </c>
      <c r="E2121" t="str">
        <f>"1-112-6"</f>
        <v>1-112-6</v>
      </c>
      <c r="F2121" t="s">
        <v>15</v>
      </c>
      <c r="G2121" t="s">
        <v>16</v>
      </c>
      <c r="H2121" t="s">
        <v>17</v>
      </c>
      <c r="I2121">
        <v>0</v>
      </c>
      <c r="J2121">
        <v>0</v>
      </c>
      <c r="K2121">
        <v>0</v>
      </c>
    </row>
    <row r="2122" spans="1:11" x14ac:dyDescent="0.25">
      <c r="A2122" t="str">
        <f>"2718"</f>
        <v>2718</v>
      </c>
      <c r="B2122" t="str">
        <f t="shared" si="130"/>
        <v>1</v>
      </c>
      <c r="C2122" t="str">
        <f t="shared" ref="C2122:C2141" si="131">"113"</f>
        <v>113</v>
      </c>
      <c r="D2122" t="str">
        <f>"20"</f>
        <v>20</v>
      </c>
      <c r="E2122" t="str">
        <f>"1-113-20"</f>
        <v>1-113-20</v>
      </c>
      <c r="F2122" t="s">
        <v>15</v>
      </c>
      <c r="G2122" t="s">
        <v>18</v>
      </c>
      <c r="H2122" t="s">
        <v>19</v>
      </c>
      <c r="I2122">
        <v>0</v>
      </c>
      <c r="J2122">
        <v>0</v>
      </c>
      <c r="K2122">
        <v>1</v>
      </c>
    </row>
    <row r="2123" spans="1:11" x14ac:dyDescent="0.25">
      <c r="A2123" t="str">
        <f>"2719"</f>
        <v>2719</v>
      </c>
      <c r="B2123" t="str">
        <f t="shared" si="130"/>
        <v>1</v>
      </c>
      <c r="C2123" t="str">
        <f t="shared" si="131"/>
        <v>113</v>
      </c>
      <c r="D2123" t="str">
        <f>"15"</f>
        <v>15</v>
      </c>
      <c r="E2123" t="str">
        <f>"1-113-15"</f>
        <v>1-113-15</v>
      </c>
      <c r="F2123" t="s">
        <v>15</v>
      </c>
      <c r="G2123" t="s">
        <v>16</v>
      </c>
      <c r="H2123" t="s">
        <v>17</v>
      </c>
      <c r="I2123">
        <v>0</v>
      </c>
      <c r="J2123">
        <v>1</v>
      </c>
      <c r="K2123">
        <v>0</v>
      </c>
    </row>
    <row r="2124" spans="1:11" x14ac:dyDescent="0.25">
      <c r="A2124" t="str">
        <f>"2721"</f>
        <v>2721</v>
      </c>
      <c r="B2124" t="str">
        <f t="shared" si="130"/>
        <v>1</v>
      </c>
      <c r="C2124" t="str">
        <f t="shared" si="131"/>
        <v>113</v>
      </c>
      <c r="D2124" t="str">
        <f>"16"</f>
        <v>16</v>
      </c>
      <c r="E2124" t="str">
        <f>"1-113-16"</f>
        <v>1-113-16</v>
      </c>
      <c r="F2124" t="s">
        <v>15</v>
      </c>
      <c r="G2124" t="s">
        <v>16</v>
      </c>
      <c r="H2124" t="s">
        <v>17</v>
      </c>
      <c r="I2124">
        <v>0</v>
      </c>
      <c r="J2124">
        <v>1</v>
      </c>
      <c r="K2124">
        <v>0</v>
      </c>
    </row>
    <row r="2125" spans="1:11" x14ac:dyDescent="0.25">
      <c r="A2125" t="str">
        <f>"2722"</f>
        <v>2722</v>
      </c>
      <c r="B2125" t="str">
        <f t="shared" si="130"/>
        <v>1</v>
      </c>
      <c r="C2125" t="str">
        <f t="shared" si="131"/>
        <v>113</v>
      </c>
      <c r="D2125" t="str">
        <f>"3"</f>
        <v>3</v>
      </c>
      <c r="E2125" t="str">
        <f>"1-113-3"</f>
        <v>1-113-3</v>
      </c>
      <c r="F2125" t="s">
        <v>15</v>
      </c>
      <c r="G2125" t="s">
        <v>16</v>
      </c>
      <c r="H2125" t="s">
        <v>17</v>
      </c>
      <c r="I2125">
        <v>0</v>
      </c>
      <c r="J2125">
        <v>1</v>
      </c>
      <c r="K2125">
        <v>0</v>
      </c>
    </row>
    <row r="2126" spans="1:11" x14ac:dyDescent="0.25">
      <c r="A2126" t="str">
        <f>"2723"</f>
        <v>2723</v>
      </c>
      <c r="B2126" t="str">
        <f t="shared" si="130"/>
        <v>1</v>
      </c>
      <c r="C2126" t="str">
        <f t="shared" si="131"/>
        <v>113</v>
      </c>
      <c r="D2126" t="str">
        <f>"17"</f>
        <v>17</v>
      </c>
      <c r="E2126" t="str">
        <f>"1-113-17"</f>
        <v>1-113-17</v>
      </c>
      <c r="F2126" t="s">
        <v>15</v>
      </c>
      <c r="G2126" t="s">
        <v>18</v>
      </c>
      <c r="H2126" t="s">
        <v>19</v>
      </c>
      <c r="I2126">
        <v>0</v>
      </c>
      <c r="J2126">
        <v>0</v>
      </c>
      <c r="K2126">
        <v>1</v>
      </c>
    </row>
    <row r="2127" spans="1:11" x14ac:dyDescent="0.25">
      <c r="A2127" t="str">
        <f>"2725"</f>
        <v>2725</v>
      </c>
      <c r="B2127" t="str">
        <f t="shared" si="130"/>
        <v>1</v>
      </c>
      <c r="C2127" t="str">
        <f t="shared" si="131"/>
        <v>113</v>
      </c>
      <c r="D2127" t="str">
        <f>"18"</f>
        <v>18</v>
      </c>
      <c r="E2127" t="str">
        <f>"1-113-18"</f>
        <v>1-113-18</v>
      </c>
      <c r="F2127" t="s">
        <v>15</v>
      </c>
      <c r="G2127" t="s">
        <v>16</v>
      </c>
      <c r="H2127" t="s">
        <v>17</v>
      </c>
      <c r="I2127">
        <v>0</v>
      </c>
      <c r="J2127">
        <v>1</v>
      </c>
      <c r="K2127">
        <v>0</v>
      </c>
    </row>
    <row r="2128" spans="1:11" x14ac:dyDescent="0.25">
      <c r="A2128" t="str">
        <f>"2726"</f>
        <v>2726</v>
      </c>
      <c r="B2128" t="str">
        <f t="shared" si="130"/>
        <v>1</v>
      </c>
      <c r="C2128" t="str">
        <f t="shared" si="131"/>
        <v>113</v>
      </c>
      <c r="D2128" t="str">
        <f>"19"</f>
        <v>19</v>
      </c>
      <c r="E2128" t="str">
        <f>"1-113-19"</f>
        <v>1-113-19</v>
      </c>
      <c r="F2128" t="s">
        <v>15</v>
      </c>
      <c r="G2128" t="s">
        <v>16</v>
      </c>
      <c r="H2128" t="s">
        <v>17</v>
      </c>
      <c r="I2128">
        <v>0</v>
      </c>
      <c r="J2128">
        <v>0</v>
      </c>
      <c r="K2128">
        <v>1</v>
      </c>
    </row>
    <row r="2129" spans="1:11" x14ac:dyDescent="0.25">
      <c r="A2129" t="str">
        <f>"2728"</f>
        <v>2728</v>
      </c>
      <c r="B2129" t="str">
        <f t="shared" si="130"/>
        <v>1</v>
      </c>
      <c r="C2129" t="str">
        <f t="shared" si="131"/>
        <v>113</v>
      </c>
      <c r="D2129" t="str">
        <f>"21"</f>
        <v>21</v>
      </c>
      <c r="E2129" t="str">
        <f>"1-113-21"</f>
        <v>1-113-21</v>
      </c>
      <c r="F2129" t="s">
        <v>15</v>
      </c>
      <c r="G2129" t="s">
        <v>16</v>
      </c>
      <c r="H2129" t="s">
        <v>17</v>
      </c>
      <c r="I2129">
        <v>0</v>
      </c>
      <c r="J2129">
        <v>1</v>
      </c>
      <c r="K2129">
        <v>0</v>
      </c>
    </row>
    <row r="2130" spans="1:11" x14ac:dyDescent="0.25">
      <c r="A2130" t="str">
        <f>"2729"</f>
        <v>2729</v>
      </c>
      <c r="B2130" t="str">
        <f t="shared" si="130"/>
        <v>1</v>
      </c>
      <c r="C2130" t="str">
        <f t="shared" si="131"/>
        <v>113</v>
      </c>
      <c r="D2130" t="str">
        <f>"13"</f>
        <v>13</v>
      </c>
      <c r="E2130" t="str">
        <f>"1-113-13"</f>
        <v>1-113-13</v>
      </c>
      <c r="F2130" t="s">
        <v>15</v>
      </c>
      <c r="G2130" t="s">
        <v>18</v>
      </c>
      <c r="H2130" t="s">
        <v>19</v>
      </c>
      <c r="I2130">
        <v>0</v>
      </c>
      <c r="J2130">
        <v>0</v>
      </c>
      <c r="K2130">
        <v>1</v>
      </c>
    </row>
    <row r="2131" spans="1:11" x14ac:dyDescent="0.25">
      <c r="A2131" t="str">
        <f>"2731"</f>
        <v>2731</v>
      </c>
      <c r="B2131" t="str">
        <f t="shared" si="130"/>
        <v>1</v>
      </c>
      <c r="C2131" t="str">
        <f t="shared" si="131"/>
        <v>113</v>
      </c>
      <c r="D2131" t="str">
        <f>"2"</f>
        <v>2</v>
      </c>
      <c r="E2131" t="str">
        <f>"1-113-2"</f>
        <v>1-113-2</v>
      </c>
      <c r="F2131" t="s">
        <v>15</v>
      </c>
      <c r="G2131" t="s">
        <v>16</v>
      </c>
      <c r="H2131" t="s">
        <v>17</v>
      </c>
      <c r="I2131">
        <v>0</v>
      </c>
      <c r="J2131">
        <v>0</v>
      </c>
      <c r="K2131">
        <v>1</v>
      </c>
    </row>
    <row r="2132" spans="1:11" x14ac:dyDescent="0.25">
      <c r="A2132" t="str">
        <f>"2733"</f>
        <v>2733</v>
      </c>
      <c r="B2132" t="str">
        <f t="shared" si="130"/>
        <v>1</v>
      </c>
      <c r="C2132" t="str">
        <f t="shared" si="131"/>
        <v>113</v>
      </c>
      <c r="D2132" t="str">
        <f>"5"</f>
        <v>5</v>
      </c>
      <c r="E2132" t="str">
        <f>"1-113-5"</f>
        <v>1-113-5</v>
      </c>
      <c r="F2132" t="s">
        <v>15</v>
      </c>
      <c r="G2132" t="s">
        <v>16</v>
      </c>
      <c r="H2132" t="s">
        <v>17</v>
      </c>
      <c r="I2132">
        <v>0</v>
      </c>
      <c r="J2132">
        <v>0</v>
      </c>
      <c r="K2132">
        <v>1</v>
      </c>
    </row>
    <row r="2133" spans="1:11" x14ac:dyDescent="0.25">
      <c r="A2133" t="str">
        <f>"2734"</f>
        <v>2734</v>
      </c>
      <c r="B2133" t="str">
        <f t="shared" si="130"/>
        <v>1</v>
      </c>
      <c r="C2133" t="str">
        <f t="shared" si="131"/>
        <v>113</v>
      </c>
      <c r="D2133" t="str">
        <f>"24"</f>
        <v>24</v>
      </c>
      <c r="E2133" t="str">
        <f>"1-113-24"</f>
        <v>1-113-24</v>
      </c>
      <c r="F2133" t="s">
        <v>15</v>
      </c>
      <c r="G2133" t="s">
        <v>16</v>
      </c>
      <c r="H2133" t="s">
        <v>17</v>
      </c>
      <c r="I2133">
        <v>0</v>
      </c>
      <c r="J2133">
        <v>1</v>
      </c>
      <c r="K2133">
        <v>0</v>
      </c>
    </row>
    <row r="2134" spans="1:11" x14ac:dyDescent="0.25">
      <c r="A2134" t="str">
        <f>"2735"</f>
        <v>2735</v>
      </c>
      <c r="B2134" t="str">
        <f t="shared" si="130"/>
        <v>1</v>
      </c>
      <c r="C2134" t="str">
        <f t="shared" si="131"/>
        <v>113</v>
      </c>
      <c r="D2134" t="str">
        <f>"12"</f>
        <v>12</v>
      </c>
      <c r="E2134" t="str">
        <f>"1-113-12"</f>
        <v>1-113-12</v>
      </c>
      <c r="F2134" t="s">
        <v>15</v>
      </c>
      <c r="G2134" t="s">
        <v>18</v>
      </c>
      <c r="H2134" t="s">
        <v>19</v>
      </c>
      <c r="I2134">
        <v>0</v>
      </c>
      <c r="J2134">
        <v>0</v>
      </c>
      <c r="K2134">
        <v>1</v>
      </c>
    </row>
    <row r="2135" spans="1:11" x14ac:dyDescent="0.25">
      <c r="A2135" t="str">
        <f>"2736"</f>
        <v>2736</v>
      </c>
      <c r="B2135" t="str">
        <f t="shared" si="130"/>
        <v>1</v>
      </c>
      <c r="C2135" t="str">
        <f t="shared" si="131"/>
        <v>113</v>
      </c>
      <c r="D2135" t="str">
        <f>"25"</f>
        <v>25</v>
      </c>
      <c r="E2135" t="str">
        <f>"1-113-25"</f>
        <v>1-113-25</v>
      </c>
      <c r="F2135" t="s">
        <v>15</v>
      </c>
      <c r="G2135" t="s">
        <v>16</v>
      </c>
      <c r="H2135" t="s">
        <v>17</v>
      </c>
      <c r="I2135">
        <v>0</v>
      </c>
      <c r="J2135">
        <v>1</v>
      </c>
      <c r="K2135">
        <v>0</v>
      </c>
    </row>
    <row r="2136" spans="1:11" x14ac:dyDescent="0.25">
      <c r="A2136" t="str">
        <f>"2737"</f>
        <v>2737</v>
      </c>
      <c r="B2136" t="str">
        <f t="shared" si="130"/>
        <v>1</v>
      </c>
      <c r="C2136" t="str">
        <f t="shared" si="131"/>
        <v>113</v>
      </c>
      <c r="D2136" t="str">
        <f>"14"</f>
        <v>14</v>
      </c>
      <c r="E2136" t="str">
        <f>"1-113-14"</f>
        <v>1-113-14</v>
      </c>
      <c r="F2136" t="s">
        <v>15</v>
      </c>
      <c r="G2136" t="s">
        <v>16</v>
      </c>
      <c r="H2136" t="s">
        <v>17</v>
      </c>
      <c r="I2136">
        <v>0</v>
      </c>
      <c r="J2136">
        <v>1</v>
      </c>
      <c r="K2136">
        <v>0</v>
      </c>
    </row>
    <row r="2137" spans="1:11" x14ac:dyDescent="0.25">
      <c r="A2137" t="str">
        <f>"2738"</f>
        <v>2738</v>
      </c>
      <c r="B2137" t="str">
        <f t="shared" si="130"/>
        <v>1</v>
      </c>
      <c r="C2137" t="str">
        <f t="shared" si="131"/>
        <v>113</v>
      </c>
      <c r="D2137" t="str">
        <f>"10"</f>
        <v>10</v>
      </c>
      <c r="E2137" t="str">
        <f>"1-113-10"</f>
        <v>1-113-10</v>
      </c>
      <c r="F2137" t="s">
        <v>15</v>
      </c>
      <c r="G2137" t="s">
        <v>16</v>
      </c>
      <c r="H2137" t="s">
        <v>17</v>
      </c>
      <c r="I2137">
        <v>0</v>
      </c>
      <c r="J2137">
        <v>1</v>
      </c>
      <c r="K2137">
        <v>0</v>
      </c>
    </row>
    <row r="2138" spans="1:11" x14ac:dyDescent="0.25">
      <c r="A2138" t="str">
        <f>"2739"</f>
        <v>2739</v>
      </c>
      <c r="B2138" t="str">
        <f t="shared" si="130"/>
        <v>1</v>
      </c>
      <c r="C2138" t="str">
        <f t="shared" si="131"/>
        <v>113</v>
      </c>
      <c r="D2138" t="str">
        <f>"1"</f>
        <v>1</v>
      </c>
      <c r="E2138" t="str">
        <f>"1-113-1"</f>
        <v>1-113-1</v>
      </c>
      <c r="F2138" t="s">
        <v>15</v>
      </c>
      <c r="G2138" t="s">
        <v>16</v>
      </c>
      <c r="H2138" t="s">
        <v>17</v>
      </c>
      <c r="I2138">
        <v>0</v>
      </c>
      <c r="J2138">
        <v>0</v>
      </c>
      <c r="K2138">
        <v>1</v>
      </c>
    </row>
    <row r="2139" spans="1:11" x14ac:dyDescent="0.25">
      <c r="A2139" t="str">
        <f>"2740"</f>
        <v>2740</v>
      </c>
      <c r="B2139" t="str">
        <f t="shared" si="130"/>
        <v>1</v>
      </c>
      <c r="C2139" t="str">
        <f t="shared" si="131"/>
        <v>113</v>
      </c>
      <c r="D2139" t="str">
        <f>"9"</f>
        <v>9</v>
      </c>
      <c r="E2139" t="str">
        <f>"1-113-9"</f>
        <v>1-113-9</v>
      </c>
      <c r="F2139" t="s">
        <v>15</v>
      </c>
      <c r="G2139" t="s">
        <v>16</v>
      </c>
      <c r="H2139" t="s">
        <v>17</v>
      </c>
      <c r="I2139">
        <v>0</v>
      </c>
      <c r="J2139">
        <v>0</v>
      </c>
      <c r="K2139">
        <v>1</v>
      </c>
    </row>
    <row r="2140" spans="1:11" x14ac:dyDescent="0.25">
      <c r="A2140" t="str">
        <f>"2741"</f>
        <v>2741</v>
      </c>
      <c r="B2140" t="str">
        <f t="shared" si="130"/>
        <v>1</v>
      </c>
      <c r="C2140" t="str">
        <f t="shared" si="131"/>
        <v>113</v>
      </c>
      <c r="D2140" t="str">
        <f>"4"</f>
        <v>4</v>
      </c>
      <c r="E2140" t="str">
        <f>"1-113-4"</f>
        <v>1-113-4</v>
      </c>
      <c r="F2140" t="s">
        <v>15</v>
      </c>
      <c r="G2140" t="s">
        <v>16</v>
      </c>
      <c r="H2140" t="s">
        <v>17</v>
      </c>
      <c r="I2140">
        <v>0</v>
      </c>
      <c r="J2140">
        <v>0</v>
      </c>
      <c r="K2140">
        <v>1</v>
      </c>
    </row>
    <row r="2141" spans="1:11" x14ac:dyDescent="0.25">
      <c r="A2141" t="str">
        <f>"2742"</f>
        <v>2742</v>
      </c>
      <c r="B2141" t="str">
        <f t="shared" si="130"/>
        <v>1</v>
      </c>
      <c r="C2141" t="str">
        <f t="shared" si="131"/>
        <v>113</v>
      </c>
      <c r="D2141" t="str">
        <f>"11"</f>
        <v>11</v>
      </c>
      <c r="E2141" t="str">
        <f>"1-113-11"</f>
        <v>1-113-11</v>
      </c>
      <c r="F2141" t="s">
        <v>15</v>
      </c>
      <c r="G2141" t="s">
        <v>16</v>
      </c>
      <c r="H2141" t="s">
        <v>17</v>
      </c>
      <c r="I2141">
        <v>0</v>
      </c>
      <c r="J2141">
        <v>0</v>
      </c>
      <c r="K2141">
        <v>0</v>
      </c>
    </row>
    <row r="2142" spans="1:11" x14ac:dyDescent="0.25">
      <c r="A2142" t="str">
        <f>"2744"</f>
        <v>2744</v>
      </c>
      <c r="B2142" t="str">
        <f t="shared" si="130"/>
        <v>1</v>
      </c>
      <c r="C2142" t="str">
        <f t="shared" ref="C2142:C2158" si="132">"114"</f>
        <v>114</v>
      </c>
      <c r="D2142" t="str">
        <f>"6"</f>
        <v>6</v>
      </c>
      <c r="E2142" t="str">
        <f>"1-114-6"</f>
        <v>1-114-6</v>
      </c>
      <c r="F2142" t="s">
        <v>15</v>
      </c>
      <c r="G2142" t="s">
        <v>20</v>
      </c>
      <c r="H2142" t="s">
        <v>21</v>
      </c>
      <c r="I2142">
        <v>0</v>
      </c>
      <c r="J2142">
        <v>1</v>
      </c>
      <c r="K2142">
        <v>0</v>
      </c>
    </row>
    <row r="2143" spans="1:11" x14ac:dyDescent="0.25">
      <c r="A2143" t="str">
        <f>"2745"</f>
        <v>2745</v>
      </c>
      <c r="B2143" t="str">
        <f t="shared" si="130"/>
        <v>1</v>
      </c>
      <c r="C2143" t="str">
        <f t="shared" si="132"/>
        <v>114</v>
      </c>
      <c r="D2143" t="str">
        <f>"4"</f>
        <v>4</v>
      </c>
      <c r="E2143" t="str">
        <f>"1-114-4"</f>
        <v>1-114-4</v>
      </c>
      <c r="F2143" t="s">
        <v>15</v>
      </c>
      <c r="G2143" t="s">
        <v>20</v>
      </c>
      <c r="H2143" t="s">
        <v>21</v>
      </c>
      <c r="I2143">
        <v>0</v>
      </c>
      <c r="J2143">
        <v>1</v>
      </c>
      <c r="K2143">
        <v>0</v>
      </c>
    </row>
    <row r="2144" spans="1:11" x14ac:dyDescent="0.25">
      <c r="A2144" t="str">
        <f>"2746"</f>
        <v>2746</v>
      </c>
      <c r="B2144" t="str">
        <f t="shared" si="130"/>
        <v>1</v>
      </c>
      <c r="C2144" t="str">
        <f t="shared" si="132"/>
        <v>114</v>
      </c>
      <c r="D2144" t="str">
        <f>"3"</f>
        <v>3</v>
      </c>
      <c r="E2144" t="str">
        <f>"1-114-3"</f>
        <v>1-114-3</v>
      </c>
      <c r="F2144" t="s">
        <v>15</v>
      </c>
      <c r="G2144" t="s">
        <v>20</v>
      </c>
      <c r="H2144" t="s">
        <v>21</v>
      </c>
      <c r="I2144">
        <v>0</v>
      </c>
      <c r="J2144">
        <v>0</v>
      </c>
      <c r="K2144">
        <v>1</v>
      </c>
    </row>
    <row r="2145" spans="1:11" x14ac:dyDescent="0.25">
      <c r="A2145" t="str">
        <f>"2747"</f>
        <v>2747</v>
      </c>
      <c r="B2145" t="str">
        <f t="shared" si="130"/>
        <v>1</v>
      </c>
      <c r="C2145" t="str">
        <f t="shared" si="132"/>
        <v>114</v>
      </c>
      <c r="D2145" t="str">
        <f>"12"</f>
        <v>12</v>
      </c>
      <c r="E2145" t="str">
        <f>"1-114-12"</f>
        <v>1-114-12</v>
      </c>
      <c r="F2145" t="s">
        <v>15</v>
      </c>
      <c r="G2145" t="s">
        <v>20</v>
      </c>
      <c r="H2145" t="s">
        <v>21</v>
      </c>
      <c r="I2145">
        <v>0</v>
      </c>
      <c r="J2145">
        <v>0</v>
      </c>
      <c r="K2145">
        <v>1</v>
      </c>
    </row>
    <row r="2146" spans="1:11" x14ac:dyDescent="0.25">
      <c r="A2146" t="str">
        <f>"2751"</f>
        <v>2751</v>
      </c>
      <c r="B2146" t="str">
        <f t="shared" si="130"/>
        <v>1</v>
      </c>
      <c r="C2146" t="str">
        <f t="shared" si="132"/>
        <v>114</v>
      </c>
      <c r="D2146" t="str">
        <f>"2"</f>
        <v>2</v>
      </c>
      <c r="E2146" t="str">
        <f>"1-114-2"</f>
        <v>1-114-2</v>
      </c>
      <c r="F2146" t="s">
        <v>15</v>
      </c>
      <c r="G2146" t="s">
        <v>20</v>
      </c>
      <c r="H2146" t="s">
        <v>21</v>
      </c>
      <c r="I2146">
        <v>0</v>
      </c>
      <c r="J2146">
        <v>1</v>
      </c>
      <c r="K2146">
        <v>0</v>
      </c>
    </row>
    <row r="2147" spans="1:11" x14ac:dyDescent="0.25">
      <c r="A2147" t="str">
        <f>"2752"</f>
        <v>2752</v>
      </c>
      <c r="B2147" t="str">
        <f t="shared" si="130"/>
        <v>1</v>
      </c>
      <c r="C2147" t="str">
        <f t="shared" si="132"/>
        <v>114</v>
      </c>
      <c r="D2147" t="str">
        <f>"21"</f>
        <v>21</v>
      </c>
      <c r="E2147" t="str">
        <f>"1-114-21"</f>
        <v>1-114-21</v>
      </c>
      <c r="F2147" t="s">
        <v>15</v>
      </c>
      <c r="G2147" t="s">
        <v>20</v>
      </c>
      <c r="H2147" t="s">
        <v>21</v>
      </c>
      <c r="I2147">
        <v>0</v>
      </c>
      <c r="J2147">
        <v>1</v>
      </c>
      <c r="K2147">
        <v>0</v>
      </c>
    </row>
    <row r="2148" spans="1:11" x14ac:dyDescent="0.25">
      <c r="A2148" t="str">
        <f>"2753"</f>
        <v>2753</v>
      </c>
      <c r="B2148" t="str">
        <f t="shared" si="130"/>
        <v>1</v>
      </c>
      <c r="C2148" t="str">
        <f t="shared" si="132"/>
        <v>114</v>
      </c>
      <c r="D2148" t="str">
        <f>"14"</f>
        <v>14</v>
      </c>
      <c r="E2148" t="str">
        <f>"1-114-14"</f>
        <v>1-114-14</v>
      </c>
      <c r="F2148" t="s">
        <v>15</v>
      </c>
      <c r="G2148" t="s">
        <v>20</v>
      </c>
      <c r="H2148" t="s">
        <v>21</v>
      </c>
      <c r="I2148">
        <v>0</v>
      </c>
      <c r="J2148">
        <v>0</v>
      </c>
      <c r="K2148">
        <v>1</v>
      </c>
    </row>
    <row r="2149" spans="1:11" x14ac:dyDescent="0.25">
      <c r="A2149" t="str">
        <f>"2754"</f>
        <v>2754</v>
      </c>
      <c r="B2149" t="str">
        <f t="shared" si="130"/>
        <v>1</v>
      </c>
      <c r="C2149" t="str">
        <f t="shared" si="132"/>
        <v>114</v>
      </c>
      <c r="D2149" t="str">
        <f>"8"</f>
        <v>8</v>
      </c>
      <c r="E2149" t="str">
        <f>"1-114-8"</f>
        <v>1-114-8</v>
      </c>
      <c r="F2149" t="s">
        <v>15</v>
      </c>
      <c r="G2149" t="s">
        <v>20</v>
      </c>
      <c r="H2149" t="s">
        <v>21</v>
      </c>
      <c r="I2149">
        <v>1</v>
      </c>
      <c r="J2149">
        <v>0</v>
      </c>
      <c r="K2149">
        <v>0</v>
      </c>
    </row>
    <row r="2150" spans="1:11" x14ac:dyDescent="0.25">
      <c r="A2150" t="str">
        <f>"2755"</f>
        <v>2755</v>
      </c>
      <c r="B2150" t="str">
        <f t="shared" si="130"/>
        <v>1</v>
      </c>
      <c r="C2150" t="str">
        <f t="shared" si="132"/>
        <v>114</v>
      </c>
      <c r="D2150" t="str">
        <f>"9"</f>
        <v>9</v>
      </c>
      <c r="E2150" t="str">
        <f>"1-114-9"</f>
        <v>1-114-9</v>
      </c>
      <c r="F2150" t="s">
        <v>15</v>
      </c>
      <c r="G2150" t="s">
        <v>20</v>
      </c>
      <c r="H2150" t="s">
        <v>21</v>
      </c>
      <c r="I2150">
        <v>0</v>
      </c>
      <c r="J2150">
        <v>0</v>
      </c>
      <c r="K2150">
        <v>1</v>
      </c>
    </row>
    <row r="2151" spans="1:11" x14ac:dyDescent="0.25">
      <c r="A2151" t="str">
        <f>"2756"</f>
        <v>2756</v>
      </c>
      <c r="B2151" t="str">
        <f t="shared" si="130"/>
        <v>1</v>
      </c>
      <c r="C2151" t="str">
        <f t="shared" si="132"/>
        <v>114</v>
      </c>
      <c r="D2151" t="str">
        <f>"13"</f>
        <v>13</v>
      </c>
      <c r="E2151" t="str">
        <f>"1-114-13"</f>
        <v>1-114-13</v>
      </c>
      <c r="F2151" t="s">
        <v>15</v>
      </c>
      <c r="G2151" t="s">
        <v>20</v>
      </c>
      <c r="H2151" t="s">
        <v>21</v>
      </c>
      <c r="I2151">
        <v>0</v>
      </c>
      <c r="J2151">
        <v>0</v>
      </c>
      <c r="K2151">
        <v>1</v>
      </c>
    </row>
    <row r="2152" spans="1:11" x14ac:dyDescent="0.25">
      <c r="A2152" t="str">
        <f>"2757"</f>
        <v>2757</v>
      </c>
      <c r="B2152" t="str">
        <f t="shared" si="130"/>
        <v>1</v>
      </c>
      <c r="C2152" t="str">
        <f t="shared" si="132"/>
        <v>114</v>
      </c>
      <c r="D2152" t="str">
        <f>"1"</f>
        <v>1</v>
      </c>
      <c r="E2152" t="str">
        <f>"1-114-1"</f>
        <v>1-114-1</v>
      </c>
      <c r="F2152" t="s">
        <v>15</v>
      </c>
      <c r="G2152" t="s">
        <v>20</v>
      </c>
      <c r="H2152" t="s">
        <v>21</v>
      </c>
      <c r="I2152">
        <v>1</v>
      </c>
      <c r="J2152">
        <v>0</v>
      </c>
      <c r="K2152">
        <v>0</v>
      </c>
    </row>
    <row r="2153" spans="1:11" x14ac:dyDescent="0.25">
      <c r="A2153" t="str">
        <f>"2758"</f>
        <v>2758</v>
      </c>
      <c r="B2153" t="str">
        <f t="shared" si="130"/>
        <v>1</v>
      </c>
      <c r="C2153" t="str">
        <f t="shared" si="132"/>
        <v>114</v>
      </c>
      <c r="D2153" t="str">
        <f>"7"</f>
        <v>7</v>
      </c>
      <c r="E2153" t="str">
        <f>"1-114-7"</f>
        <v>1-114-7</v>
      </c>
      <c r="F2153" t="s">
        <v>15</v>
      </c>
      <c r="G2153" t="s">
        <v>20</v>
      </c>
      <c r="H2153" t="s">
        <v>21</v>
      </c>
      <c r="I2153">
        <v>0</v>
      </c>
      <c r="J2153">
        <v>0</v>
      </c>
      <c r="K2153">
        <v>1</v>
      </c>
    </row>
    <row r="2154" spans="1:11" x14ac:dyDescent="0.25">
      <c r="A2154" t="str">
        <f>"2759"</f>
        <v>2759</v>
      </c>
      <c r="B2154" t="str">
        <f t="shared" si="130"/>
        <v>1</v>
      </c>
      <c r="C2154" t="str">
        <f t="shared" si="132"/>
        <v>114</v>
      </c>
      <c r="D2154" t="str">
        <f>"11"</f>
        <v>11</v>
      </c>
      <c r="E2154" t="str">
        <f>"1-114-11"</f>
        <v>1-114-11</v>
      </c>
      <c r="F2154" t="s">
        <v>15</v>
      </c>
      <c r="G2154" t="s">
        <v>20</v>
      </c>
      <c r="H2154" t="s">
        <v>21</v>
      </c>
      <c r="I2154">
        <v>0</v>
      </c>
      <c r="J2154">
        <v>0</v>
      </c>
      <c r="K2154">
        <v>1</v>
      </c>
    </row>
    <row r="2155" spans="1:11" x14ac:dyDescent="0.25">
      <c r="A2155" t="str">
        <f>"2760"</f>
        <v>2760</v>
      </c>
      <c r="B2155" t="str">
        <f t="shared" si="130"/>
        <v>1</v>
      </c>
      <c r="C2155" t="str">
        <f t="shared" si="132"/>
        <v>114</v>
      </c>
      <c r="D2155" t="str">
        <f>"16"</f>
        <v>16</v>
      </c>
      <c r="E2155" t="str">
        <f>"1-114-16"</f>
        <v>1-114-16</v>
      </c>
      <c r="F2155" t="s">
        <v>15</v>
      </c>
      <c r="G2155" t="s">
        <v>20</v>
      </c>
      <c r="H2155" t="s">
        <v>21</v>
      </c>
      <c r="I2155">
        <v>0</v>
      </c>
      <c r="J2155">
        <v>0</v>
      </c>
      <c r="K2155">
        <v>0</v>
      </c>
    </row>
    <row r="2156" spans="1:11" x14ac:dyDescent="0.25">
      <c r="A2156" t="str">
        <f>"2761"</f>
        <v>2761</v>
      </c>
      <c r="B2156" t="str">
        <f t="shared" si="130"/>
        <v>1</v>
      </c>
      <c r="C2156" t="str">
        <f t="shared" si="132"/>
        <v>114</v>
      </c>
      <c r="D2156" t="str">
        <f>"18"</f>
        <v>18</v>
      </c>
      <c r="E2156" t="str">
        <f>"1-114-18"</f>
        <v>1-114-18</v>
      </c>
      <c r="F2156" t="s">
        <v>15</v>
      </c>
      <c r="G2156" t="s">
        <v>20</v>
      </c>
      <c r="H2156" t="s">
        <v>21</v>
      </c>
      <c r="I2156">
        <v>0</v>
      </c>
      <c r="J2156">
        <v>0</v>
      </c>
      <c r="K2156">
        <v>0</v>
      </c>
    </row>
    <row r="2157" spans="1:11" x14ac:dyDescent="0.25">
      <c r="A2157" t="str">
        <f>"2762"</f>
        <v>2762</v>
      </c>
      <c r="B2157" t="str">
        <f t="shared" si="130"/>
        <v>1</v>
      </c>
      <c r="C2157" t="str">
        <f t="shared" si="132"/>
        <v>114</v>
      </c>
      <c r="D2157" t="str">
        <f>"10"</f>
        <v>10</v>
      </c>
      <c r="E2157" t="str">
        <f>"1-114-10"</f>
        <v>1-114-10</v>
      </c>
      <c r="F2157" t="s">
        <v>15</v>
      </c>
      <c r="G2157" t="s">
        <v>20</v>
      </c>
      <c r="H2157" t="s">
        <v>21</v>
      </c>
      <c r="I2157">
        <v>0</v>
      </c>
      <c r="J2157">
        <v>1</v>
      </c>
      <c r="K2157">
        <v>0</v>
      </c>
    </row>
    <row r="2158" spans="1:11" x14ac:dyDescent="0.25">
      <c r="A2158" t="str">
        <f>"2763"</f>
        <v>2763</v>
      </c>
      <c r="B2158" t="str">
        <f t="shared" si="130"/>
        <v>1</v>
      </c>
      <c r="C2158" t="str">
        <f t="shared" si="132"/>
        <v>114</v>
      </c>
      <c r="D2158" t="str">
        <f>"17"</f>
        <v>17</v>
      </c>
      <c r="E2158" t="str">
        <f>"1-114-17"</f>
        <v>1-114-17</v>
      </c>
      <c r="F2158" t="s">
        <v>15</v>
      </c>
      <c r="G2158" t="s">
        <v>20</v>
      </c>
      <c r="H2158" t="s">
        <v>21</v>
      </c>
      <c r="I2158">
        <v>0</v>
      </c>
      <c r="J2158">
        <v>0</v>
      </c>
      <c r="K2158">
        <v>0</v>
      </c>
    </row>
    <row r="2159" spans="1:11" x14ac:dyDescent="0.25">
      <c r="A2159" t="str">
        <f>"2764"</f>
        <v>2764</v>
      </c>
      <c r="B2159" t="str">
        <f t="shared" si="130"/>
        <v>1</v>
      </c>
      <c r="C2159" t="str">
        <f t="shared" ref="C2159:C2177" si="133">"115"</f>
        <v>115</v>
      </c>
      <c r="D2159" t="str">
        <f>"19"</f>
        <v>19</v>
      </c>
      <c r="E2159" t="str">
        <f>"1-115-19"</f>
        <v>1-115-19</v>
      </c>
      <c r="F2159" t="s">
        <v>15</v>
      </c>
      <c r="G2159" t="s">
        <v>18</v>
      </c>
      <c r="H2159" t="s">
        <v>19</v>
      </c>
      <c r="I2159">
        <v>0</v>
      </c>
      <c r="J2159">
        <v>0</v>
      </c>
      <c r="K2159">
        <v>1</v>
      </c>
    </row>
    <row r="2160" spans="1:11" x14ac:dyDescent="0.25">
      <c r="A2160" t="str">
        <f>"2767"</f>
        <v>2767</v>
      </c>
      <c r="B2160" t="str">
        <f t="shared" si="130"/>
        <v>1</v>
      </c>
      <c r="C2160" t="str">
        <f t="shared" si="133"/>
        <v>115</v>
      </c>
      <c r="D2160" t="str">
        <f>"22"</f>
        <v>22</v>
      </c>
      <c r="E2160" t="str">
        <f>"1-115-22"</f>
        <v>1-115-22</v>
      </c>
      <c r="F2160" t="s">
        <v>15</v>
      </c>
      <c r="G2160" t="s">
        <v>16</v>
      </c>
      <c r="H2160" t="s">
        <v>17</v>
      </c>
      <c r="I2160">
        <v>1</v>
      </c>
      <c r="J2160">
        <v>0</v>
      </c>
      <c r="K2160">
        <v>0</v>
      </c>
    </row>
    <row r="2161" spans="1:11" x14ac:dyDescent="0.25">
      <c r="A2161" t="str">
        <f>"2768"</f>
        <v>2768</v>
      </c>
      <c r="B2161" t="str">
        <f t="shared" si="130"/>
        <v>1</v>
      </c>
      <c r="C2161" t="str">
        <f t="shared" si="133"/>
        <v>115</v>
      </c>
      <c r="D2161" t="str">
        <f>"16"</f>
        <v>16</v>
      </c>
      <c r="E2161" t="str">
        <f>"1-115-16"</f>
        <v>1-115-16</v>
      </c>
      <c r="F2161" t="s">
        <v>15</v>
      </c>
      <c r="G2161" t="s">
        <v>18</v>
      </c>
      <c r="H2161" t="s">
        <v>19</v>
      </c>
      <c r="I2161">
        <v>0</v>
      </c>
      <c r="J2161">
        <v>0</v>
      </c>
      <c r="K2161">
        <v>1</v>
      </c>
    </row>
    <row r="2162" spans="1:11" x14ac:dyDescent="0.25">
      <c r="A2162" t="str">
        <f>"2769"</f>
        <v>2769</v>
      </c>
      <c r="B2162" t="str">
        <f t="shared" si="130"/>
        <v>1</v>
      </c>
      <c r="C2162" t="str">
        <f t="shared" si="133"/>
        <v>115</v>
      </c>
      <c r="D2162" t="str">
        <f>"4"</f>
        <v>4</v>
      </c>
      <c r="E2162" t="str">
        <f>"1-115-4"</f>
        <v>1-115-4</v>
      </c>
      <c r="F2162" t="s">
        <v>15</v>
      </c>
      <c r="G2162" t="s">
        <v>18</v>
      </c>
      <c r="H2162" t="s">
        <v>19</v>
      </c>
      <c r="I2162">
        <v>0</v>
      </c>
      <c r="J2162">
        <v>1</v>
      </c>
      <c r="K2162">
        <v>0</v>
      </c>
    </row>
    <row r="2163" spans="1:11" x14ac:dyDescent="0.25">
      <c r="A2163" t="str">
        <f>"2771"</f>
        <v>2771</v>
      </c>
      <c r="B2163" t="str">
        <f t="shared" si="130"/>
        <v>1</v>
      </c>
      <c r="C2163" t="str">
        <f t="shared" si="133"/>
        <v>115</v>
      </c>
      <c r="D2163" t="str">
        <f>"18"</f>
        <v>18</v>
      </c>
      <c r="E2163" t="str">
        <f>"1-115-18"</f>
        <v>1-115-18</v>
      </c>
      <c r="F2163" t="s">
        <v>15</v>
      </c>
      <c r="G2163" t="s">
        <v>18</v>
      </c>
      <c r="H2163" t="s">
        <v>19</v>
      </c>
      <c r="I2163">
        <v>1</v>
      </c>
      <c r="J2163">
        <v>0</v>
      </c>
      <c r="K2163">
        <v>0</v>
      </c>
    </row>
    <row r="2164" spans="1:11" x14ac:dyDescent="0.25">
      <c r="A2164" t="str">
        <f>"2772"</f>
        <v>2772</v>
      </c>
      <c r="B2164" t="str">
        <f t="shared" si="130"/>
        <v>1</v>
      </c>
      <c r="C2164" t="str">
        <f t="shared" si="133"/>
        <v>115</v>
      </c>
      <c r="D2164" t="str">
        <f>"13"</f>
        <v>13</v>
      </c>
      <c r="E2164" t="str">
        <f>"1-115-13"</f>
        <v>1-115-13</v>
      </c>
      <c r="F2164" t="s">
        <v>15</v>
      </c>
      <c r="G2164" t="s">
        <v>18</v>
      </c>
      <c r="H2164" t="s">
        <v>19</v>
      </c>
      <c r="I2164">
        <v>0</v>
      </c>
      <c r="J2164">
        <v>0</v>
      </c>
      <c r="K2164">
        <v>1</v>
      </c>
    </row>
    <row r="2165" spans="1:11" x14ac:dyDescent="0.25">
      <c r="A2165" t="str">
        <f>"2774"</f>
        <v>2774</v>
      </c>
      <c r="B2165" t="str">
        <f t="shared" si="130"/>
        <v>1</v>
      </c>
      <c r="C2165" t="str">
        <f t="shared" si="133"/>
        <v>115</v>
      </c>
      <c r="D2165" t="str">
        <f>"2"</f>
        <v>2</v>
      </c>
      <c r="E2165" t="str">
        <f>"1-115-2"</f>
        <v>1-115-2</v>
      </c>
      <c r="F2165" t="s">
        <v>15</v>
      </c>
      <c r="G2165" t="s">
        <v>18</v>
      </c>
      <c r="H2165" t="s">
        <v>19</v>
      </c>
      <c r="I2165">
        <v>0</v>
      </c>
      <c r="J2165">
        <v>0</v>
      </c>
      <c r="K2165">
        <v>1</v>
      </c>
    </row>
    <row r="2166" spans="1:11" x14ac:dyDescent="0.25">
      <c r="A2166" t="str">
        <f>"2775"</f>
        <v>2775</v>
      </c>
      <c r="B2166" t="str">
        <f t="shared" si="130"/>
        <v>1</v>
      </c>
      <c r="C2166" t="str">
        <f t="shared" si="133"/>
        <v>115</v>
      </c>
      <c r="D2166" t="str">
        <f>"21"</f>
        <v>21</v>
      </c>
      <c r="E2166" t="str">
        <f>"1-115-21"</f>
        <v>1-115-21</v>
      </c>
      <c r="F2166" t="s">
        <v>15</v>
      </c>
      <c r="G2166" t="s">
        <v>18</v>
      </c>
      <c r="H2166" t="s">
        <v>19</v>
      </c>
      <c r="I2166">
        <v>1</v>
      </c>
      <c r="J2166">
        <v>0</v>
      </c>
      <c r="K2166">
        <v>0</v>
      </c>
    </row>
    <row r="2167" spans="1:11" x14ac:dyDescent="0.25">
      <c r="A2167" t="str">
        <f>"2777"</f>
        <v>2777</v>
      </c>
      <c r="B2167" t="str">
        <f t="shared" si="130"/>
        <v>1</v>
      </c>
      <c r="C2167" t="str">
        <f t="shared" si="133"/>
        <v>115</v>
      </c>
      <c r="D2167" t="str">
        <f>"11"</f>
        <v>11</v>
      </c>
      <c r="E2167" t="str">
        <f>"1-115-11"</f>
        <v>1-115-11</v>
      </c>
      <c r="F2167" t="s">
        <v>15</v>
      </c>
      <c r="G2167" t="s">
        <v>18</v>
      </c>
      <c r="H2167" t="s">
        <v>19</v>
      </c>
      <c r="I2167">
        <v>1</v>
      </c>
      <c r="J2167">
        <v>0</v>
      </c>
      <c r="K2167">
        <v>0</v>
      </c>
    </row>
    <row r="2168" spans="1:11" x14ac:dyDescent="0.25">
      <c r="A2168" t="str">
        <f>"2778"</f>
        <v>2778</v>
      </c>
      <c r="B2168" t="str">
        <f t="shared" ref="B2168:B2223" si="134">"1"</f>
        <v>1</v>
      </c>
      <c r="C2168" t="str">
        <f t="shared" si="133"/>
        <v>115</v>
      </c>
      <c r="D2168" t="str">
        <f>"24"</f>
        <v>24</v>
      </c>
      <c r="E2168" t="str">
        <f>"1-115-24"</f>
        <v>1-115-24</v>
      </c>
      <c r="F2168" t="s">
        <v>15</v>
      </c>
      <c r="G2168" t="s">
        <v>18</v>
      </c>
      <c r="H2168" t="s">
        <v>19</v>
      </c>
      <c r="I2168">
        <v>0</v>
      </c>
      <c r="J2168">
        <v>1</v>
      </c>
      <c r="K2168">
        <v>0</v>
      </c>
    </row>
    <row r="2169" spans="1:11" x14ac:dyDescent="0.25">
      <c r="A2169" t="str">
        <f>"2779"</f>
        <v>2779</v>
      </c>
      <c r="B2169" t="str">
        <f t="shared" si="134"/>
        <v>1</v>
      </c>
      <c r="C2169" t="str">
        <f t="shared" si="133"/>
        <v>115</v>
      </c>
      <c r="D2169" t="str">
        <f>"10"</f>
        <v>10</v>
      </c>
      <c r="E2169" t="str">
        <f>"1-115-10"</f>
        <v>1-115-10</v>
      </c>
      <c r="F2169" t="s">
        <v>15</v>
      </c>
      <c r="G2169" t="s">
        <v>18</v>
      </c>
      <c r="H2169" t="s">
        <v>19</v>
      </c>
      <c r="I2169">
        <v>1</v>
      </c>
      <c r="J2169">
        <v>0</v>
      </c>
      <c r="K2169">
        <v>0</v>
      </c>
    </row>
    <row r="2170" spans="1:11" x14ac:dyDescent="0.25">
      <c r="A2170" t="str">
        <f>"2780"</f>
        <v>2780</v>
      </c>
      <c r="B2170" t="str">
        <f t="shared" si="134"/>
        <v>1</v>
      </c>
      <c r="C2170" t="str">
        <f t="shared" si="133"/>
        <v>115</v>
      </c>
      <c r="D2170" t="str">
        <f>"8"</f>
        <v>8</v>
      </c>
      <c r="E2170" t="str">
        <f>"1-115-8"</f>
        <v>1-115-8</v>
      </c>
      <c r="F2170" t="s">
        <v>15</v>
      </c>
      <c r="G2170" t="s">
        <v>18</v>
      </c>
      <c r="H2170" t="s">
        <v>19</v>
      </c>
      <c r="I2170">
        <v>0</v>
      </c>
      <c r="J2170">
        <v>1</v>
      </c>
      <c r="K2170">
        <v>0</v>
      </c>
    </row>
    <row r="2171" spans="1:11" x14ac:dyDescent="0.25">
      <c r="A2171" t="str">
        <f>"2781"</f>
        <v>2781</v>
      </c>
      <c r="B2171" t="str">
        <f t="shared" si="134"/>
        <v>1</v>
      </c>
      <c r="C2171" t="str">
        <f t="shared" si="133"/>
        <v>115</v>
      </c>
      <c r="D2171" t="str">
        <f>"3"</f>
        <v>3</v>
      </c>
      <c r="E2171" t="str">
        <f>"1-115-3"</f>
        <v>1-115-3</v>
      </c>
      <c r="F2171" t="s">
        <v>15</v>
      </c>
      <c r="G2171" t="s">
        <v>18</v>
      </c>
      <c r="H2171" t="s">
        <v>19</v>
      </c>
      <c r="I2171">
        <v>0</v>
      </c>
      <c r="J2171">
        <v>0</v>
      </c>
      <c r="K2171">
        <v>1</v>
      </c>
    </row>
    <row r="2172" spans="1:11" x14ac:dyDescent="0.25">
      <c r="A2172" t="str">
        <f>"2782"</f>
        <v>2782</v>
      </c>
      <c r="B2172" t="str">
        <f t="shared" si="134"/>
        <v>1</v>
      </c>
      <c r="C2172" t="str">
        <f t="shared" si="133"/>
        <v>115</v>
      </c>
      <c r="D2172" t="str">
        <f>"7"</f>
        <v>7</v>
      </c>
      <c r="E2172" t="str">
        <f>"1-115-7"</f>
        <v>1-115-7</v>
      </c>
      <c r="F2172" t="s">
        <v>15</v>
      </c>
      <c r="G2172" t="s">
        <v>18</v>
      </c>
      <c r="H2172" t="s">
        <v>19</v>
      </c>
      <c r="I2172">
        <v>0</v>
      </c>
      <c r="J2172">
        <v>0</v>
      </c>
      <c r="K2172">
        <v>1</v>
      </c>
    </row>
    <row r="2173" spans="1:11" x14ac:dyDescent="0.25">
      <c r="A2173" t="str">
        <f>"2783"</f>
        <v>2783</v>
      </c>
      <c r="B2173" t="str">
        <f t="shared" si="134"/>
        <v>1</v>
      </c>
      <c r="C2173" t="str">
        <f t="shared" si="133"/>
        <v>115</v>
      </c>
      <c r="D2173" t="str">
        <f>"12"</f>
        <v>12</v>
      </c>
      <c r="E2173" t="str">
        <f>"1-115-12"</f>
        <v>1-115-12</v>
      </c>
      <c r="F2173" t="s">
        <v>15</v>
      </c>
      <c r="G2173" t="s">
        <v>18</v>
      </c>
      <c r="H2173" t="s">
        <v>19</v>
      </c>
      <c r="I2173">
        <v>0</v>
      </c>
      <c r="J2173">
        <v>0</v>
      </c>
      <c r="K2173">
        <v>1</v>
      </c>
    </row>
    <row r="2174" spans="1:11" x14ac:dyDescent="0.25">
      <c r="A2174" t="str">
        <f>"2784"</f>
        <v>2784</v>
      </c>
      <c r="B2174" t="str">
        <f t="shared" si="134"/>
        <v>1</v>
      </c>
      <c r="C2174" t="str">
        <f t="shared" si="133"/>
        <v>115</v>
      </c>
      <c r="D2174" t="str">
        <f>"9"</f>
        <v>9</v>
      </c>
      <c r="E2174" t="str">
        <f>"1-115-9"</f>
        <v>1-115-9</v>
      </c>
      <c r="F2174" t="s">
        <v>15</v>
      </c>
      <c r="G2174" t="s">
        <v>18</v>
      </c>
      <c r="H2174" t="s">
        <v>19</v>
      </c>
      <c r="I2174">
        <v>1</v>
      </c>
      <c r="J2174">
        <v>0</v>
      </c>
      <c r="K2174">
        <v>0</v>
      </c>
    </row>
    <row r="2175" spans="1:11" x14ac:dyDescent="0.25">
      <c r="A2175" t="str">
        <f>"2785"</f>
        <v>2785</v>
      </c>
      <c r="B2175" t="str">
        <f t="shared" si="134"/>
        <v>1</v>
      </c>
      <c r="C2175" t="str">
        <f t="shared" si="133"/>
        <v>115</v>
      </c>
      <c r="D2175" t="str">
        <f>"5"</f>
        <v>5</v>
      </c>
      <c r="E2175" t="str">
        <f>"1-115-5"</f>
        <v>1-115-5</v>
      </c>
      <c r="F2175" t="s">
        <v>15</v>
      </c>
      <c r="G2175" t="s">
        <v>18</v>
      </c>
      <c r="H2175" t="s">
        <v>19</v>
      </c>
      <c r="I2175">
        <v>0</v>
      </c>
      <c r="J2175">
        <v>0</v>
      </c>
      <c r="K2175">
        <v>0</v>
      </c>
    </row>
    <row r="2176" spans="1:11" x14ac:dyDescent="0.25">
      <c r="A2176" t="str">
        <f>"2786"</f>
        <v>2786</v>
      </c>
      <c r="B2176" t="str">
        <f t="shared" si="134"/>
        <v>1</v>
      </c>
      <c r="C2176" t="str">
        <f t="shared" si="133"/>
        <v>115</v>
      </c>
      <c r="D2176" t="str">
        <f>"6"</f>
        <v>6</v>
      </c>
      <c r="E2176" t="str">
        <f>"1-115-6"</f>
        <v>1-115-6</v>
      </c>
      <c r="F2176" t="s">
        <v>15</v>
      </c>
      <c r="G2176" t="s">
        <v>18</v>
      </c>
      <c r="H2176" t="s">
        <v>19</v>
      </c>
      <c r="I2176">
        <v>0</v>
      </c>
      <c r="J2176">
        <v>0</v>
      </c>
      <c r="K2176">
        <v>0</v>
      </c>
    </row>
    <row r="2177" spans="1:11" x14ac:dyDescent="0.25">
      <c r="A2177" t="str">
        <f>"2787"</f>
        <v>2787</v>
      </c>
      <c r="B2177" t="str">
        <f t="shared" si="134"/>
        <v>1</v>
      </c>
      <c r="C2177" t="str">
        <f t="shared" si="133"/>
        <v>115</v>
      </c>
      <c r="D2177" t="str">
        <f>"14"</f>
        <v>14</v>
      </c>
      <c r="E2177" t="str">
        <f>"1-115-14"</f>
        <v>1-115-14</v>
      </c>
      <c r="F2177" t="s">
        <v>15</v>
      </c>
      <c r="G2177" t="s">
        <v>18</v>
      </c>
      <c r="H2177" t="s">
        <v>19</v>
      </c>
      <c r="I2177">
        <v>0</v>
      </c>
      <c r="J2177">
        <v>0</v>
      </c>
      <c r="K2177">
        <v>0</v>
      </c>
    </row>
    <row r="2178" spans="1:11" x14ac:dyDescent="0.25">
      <c r="A2178" t="str">
        <f>"2789"</f>
        <v>2789</v>
      </c>
      <c r="B2178" t="str">
        <f t="shared" si="134"/>
        <v>1</v>
      </c>
      <c r="C2178" t="str">
        <f t="shared" ref="C2178:C2197" si="135">"116"</f>
        <v>116</v>
      </c>
      <c r="D2178" t="str">
        <f>"15"</f>
        <v>15</v>
      </c>
      <c r="E2178" t="str">
        <f>"1-116-15"</f>
        <v>1-116-15</v>
      </c>
      <c r="F2178" t="s">
        <v>15</v>
      </c>
      <c r="G2178" t="s">
        <v>20</v>
      </c>
      <c r="H2178" t="s">
        <v>21</v>
      </c>
      <c r="I2178">
        <v>0</v>
      </c>
      <c r="J2178">
        <v>1</v>
      </c>
      <c r="K2178">
        <v>0</v>
      </c>
    </row>
    <row r="2179" spans="1:11" x14ac:dyDescent="0.25">
      <c r="A2179" t="str">
        <f>"2790"</f>
        <v>2790</v>
      </c>
      <c r="B2179" t="str">
        <f t="shared" si="134"/>
        <v>1</v>
      </c>
      <c r="C2179" t="str">
        <f t="shared" si="135"/>
        <v>116</v>
      </c>
      <c r="D2179" t="str">
        <f>"1"</f>
        <v>1</v>
      </c>
      <c r="E2179" t="str">
        <f>"1-116-1"</f>
        <v>1-116-1</v>
      </c>
      <c r="F2179" t="s">
        <v>15</v>
      </c>
      <c r="G2179" t="s">
        <v>20</v>
      </c>
      <c r="H2179" t="s">
        <v>21</v>
      </c>
      <c r="I2179">
        <v>0</v>
      </c>
      <c r="J2179">
        <v>0</v>
      </c>
      <c r="K2179">
        <v>1</v>
      </c>
    </row>
    <row r="2180" spans="1:11" x14ac:dyDescent="0.25">
      <c r="A2180" t="str">
        <f>"2791"</f>
        <v>2791</v>
      </c>
      <c r="B2180" t="str">
        <f t="shared" si="134"/>
        <v>1</v>
      </c>
      <c r="C2180" t="str">
        <f t="shared" si="135"/>
        <v>116</v>
      </c>
      <c r="D2180" t="str">
        <f>"16"</f>
        <v>16</v>
      </c>
      <c r="E2180" t="str">
        <f>"1-116-16"</f>
        <v>1-116-16</v>
      </c>
      <c r="F2180" t="s">
        <v>15</v>
      </c>
      <c r="G2180" t="s">
        <v>20</v>
      </c>
      <c r="H2180" t="s">
        <v>21</v>
      </c>
      <c r="I2180">
        <v>0</v>
      </c>
      <c r="J2180">
        <v>0</v>
      </c>
      <c r="K2180">
        <v>1</v>
      </c>
    </row>
    <row r="2181" spans="1:11" x14ac:dyDescent="0.25">
      <c r="A2181" t="str">
        <f>"2792"</f>
        <v>2792</v>
      </c>
      <c r="B2181" t="str">
        <f t="shared" si="134"/>
        <v>1</v>
      </c>
      <c r="C2181" t="str">
        <f t="shared" si="135"/>
        <v>116</v>
      </c>
      <c r="D2181" t="str">
        <f>"2"</f>
        <v>2</v>
      </c>
      <c r="E2181" t="str">
        <f>"1-116-2"</f>
        <v>1-116-2</v>
      </c>
      <c r="F2181" t="s">
        <v>15</v>
      </c>
      <c r="G2181" t="s">
        <v>20</v>
      </c>
      <c r="H2181" t="s">
        <v>21</v>
      </c>
      <c r="I2181">
        <v>0</v>
      </c>
      <c r="J2181">
        <v>0</v>
      </c>
      <c r="K2181">
        <v>1</v>
      </c>
    </row>
    <row r="2182" spans="1:11" x14ac:dyDescent="0.25">
      <c r="A2182" t="str">
        <f>"2793"</f>
        <v>2793</v>
      </c>
      <c r="B2182" t="str">
        <f t="shared" si="134"/>
        <v>1</v>
      </c>
      <c r="C2182" t="str">
        <f t="shared" si="135"/>
        <v>116</v>
      </c>
      <c r="D2182" t="str">
        <f>"17"</f>
        <v>17</v>
      </c>
      <c r="E2182" t="str">
        <f>"1-116-17"</f>
        <v>1-116-17</v>
      </c>
      <c r="F2182" t="s">
        <v>15</v>
      </c>
      <c r="G2182" t="s">
        <v>20</v>
      </c>
      <c r="H2182" t="s">
        <v>21</v>
      </c>
      <c r="I2182">
        <v>0</v>
      </c>
      <c r="J2182">
        <v>1</v>
      </c>
      <c r="K2182">
        <v>0</v>
      </c>
    </row>
    <row r="2183" spans="1:11" x14ac:dyDescent="0.25">
      <c r="A2183" t="str">
        <f>"2794"</f>
        <v>2794</v>
      </c>
      <c r="B2183" t="str">
        <f t="shared" si="134"/>
        <v>1</v>
      </c>
      <c r="C2183" t="str">
        <f t="shared" si="135"/>
        <v>116</v>
      </c>
      <c r="D2183" t="str">
        <f>"11"</f>
        <v>11</v>
      </c>
      <c r="E2183" t="str">
        <f>"1-116-11"</f>
        <v>1-116-11</v>
      </c>
      <c r="F2183" t="s">
        <v>15</v>
      </c>
      <c r="G2183" t="s">
        <v>20</v>
      </c>
      <c r="H2183" t="s">
        <v>21</v>
      </c>
      <c r="I2183">
        <v>0</v>
      </c>
      <c r="J2183">
        <v>0</v>
      </c>
      <c r="K2183">
        <v>1</v>
      </c>
    </row>
    <row r="2184" spans="1:11" x14ac:dyDescent="0.25">
      <c r="A2184" t="str">
        <f>"2795"</f>
        <v>2795</v>
      </c>
      <c r="B2184" t="str">
        <f t="shared" si="134"/>
        <v>1</v>
      </c>
      <c r="C2184" t="str">
        <f t="shared" si="135"/>
        <v>116</v>
      </c>
      <c r="D2184" t="str">
        <f>"18"</f>
        <v>18</v>
      </c>
      <c r="E2184" t="str">
        <f>"1-116-18"</f>
        <v>1-116-18</v>
      </c>
      <c r="F2184" t="s">
        <v>15</v>
      </c>
      <c r="G2184" t="s">
        <v>20</v>
      </c>
      <c r="H2184" t="s">
        <v>21</v>
      </c>
      <c r="I2184">
        <v>0</v>
      </c>
      <c r="J2184">
        <v>1</v>
      </c>
      <c r="K2184">
        <v>0</v>
      </c>
    </row>
    <row r="2185" spans="1:11" x14ac:dyDescent="0.25">
      <c r="A2185" t="str">
        <f>"2796"</f>
        <v>2796</v>
      </c>
      <c r="B2185" t="str">
        <f t="shared" si="134"/>
        <v>1</v>
      </c>
      <c r="C2185" t="str">
        <f t="shared" si="135"/>
        <v>116</v>
      </c>
      <c r="D2185" t="str">
        <f>"6"</f>
        <v>6</v>
      </c>
      <c r="E2185" t="str">
        <f>"1-116-6"</f>
        <v>1-116-6</v>
      </c>
      <c r="F2185" t="s">
        <v>15</v>
      </c>
      <c r="G2185" t="s">
        <v>20</v>
      </c>
      <c r="H2185" t="s">
        <v>21</v>
      </c>
      <c r="I2185">
        <v>0</v>
      </c>
      <c r="J2185">
        <v>1</v>
      </c>
      <c r="K2185">
        <v>0</v>
      </c>
    </row>
    <row r="2186" spans="1:11" x14ac:dyDescent="0.25">
      <c r="A2186" t="str">
        <f>"2797"</f>
        <v>2797</v>
      </c>
      <c r="B2186" t="str">
        <f t="shared" si="134"/>
        <v>1</v>
      </c>
      <c r="C2186" t="str">
        <f t="shared" si="135"/>
        <v>116</v>
      </c>
      <c r="D2186" t="str">
        <f>"19"</f>
        <v>19</v>
      </c>
      <c r="E2186" t="str">
        <f>"1-116-19"</f>
        <v>1-116-19</v>
      </c>
      <c r="F2186" t="s">
        <v>15</v>
      </c>
      <c r="G2186" t="s">
        <v>20</v>
      </c>
      <c r="H2186" t="s">
        <v>21</v>
      </c>
      <c r="I2186">
        <v>0</v>
      </c>
      <c r="J2186">
        <v>0</v>
      </c>
      <c r="K2186">
        <v>1</v>
      </c>
    </row>
    <row r="2187" spans="1:11" x14ac:dyDescent="0.25">
      <c r="A2187" t="str">
        <f>"2799"</f>
        <v>2799</v>
      </c>
      <c r="B2187" t="str">
        <f t="shared" si="134"/>
        <v>1</v>
      </c>
      <c r="C2187" t="str">
        <f t="shared" si="135"/>
        <v>116</v>
      </c>
      <c r="D2187" t="str">
        <f>"21"</f>
        <v>21</v>
      </c>
      <c r="E2187" t="str">
        <f>"1-116-21"</f>
        <v>1-116-21</v>
      </c>
      <c r="F2187" t="s">
        <v>15</v>
      </c>
      <c r="G2187" t="s">
        <v>20</v>
      </c>
      <c r="H2187" t="s">
        <v>21</v>
      </c>
      <c r="I2187">
        <v>0</v>
      </c>
      <c r="J2187">
        <v>0</v>
      </c>
      <c r="K2187">
        <v>1</v>
      </c>
    </row>
    <row r="2188" spans="1:11" x14ac:dyDescent="0.25">
      <c r="A2188" t="str">
        <f>"2800"</f>
        <v>2800</v>
      </c>
      <c r="B2188" t="str">
        <f t="shared" si="134"/>
        <v>1</v>
      </c>
      <c r="C2188" t="str">
        <f t="shared" si="135"/>
        <v>116</v>
      </c>
      <c r="D2188" t="str">
        <f>"12"</f>
        <v>12</v>
      </c>
      <c r="E2188" t="str">
        <f>"1-116-12"</f>
        <v>1-116-12</v>
      </c>
      <c r="F2188" t="s">
        <v>15</v>
      </c>
      <c r="G2188" t="s">
        <v>20</v>
      </c>
      <c r="H2188" t="s">
        <v>21</v>
      </c>
      <c r="I2188">
        <v>0</v>
      </c>
      <c r="J2188">
        <v>0</v>
      </c>
      <c r="K2188">
        <v>1</v>
      </c>
    </row>
    <row r="2189" spans="1:11" x14ac:dyDescent="0.25">
      <c r="A2189" t="str">
        <f>"2801"</f>
        <v>2801</v>
      </c>
      <c r="B2189" t="str">
        <f t="shared" si="134"/>
        <v>1</v>
      </c>
      <c r="C2189" t="str">
        <f t="shared" si="135"/>
        <v>116</v>
      </c>
      <c r="D2189" t="str">
        <f>"22"</f>
        <v>22</v>
      </c>
      <c r="E2189" t="str">
        <f>"1-116-22"</f>
        <v>1-116-22</v>
      </c>
      <c r="F2189" t="s">
        <v>15</v>
      </c>
      <c r="G2189" t="s">
        <v>20</v>
      </c>
      <c r="H2189" t="s">
        <v>21</v>
      </c>
      <c r="I2189">
        <v>0</v>
      </c>
      <c r="J2189">
        <v>0</v>
      </c>
      <c r="K2189">
        <v>1</v>
      </c>
    </row>
    <row r="2190" spans="1:11" x14ac:dyDescent="0.25">
      <c r="A2190" t="str">
        <f>"2802"</f>
        <v>2802</v>
      </c>
      <c r="B2190" t="str">
        <f t="shared" si="134"/>
        <v>1</v>
      </c>
      <c r="C2190" t="str">
        <f t="shared" si="135"/>
        <v>116</v>
      </c>
      <c r="D2190" t="str">
        <f>"8"</f>
        <v>8</v>
      </c>
      <c r="E2190" t="str">
        <f>"1-116-8"</f>
        <v>1-116-8</v>
      </c>
      <c r="F2190" t="s">
        <v>15</v>
      </c>
      <c r="G2190" t="s">
        <v>20</v>
      </c>
      <c r="H2190" t="s">
        <v>21</v>
      </c>
      <c r="I2190">
        <v>1</v>
      </c>
      <c r="J2190">
        <v>0</v>
      </c>
      <c r="K2190">
        <v>0</v>
      </c>
    </row>
    <row r="2191" spans="1:11" x14ac:dyDescent="0.25">
      <c r="A2191" t="str">
        <f>"2803"</f>
        <v>2803</v>
      </c>
      <c r="B2191" t="str">
        <f t="shared" si="134"/>
        <v>1</v>
      </c>
      <c r="C2191" t="str">
        <f t="shared" si="135"/>
        <v>116</v>
      </c>
      <c r="D2191" t="str">
        <f>"7"</f>
        <v>7</v>
      </c>
      <c r="E2191" t="str">
        <f>"1-116-7"</f>
        <v>1-116-7</v>
      </c>
      <c r="F2191" t="s">
        <v>15</v>
      </c>
      <c r="G2191" t="s">
        <v>20</v>
      </c>
      <c r="H2191" t="s">
        <v>21</v>
      </c>
      <c r="I2191">
        <v>0</v>
      </c>
      <c r="J2191">
        <v>0</v>
      </c>
      <c r="K2191">
        <v>1</v>
      </c>
    </row>
    <row r="2192" spans="1:11" x14ac:dyDescent="0.25">
      <c r="A2192" t="str">
        <f>"2804"</f>
        <v>2804</v>
      </c>
      <c r="B2192" t="str">
        <f t="shared" si="134"/>
        <v>1</v>
      </c>
      <c r="C2192" t="str">
        <f t="shared" si="135"/>
        <v>116</v>
      </c>
      <c r="D2192" t="str">
        <f>"9"</f>
        <v>9</v>
      </c>
      <c r="E2192" t="str">
        <f>"1-116-9"</f>
        <v>1-116-9</v>
      </c>
      <c r="F2192" t="s">
        <v>15</v>
      </c>
      <c r="G2192" t="s">
        <v>20</v>
      </c>
      <c r="H2192" t="s">
        <v>21</v>
      </c>
      <c r="I2192">
        <v>0</v>
      </c>
      <c r="J2192">
        <v>0</v>
      </c>
      <c r="K2192">
        <v>1</v>
      </c>
    </row>
    <row r="2193" spans="1:11" x14ac:dyDescent="0.25">
      <c r="A2193" t="str">
        <f>"2805"</f>
        <v>2805</v>
      </c>
      <c r="B2193" t="str">
        <f t="shared" si="134"/>
        <v>1</v>
      </c>
      <c r="C2193" t="str">
        <f t="shared" si="135"/>
        <v>116</v>
      </c>
      <c r="D2193" t="str">
        <f>"13"</f>
        <v>13</v>
      </c>
      <c r="E2193" t="str">
        <f>"1-116-13"</f>
        <v>1-116-13</v>
      </c>
      <c r="F2193" t="s">
        <v>15</v>
      </c>
      <c r="G2193" t="s">
        <v>20</v>
      </c>
      <c r="H2193" t="s">
        <v>21</v>
      </c>
      <c r="I2193">
        <v>0</v>
      </c>
      <c r="J2193">
        <v>1</v>
      </c>
      <c r="K2193">
        <v>0</v>
      </c>
    </row>
    <row r="2194" spans="1:11" x14ac:dyDescent="0.25">
      <c r="A2194" t="str">
        <f>"2806"</f>
        <v>2806</v>
      </c>
      <c r="B2194" t="str">
        <f t="shared" si="134"/>
        <v>1</v>
      </c>
      <c r="C2194" t="str">
        <f t="shared" si="135"/>
        <v>116</v>
      </c>
      <c r="D2194" t="str">
        <f>"5"</f>
        <v>5</v>
      </c>
      <c r="E2194" t="str">
        <f>"1-116-5"</f>
        <v>1-116-5</v>
      </c>
      <c r="F2194" t="s">
        <v>15</v>
      </c>
      <c r="G2194" t="s">
        <v>20</v>
      </c>
      <c r="H2194" t="s">
        <v>21</v>
      </c>
      <c r="I2194">
        <v>0</v>
      </c>
      <c r="J2194">
        <v>0</v>
      </c>
      <c r="K2194">
        <v>1</v>
      </c>
    </row>
    <row r="2195" spans="1:11" x14ac:dyDescent="0.25">
      <c r="A2195" t="str">
        <f>"2807"</f>
        <v>2807</v>
      </c>
      <c r="B2195" t="str">
        <f t="shared" si="134"/>
        <v>1</v>
      </c>
      <c r="C2195" t="str">
        <f t="shared" si="135"/>
        <v>116</v>
      </c>
      <c r="D2195" t="str">
        <f>"10"</f>
        <v>10</v>
      </c>
      <c r="E2195" t="str">
        <f>"1-116-10"</f>
        <v>1-116-10</v>
      </c>
      <c r="F2195" t="s">
        <v>15</v>
      </c>
      <c r="G2195" t="s">
        <v>20</v>
      </c>
      <c r="H2195" t="s">
        <v>21</v>
      </c>
      <c r="I2195">
        <v>0</v>
      </c>
      <c r="J2195">
        <v>1</v>
      </c>
      <c r="K2195">
        <v>0</v>
      </c>
    </row>
    <row r="2196" spans="1:11" x14ac:dyDescent="0.25">
      <c r="A2196" t="str">
        <f>"2808"</f>
        <v>2808</v>
      </c>
      <c r="B2196" t="str">
        <f t="shared" si="134"/>
        <v>1</v>
      </c>
      <c r="C2196" t="str">
        <f t="shared" si="135"/>
        <v>116</v>
      </c>
      <c r="D2196" t="str">
        <f>"4"</f>
        <v>4</v>
      </c>
      <c r="E2196" t="str">
        <f>"1-116-4"</f>
        <v>1-116-4</v>
      </c>
      <c r="F2196" t="s">
        <v>15</v>
      </c>
      <c r="G2196" t="s">
        <v>20</v>
      </c>
      <c r="H2196" t="s">
        <v>21</v>
      </c>
      <c r="I2196">
        <v>0</v>
      </c>
      <c r="J2196">
        <v>0</v>
      </c>
      <c r="K2196">
        <v>0</v>
      </c>
    </row>
    <row r="2197" spans="1:11" x14ac:dyDescent="0.25">
      <c r="A2197" t="str">
        <f>"2809"</f>
        <v>2809</v>
      </c>
      <c r="B2197" t="str">
        <f t="shared" si="134"/>
        <v>1</v>
      </c>
      <c r="C2197" t="str">
        <f t="shared" si="135"/>
        <v>116</v>
      </c>
      <c r="D2197" t="str">
        <f>"14"</f>
        <v>14</v>
      </c>
      <c r="E2197" t="str">
        <f>"1-116-14"</f>
        <v>1-116-14</v>
      </c>
      <c r="F2197" t="s">
        <v>15</v>
      </c>
      <c r="G2197" t="s">
        <v>20</v>
      </c>
      <c r="H2197" t="s">
        <v>21</v>
      </c>
      <c r="I2197">
        <v>0</v>
      </c>
      <c r="J2197">
        <v>0</v>
      </c>
      <c r="K2197">
        <v>0</v>
      </c>
    </row>
    <row r="2198" spans="1:11" x14ac:dyDescent="0.25">
      <c r="A2198" t="str">
        <f>"2810"</f>
        <v>2810</v>
      </c>
      <c r="B2198" t="str">
        <f t="shared" si="134"/>
        <v>1</v>
      </c>
      <c r="C2198" t="str">
        <f t="shared" ref="C2198:C2220" si="136">"117"</f>
        <v>117</v>
      </c>
      <c r="D2198" t="str">
        <f>"28"</f>
        <v>28</v>
      </c>
      <c r="E2198" t="str">
        <f>"1-117-28"</f>
        <v>1-117-28</v>
      </c>
      <c r="F2198" t="s">
        <v>15</v>
      </c>
      <c r="G2198" t="s">
        <v>20</v>
      </c>
      <c r="H2198" t="s">
        <v>21</v>
      </c>
      <c r="I2198">
        <v>0</v>
      </c>
      <c r="J2198">
        <v>0</v>
      </c>
      <c r="K2198">
        <v>1</v>
      </c>
    </row>
    <row r="2199" spans="1:11" x14ac:dyDescent="0.25">
      <c r="A2199" t="str">
        <f>"2811"</f>
        <v>2811</v>
      </c>
      <c r="B2199" t="str">
        <f t="shared" si="134"/>
        <v>1</v>
      </c>
      <c r="C2199" t="str">
        <f t="shared" si="136"/>
        <v>117</v>
      </c>
      <c r="D2199" t="str">
        <f>"15"</f>
        <v>15</v>
      </c>
      <c r="E2199" t="str">
        <f>"1-117-15"</f>
        <v>1-117-15</v>
      </c>
      <c r="F2199" t="s">
        <v>15</v>
      </c>
      <c r="G2199" t="s">
        <v>20</v>
      </c>
      <c r="H2199" t="s">
        <v>21</v>
      </c>
      <c r="I2199">
        <v>1</v>
      </c>
      <c r="J2199">
        <v>0</v>
      </c>
      <c r="K2199">
        <v>0</v>
      </c>
    </row>
    <row r="2200" spans="1:11" x14ac:dyDescent="0.25">
      <c r="A2200" t="str">
        <f>"2812"</f>
        <v>2812</v>
      </c>
      <c r="B2200" t="str">
        <f t="shared" si="134"/>
        <v>1</v>
      </c>
      <c r="C2200" t="str">
        <f t="shared" si="136"/>
        <v>117</v>
      </c>
      <c r="D2200" t="str">
        <f>"3"</f>
        <v>3</v>
      </c>
      <c r="E2200" t="str">
        <f>"1-117-3"</f>
        <v>1-117-3</v>
      </c>
      <c r="F2200" t="s">
        <v>15</v>
      </c>
      <c r="G2200" t="s">
        <v>20</v>
      </c>
      <c r="H2200" t="s">
        <v>21</v>
      </c>
      <c r="I2200">
        <v>0</v>
      </c>
      <c r="J2200">
        <v>0</v>
      </c>
      <c r="K2200">
        <v>1</v>
      </c>
    </row>
    <row r="2201" spans="1:11" x14ac:dyDescent="0.25">
      <c r="A2201" t="str">
        <f>"2814"</f>
        <v>2814</v>
      </c>
      <c r="B2201" t="str">
        <f t="shared" si="134"/>
        <v>1</v>
      </c>
      <c r="C2201" t="str">
        <f t="shared" si="136"/>
        <v>117</v>
      </c>
      <c r="D2201" t="str">
        <f>"1"</f>
        <v>1</v>
      </c>
      <c r="E2201" t="str">
        <f>"1-117-1"</f>
        <v>1-117-1</v>
      </c>
      <c r="F2201" t="s">
        <v>15</v>
      </c>
      <c r="G2201" t="s">
        <v>20</v>
      </c>
      <c r="H2201" t="s">
        <v>21</v>
      </c>
      <c r="I2201">
        <v>0</v>
      </c>
      <c r="J2201">
        <v>0</v>
      </c>
      <c r="K2201">
        <v>1</v>
      </c>
    </row>
    <row r="2202" spans="1:11" x14ac:dyDescent="0.25">
      <c r="A2202" t="str">
        <f>"2816"</f>
        <v>2816</v>
      </c>
      <c r="B2202" t="str">
        <f t="shared" si="134"/>
        <v>1</v>
      </c>
      <c r="C2202" t="str">
        <f t="shared" si="136"/>
        <v>117</v>
      </c>
      <c r="D2202" t="str">
        <f>"9"</f>
        <v>9</v>
      </c>
      <c r="E2202" t="str">
        <f>"1-117-9"</f>
        <v>1-117-9</v>
      </c>
      <c r="F2202" t="s">
        <v>15</v>
      </c>
      <c r="G2202" t="s">
        <v>20</v>
      </c>
      <c r="H2202" t="s">
        <v>21</v>
      </c>
      <c r="I2202">
        <v>0</v>
      </c>
      <c r="J2202">
        <v>0</v>
      </c>
      <c r="K2202">
        <v>1</v>
      </c>
    </row>
    <row r="2203" spans="1:11" x14ac:dyDescent="0.25">
      <c r="A2203" t="str">
        <f>"2817"</f>
        <v>2817</v>
      </c>
      <c r="B2203" t="str">
        <f t="shared" si="134"/>
        <v>1</v>
      </c>
      <c r="C2203" t="str">
        <f t="shared" si="136"/>
        <v>117</v>
      </c>
      <c r="D2203" t="str">
        <f>"18"</f>
        <v>18</v>
      </c>
      <c r="E2203" t="str">
        <f>"1-117-18"</f>
        <v>1-117-18</v>
      </c>
      <c r="F2203" t="s">
        <v>15</v>
      </c>
      <c r="G2203" t="s">
        <v>20</v>
      </c>
      <c r="H2203" t="s">
        <v>21</v>
      </c>
      <c r="I2203">
        <v>0</v>
      </c>
      <c r="J2203">
        <v>0</v>
      </c>
      <c r="K2203">
        <v>1</v>
      </c>
    </row>
    <row r="2204" spans="1:11" x14ac:dyDescent="0.25">
      <c r="A2204" t="str">
        <f>"2818"</f>
        <v>2818</v>
      </c>
      <c r="B2204" t="str">
        <f t="shared" si="134"/>
        <v>1</v>
      </c>
      <c r="C2204" t="str">
        <f t="shared" si="136"/>
        <v>117</v>
      </c>
      <c r="D2204" t="str">
        <f>"10"</f>
        <v>10</v>
      </c>
      <c r="E2204" t="str">
        <f>"1-117-10"</f>
        <v>1-117-10</v>
      </c>
      <c r="F2204" t="s">
        <v>15</v>
      </c>
      <c r="G2204" t="s">
        <v>20</v>
      </c>
      <c r="H2204" t="s">
        <v>21</v>
      </c>
      <c r="I2204">
        <v>0</v>
      </c>
      <c r="J2204">
        <v>0</v>
      </c>
      <c r="K2204">
        <v>1</v>
      </c>
    </row>
    <row r="2205" spans="1:11" x14ac:dyDescent="0.25">
      <c r="A2205" t="str">
        <f>"2819"</f>
        <v>2819</v>
      </c>
      <c r="B2205" t="str">
        <f t="shared" si="134"/>
        <v>1</v>
      </c>
      <c r="C2205" t="str">
        <f t="shared" si="136"/>
        <v>117</v>
      </c>
      <c r="D2205" t="str">
        <f>"19"</f>
        <v>19</v>
      </c>
      <c r="E2205" t="str">
        <f>"1-117-19"</f>
        <v>1-117-19</v>
      </c>
      <c r="F2205" t="s">
        <v>15</v>
      </c>
      <c r="G2205" t="s">
        <v>20</v>
      </c>
      <c r="H2205" t="s">
        <v>21</v>
      </c>
      <c r="I2205">
        <v>0</v>
      </c>
      <c r="J2205">
        <v>1</v>
      </c>
      <c r="K2205">
        <v>0</v>
      </c>
    </row>
    <row r="2206" spans="1:11" x14ac:dyDescent="0.25">
      <c r="A2206" t="str">
        <f>"2821"</f>
        <v>2821</v>
      </c>
      <c r="B2206" t="str">
        <f t="shared" si="134"/>
        <v>1</v>
      </c>
      <c r="C2206" t="str">
        <f t="shared" si="136"/>
        <v>117</v>
      </c>
      <c r="D2206" t="str">
        <f>"20"</f>
        <v>20</v>
      </c>
      <c r="E2206" t="str">
        <f>"1-117-20"</f>
        <v>1-117-20</v>
      </c>
      <c r="F2206" t="s">
        <v>15</v>
      </c>
      <c r="G2206" t="s">
        <v>20</v>
      </c>
      <c r="H2206" t="s">
        <v>21</v>
      </c>
      <c r="I2206">
        <v>0</v>
      </c>
      <c r="J2206">
        <v>0</v>
      </c>
      <c r="K2206">
        <v>1</v>
      </c>
    </row>
    <row r="2207" spans="1:11" x14ac:dyDescent="0.25">
      <c r="A2207" t="str">
        <f>"2824"</f>
        <v>2824</v>
      </c>
      <c r="B2207" t="str">
        <f t="shared" si="134"/>
        <v>1</v>
      </c>
      <c r="C2207" t="str">
        <f t="shared" si="136"/>
        <v>117</v>
      </c>
      <c r="D2207" t="str">
        <f>"22"</f>
        <v>22</v>
      </c>
      <c r="E2207" t="str">
        <f>"1-117-22"</f>
        <v>1-117-22</v>
      </c>
      <c r="F2207" t="s">
        <v>15</v>
      </c>
      <c r="G2207" t="s">
        <v>20</v>
      </c>
      <c r="H2207" t="s">
        <v>21</v>
      </c>
      <c r="I2207">
        <v>0</v>
      </c>
      <c r="J2207">
        <v>0</v>
      </c>
      <c r="K2207">
        <v>1</v>
      </c>
    </row>
    <row r="2208" spans="1:11" x14ac:dyDescent="0.25">
      <c r="A2208" t="str">
        <f>"2825"</f>
        <v>2825</v>
      </c>
      <c r="B2208" t="str">
        <f t="shared" si="134"/>
        <v>1</v>
      </c>
      <c r="C2208" t="str">
        <f t="shared" si="136"/>
        <v>117</v>
      </c>
      <c r="D2208" t="str">
        <f>"6"</f>
        <v>6</v>
      </c>
      <c r="E2208" t="str">
        <f>"1-117-6"</f>
        <v>1-117-6</v>
      </c>
      <c r="F2208" t="s">
        <v>15</v>
      </c>
      <c r="G2208" t="s">
        <v>20</v>
      </c>
      <c r="H2208" t="s">
        <v>21</v>
      </c>
      <c r="I2208">
        <v>0</v>
      </c>
      <c r="J2208">
        <v>0</v>
      </c>
      <c r="K2208">
        <v>1</v>
      </c>
    </row>
    <row r="2209" spans="1:11" x14ac:dyDescent="0.25">
      <c r="A2209" t="str">
        <f>"2826"</f>
        <v>2826</v>
      </c>
      <c r="B2209" t="str">
        <f t="shared" si="134"/>
        <v>1</v>
      </c>
      <c r="C2209" t="str">
        <f t="shared" si="136"/>
        <v>117</v>
      </c>
      <c r="D2209" t="str">
        <f>"24"</f>
        <v>24</v>
      </c>
      <c r="E2209" t="str">
        <f>"1-117-24"</f>
        <v>1-117-24</v>
      </c>
      <c r="F2209" t="s">
        <v>15</v>
      </c>
      <c r="G2209" t="s">
        <v>20</v>
      </c>
      <c r="H2209" t="s">
        <v>21</v>
      </c>
      <c r="I2209">
        <v>0</v>
      </c>
      <c r="J2209">
        <v>1</v>
      </c>
      <c r="K2209">
        <v>0</v>
      </c>
    </row>
    <row r="2210" spans="1:11" x14ac:dyDescent="0.25">
      <c r="A2210" t="str">
        <f>"2827"</f>
        <v>2827</v>
      </c>
      <c r="B2210" t="str">
        <f t="shared" si="134"/>
        <v>1</v>
      </c>
      <c r="C2210" t="str">
        <f t="shared" si="136"/>
        <v>117</v>
      </c>
      <c r="D2210" t="str">
        <f>"12"</f>
        <v>12</v>
      </c>
      <c r="E2210" t="str">
        <f>"1-117-12"</f>
        <v>1-117-12</v>
      </c>
      <c r="F2210" t="s">
        <v>15</v>
      </c>
      <c r="G2210" t="s">
        <v>20</v>
      </c>
      <c r="H2210" t="s">
        <v>21</v>
      </c>
      <c r="I2210">
        <v>0</v>
      </c>
      <c r="J2210">
        <v>1</v>
      </c>
      <c r="K2210">
        <v>0</v>
      </c>
    </row>
    <row r="2211" spans="1:11" x14ac:dyDescent="0.25">
      <c r="A2211" t="str">
        <f>"2828"</f>
        <v>2828</v>
      </c>
      <c r="B2211" t="str">
        <f t="shared" si="134"/>
        <v>1</v>
      </c>
      <c r="C2211" t="str">
        <f t="shared" si="136"/>
        <v>117</v>
      </c>
      <c r="D2211" t="str">
        <f>"25"</f>
        <v>25</v>
      </c>
      <c r="E2211" t="str">
        <f>"1-117-25"</f>
        <v>1-117-25</v>
      </c>
      <c r="F2211" t="s">
        <v>15</v>
      </c>
      <c r="G2211" t="s">
        <v>20</v>
      </c>
      <c r="H2211" t="s">
        <v>21</v>
      </c>
      <c r="I2211">
        <v>0</v>
      </c>
      <c r="J2211">
        <v>1</v>
      </c>
      <c r="K2211">
        <v>0</v>
      </c>
    </row>
    <row r="2212" spans="1:11" x14ac:dyDescent="0.25">
      <c r="A2212" t="str">
        <f>"2829"</f>
        <v>2829</v>
      </c>
      <c r="B2212" t="str">
        <f t="shared" si="134"/>
        <v>1</v>
      </c>
      <c r="C2212" t="str">
        <f t="shared" si="136"/>
        <v>117</v>
      </c>
      <c r="D2212" t="str">
        <f>"14"</f>
        <v>14</v>
      </c>
      <c r="E2212" t="str">
        <f>"1-117-14"</f>
        <v>1-117-14</v>
      </c>
      <c r="F2212" t="s">
        <v>15</v>
      </c>
      <c r="G2212" t="s">
        <v>20</v>
      </c>
      <c r="H2212" t="s">
        <v>21</v>
      </c>
      <c r="I2212">
        <v>0</v>
      </c>
      <c r="J2212">
        <v>0</v>
      </c>
      <c r="K2212">
        <v>1</v>
      </c>
    </row>
    <row r="2213" spans="1:11" x14ac:dyDescent="0.25">
      <c r="A2213" t="str">
        <f>"2830"</f>
        <v>2830</v>
      </c>
      <c r="B2213" t="str">
        <f t="shared" si="134"/>
        <v>1</v>
      </c>
      <c r="C2213" t="str">
        <f t="shared" si="136"/>
        <v>117</v>
      </c>
      <c r="D2213" t="str">
        <f>"7"</f>
        <v>7</v>
      </c>
      <c r="E2213" t="str">
        <f>"1-117-7"</f>
        <v>1-117-7</v>
      </c>
      <c r="F2213" t="s">
        <v>15</v>
      </c>
      <c r="G2213" t="s">
        <v>20</v>
      </c>
      <c r="H2213" t="s">
        <v>21</v>
      </c>
      <c r="I2213">
        <v>0</v>
      </c>
      <c r="J2213">
        <v>0</v>
      </c>
      <c r="K2213">
        <v>1</v>
      </c>
    </row>
    <row r="2214" spans="1:11" x14ac:dyDescent="0.25">
      <c r="A2214" t="str">
        <f>"2831"</f>
        <v>2831</v>
      </c>
      <c r="B2214" t="str">
        <f t="shared" si="134"/>
        <v>1</v>
      </c>
      <c r="C2214" t="str">
        <f t="shared" si="136"/>
        <v>117</v>
      </c>
      <c r="D2214" t="str">
        <f>"27"</f>
        <v>27</v>
      </c>
      <c r="E2214" t="str">
        <f>"1-117-27"</f>
        <v>1-117-27</v>
      </c>
      <c r="F2214" t="s">
        <v>15</v>
      </c>
      <c r="G2214" t="s">
        <v>20</v>
      </c>
      <c r="H2214" t="s">
        <v>21</v>
      </c>
      <c r="I2214">
        <v>0</v>
      </c>
      <c r="J2214">
        <v>0</v>
      </c>
      <c r="K2214">
        <v>1</v>
      </c>
    </row>
    <row r="2215" spans="1:11" x14ac:dyDescent="0.25">
      <c r="A2215" t="str">
        <f>"2832"</f>
        <v>2832</v>
      </c>
      <c r="B2215" t="str">
        <f t="shared" si="134"/>
        <v>1</v>
      </c>
      <c r="C2215" t="str">
        <f t="shared" si="136"/>
        <v>117</v>
      </c>
      <c r="D2215" t="str">
        <f>"11"</f>
        <v>11</v>
      </c>
      <c r="E2215" t="str">
        <f>"1-117-11"</f>
        <v>1-117-11</v>
      </c>
      <c r="F2215" t="s">
        <v>15</v>
      </c>
      <c r="G2215" t="s">
        <v>20</v>
      </c>
      <c r="H2215" t="s">
        <v>21</v>
      </c>
      <c r="I2215">
        <v>0</v>
      </c>
      <c r="J2215">
        <v>1</v>
      </c>
      <c r="K2215">
        <v>0</v>
      </c>
    </row>
    <row r="2216" spans="1:11" x14ac:dyDescent="0.25">
      <c r="A2216" t="str">
        <f>"2833"</f>
        <v>2833</v>
      </c>
      <c r="B2216" t="str">
        <f t="shared" si="134"/>
        <v>1</v>
      </c>
      <c r="C2216" t="str">
        <f t="shared" si="136"/>
        <v>117</v>
      </c>
      <c r="D2216" t="str">
        <f>"13"</f>
        <v>13</v>
      </c>
      <c r="E2216" t="str">
        <f>"1-117-13"</f>
        <v>1-117-13</v>
      </c>
      <c r="F2216" t="s">
        <v>15</v>
      </c>
      <c r="G2216" t="s">
        <v>20</v>
      </c>
      <c r="H2216" t="s">
        <v>21</v>
      </c>
      <c r="I2216">
        <v>0</v>
      </c>
      <c r="J2216">
        <v>0</v>
      </c>
      <c r="K2216">
        <v>0</v>
      </c>
    </row>
    <row r="2217" spans="1:11" x14ac:dyDescent="0.25">
      <c r="A2217" t="str">
        <f>"2834"</f>
        <v>2834</v>
      </c>
      <c r="B2217" t="str">
        <f t="shared" si="134"/>
        <v>1</v>
      </c>
      <c r="C2217" t="str">
        <f t="shared" si="136"/>
        <v>117</v>
      </c>
      <c r="D2217" t="str">
        <f>"2"</f>
        <v>2</v>
      </c>
      <c r="E2217" t="str">
        <f>"1-117-2"</f>
        <v>1-117-2</v>
      </c>
      <c r="F2217" t="s">
        <v>15</v>
      </c>
      <c r="G2217" t="s">
        <v>20</v>
      </c>
      <c r="H2217" t="s">
        <v>21</v>
      </c>
      <c r="I2217">
        <v>0</v>
      </c>
      <c r="J2217">
        <v>0</v>
      </c>
      <c r="K2217">
        <v>0</v>
      </c>
    </row>
    <row r="2218" spans="1:11" x14ac:dyDescent="0.25">
      <c r="A2218" t="str">
        <f>"2835"</f>
        <v>2835</v>
      </c>
      <c r="B2218" t="str">
        <f t="shared" si="134"/>
        <v>1</v>
      </c>
      <c r="C2218" t="str">
        <f t="shared" si="136"/>
        <v>117</v>
      </c>
      <c r="D2218" t="str">
        <f>"16"</f>
        <v>16</v>
      </c>
      <c r="E2218" t="str">
        <f>"1-117-16"</f>
        <v>1-117-16</v>
      </c>
      <c r="F2218" t="s">
        <v>15</v>
      </c>
      <c r="G2218" t="s">
        <v>20</v>
      </c>
      <c r="H2218" t="s">
        <v>21</v>
      </c>
      <c r="I2218">
        <v>0</v>
      </c>
      <c r="J2218">
        <v>0</v>
      </c>
      <c r="K2218">
        <v>0</v>
      </c>
    </row>
    <row r="2219" spans="1:11" x14ac:dyDescent="0.25">
      <c r="A2219" t="str">
        <f>"2836"</f>
        <v>2836</v>
      </c>
      <c r="B2219" t="str">
        <f t="shared" si="134"/>
        <v>1</v>
      </c>
      <c r="C2219" t="str">
        <f t="shared" si="136"/>
        <v>117</v>
      </c>
      <c r="D2219" t="str">
        <f>"26"</f>
        <v>26</v>
      </c>
      <c r="E2219" t="str">
        <f>"1-117-26"</f>
        <v>1-117-26</v>
      </c>
      <c r="F2219" t="s">
        <v>15</v>
      </c>
      <c r="G2219" t="s">
        <v>20</v>
      </c>
      <c r="H2219" t="s">
        <v>21</v>
      </c>
      <c r="I2219">
        <v>0</v>
      </c>
      <c r="J2219">
        <v>0</v>
      </c>
      <c r="K2219">
        <v>0</v>
      </c>
    </row>
    <row r="2220" spans="1:11" x14ac:dyDescent="0.25">
      <c r="A2220" t="str">
        <f>"2837"</f>
        <v>2837</v>
      </c>
      <c r="B2220" t="str">
        <f t="shared" si="134"/>
        <v>1</v>
      </c>
      <c r="C2220" t="str">
        <f t="shared" si="136"/>
        <v>117</v>
      </c>
      <c r="D2220" t="str">
        <f>"21"</f>
        <v>21</v>
      </c>
      <c r="E2220" t="str">
        <f>"1-117-21"</f>
        <v>1-117-21</v>
      </c>
      <c r="F2220" t="s">
        <v>15</v>
      </c>
      <c r="G2220" t="s">
        <v>20</v>
      </c>
      <c r="H2220" t="s">
        <v>21</v>
      </c>
      <c r="I2220">
        <v>0</v>
      </c>
      <c r="J2220">
        <v>0</v>
      </c>
      <c r="K2220">
        <v>0</v>
      </c>
    </row>
    <row r="2221" spans="1:11" x14ac:dyDescent="0.25">
      <c r="A2221" t="str">
        <f>"2838"</f>
        <v>2838</v>
      </c>
      <c r="B2221" t="str">
        <f t="shared" si="134"/>
        <v>1</v>
      </c>
      <c r="C2221" t="str">
        <f t="shared" ref="C2221:C2235" si="137">"118"</f>
        <v>118</v>
      </c>
      <c r="D2221" t="str">
        <f>"19"</f>
        <v>19</v>
      </c>
      <c r="E2221" t="str">
        <f>"1-118-19"</f>
        <v>1-118-19</v>
      </c>
      <c r="F2221" t="s">
        <v>15</v>
      </c>
      <c r="G2221" t="s">
        <v>16</v>
      </c>
      <c r="H2221" t="s">
        <v>17</v>
      </c>
      <c r="I2221">
        <v>1</v>
      </c>
      <c r="J2221">
        <v>0</v>
      </c>
      <c r="K2221">
        <v>0</v>
      </c>
    </row>
    <row r="2222" spans="1:11" x14ac:dyDescent="0.25">
      <c r="A2222" t="str">
        <f>"2839"</f>
        <v>2839</v>
      </c>
      <c r="B2222" t="str">
        <f t="shared" si="134"/>
        <v>1</v>
      </c>
      <c r="C2222" t="str">
        <f t="shared" si="137"/>
        <v>118</v>
      </c>
      <c r="D2222" t="str">
        <f>"15"</f>
        <v>15</v>
      </c>
      <c r="E2222" t="str">
        <f>"1-118-15"</f>
        <v>1-118-15</v>
      </c>
      <c r="F2222" t="s">
        <v>15</v>
      </c>
      <c r="G2222" t="s">
        <v>16</v>
      </c>
      <c r="H2222" t="s">
        <v>17</v>
      </c>
      <c r="I2222">
        <v>1</v>
      </c>
      <c r="J2222">
        <v>0</v>
      </c>
      <c r="K2222">
        <v>0</v>
      </c>
    </row>
    <row r="2223" spans="1:11" x14ac:dyDescent="0.25">
      <c r="A2223" t="str">
        <f>"2841"</f>
        <v>2841</v>
      </c>
      <c r="B2223" t="str">
        <f t="shared" si="134"/>
        <v>1</v>
      </c>
      <c r="C2223" t="str">
        <f t="shared" si="137"/>
        <v>118</v>
      </c>
      <c r="D2223" t="str">
        <f>"16"</f>
        <v>16</v>
      </c>
      <c r="E2223" t="str">
        <f>"1-118-16"</f>
        <v>1-118-16</v>
      </c>
      <c r="F2223" t="s">
        <v>15</v>
      </c>
      <c r="G2223" t="s">
        <v>16</v>
      </c>
      <c r="H2223" t="s">
        <v>17</v>
      </c>
      <c r="I2223">
        <v>0</v>
      </c>
      <c r="J2223">
        <v>0</v>
      </c>
      <c r="K2223">
        <v>1</v>
      </c>
    </row>
    <row r="2224" spans="1:11" x14ac:dyDescent="0.25">
      <c r="A2224" t="str">
        <f>"2842"</f>
        <v>2842</v>
      </c>
      <c r="B2224" t="str">
        <f t="shared" ref="B2224:B2277" si="138">"1"</f>
        <v>1</v>
      </c>
      <c r="C2224" t="str">
        <f t="shared" si="137"/>
        <v>118</v>
      </c>
      <c r="D2224" t="str">
        <f>"6"</f>
        <v>6</v>
      </c>
      <c r="E2224" t="str">
        <f>"1-118-6"</f>
        <v>1-118-6</v>
      </c>
      <c r="F2224" t="s">
        <v>15</v>
      </c>
      <c r="G2224" t="s">
        <v>18</v>
      </c>
      <c r="H2224" t="s">
        <v>19</v>
      </c>
      <c r="I2224">
        <v>1</v>
      </c>
      <c r="J2224">
        <v>0</v>
      </c>
      <c r="K2224">
        <v>0</v>
      </c>
    </row>
    <row r="2225" spans="1:11" x14ac:dyDescent="0.25">
      <c r="A2225" t="str">
        <f>"2847"</f>
        <v>2847</v>
      </c>
      <c r="B2225" t="str">
        <f t="shared" si="138"/>
        <v>1</v>
      </c>
      <c r="C2225" t="str">
        <f t="shared" si="137"/>
        <v>118</v>
      </c>
      <c r="D2225" t="str">
        <f>"20"</f>
        <v>20</v>
      </c>
      <c r="E2225" t="str">
        <f>"1-118-20"</f>
        <v>1-118-20</v>
      </c>
      <c r="F2225" t="s">
        <v>15</v>
      </c>
      <c r="G2225" t="s">
        <v>16</v>
      </c>
      <c r="H2225" t="s">
        <v>17</v>
      </c>
      <c r="I2225">
        <v>1</v>
      </c>
      <c r="J2225">
        <v>0</v>
      </c>
      <c r="K2225">
        <v>0</v>
      </c>
    </row>
    <row r="2226" spans="1:11" x14ac:dyDescent="0.25">
      <c r="A2226" t="str">
        <f>"2848"</f>
        <v>2848</v>
      </c>
      <c r="B2226" t="str">
        <f t="shared" si="138"/>
        <v>1</v>
      </c>
      <c r="C2226" t="str">
        <f t="shared" si="137"/>
        <v>118</v>
      </c>
      <c r="D2226" t="str">
        <f>"2"</f>
        <v>2</v>
      </c>
      <c r="E2226" t="str">
        <f>"1-118-2"</f>
        <v>1-118-2</v>
      </c>
      <c r="F2226" t="s">
        <v>15</v>
      </c>
      <c r="G2226" t="s">
        <v>20</v>
      </c>
      <c r="H2226" t="s">
        <v>21</v>
      </c>
      <c r="I2226">
        <v>0</v>
      </c>
      <c r="J2226">
        <v>0</v>
      </c>
      <c r="K2226">
        <v>1</v>
      </c>
    </row>
    <row r="2227" spans="1:11" x14ac:dyDescent="0.25">
      <c r="A2227" t="str">
        <f>"2850"</f>
        <v>2850</v>
      </c>
      <c r="B2227" t="str">
        <f t="shared" si="138"/>
        <v>1</v>
      </c>
      <c r="C2227" t="str">
        <f t="shared" si="137"/>
        <v>118</v>
      </c>
      <c r="D2227" t="str">
        <f>"7"</f>
        <v>7</v>
      </c>
      <c r="E2227" t="str">
        <f>"1-118-7"</f>
        <v>1-118-7</v>
      </c>
      <c r="F2227" t="s">
        <v>15</v>
      </c>
      <c r="G2227" t="s">
        <v>20</v>
      </c>
      <c r="H2227" t="s">
        <v>21</v>
      </c>
      <c r="I2227">
        <v>1</v>
      </c>
      <c r="J2227">
        <v>0</v>
      </c>
      <c r="K2227">
        <v>0</v>
      </c>
    </row>
    <row r="2228" spans="1:11" x14ac:dyDescent="0.25">
      <c r="A2228" t="str">
        <f>"2852"</f>
        <v>2852</v>
      </c>
      <c r="B2228" t="str">
        <f t="shared" si="138"/>
        <v>1</v>
      </c>
      <c r="C2228" t="str">
        <f t="shared" si="137"/>
        <v>118</v>
      </c>
      <c r="D2228" t="str">
        <f>"12"</f>
        <v>12</v>
      </c>
      <c r="E2228" t="str">
        <f>"1-118-12"</f>
        <v>1-118-12</v>
      </c>
      <c r="F2228" t="s">
        <v>15</v>
      </c>
      <c r="G2228" t="s">
        <v>18</v>
      </c>
      <c r="H2228" t="s">
        <v>19</v>
      </c>
      <c r="I2228">
        <v>0</v>
      </c>
      <c r="J2228">
        <v>1</v>
      </c>
      <c r="K2228">
        <v>0</v>
      </c>
    </row>
    <row r="2229" spans="1:11" x14ac:dyDescent="0.25">
      <c r="A2229" t="str">
        <f>"2853"</f>
        <v>2853</v>
      </c>
      <c r="B2229" t="str">
        <f t="shared" si="138"/>
        <v>1</v>
      </c>
      <c r="C2229" t="str">
        <f t="shared" si="137"/>
        <v>118</v>
      </c>
      <c r="D2229" t="str">
        <f>"13"</f>
        <v>13</v>
      </c>
      <c r="E2229" t="str">
        <f>"1-118-13"</f>
        <v>1-118-13</v>
      </c>
      <c r="F2229" t="s">
        <v>15</v>
      </c>
      <c r="G2229" t="s">
        <v>16</v>
      </c>
      <c r="H2229" t="s">
        <v>17</v>
      </c>
      <c r="I2229">
        <v>0</v>
      </c>
      <c r="J2229">
        <v>0</v>
      </c>
      <c r="K2229">
        <v>1</v>
      </c>
    </row>
    <row r="2230" spans="1:11" x14ac:dyDescent="0.25">
      <c r="A2230" t="str">
        <f>"2854"</f>
        <v>2854</v>
      </c>
      <c r="B2230" t="str">
        <f t="shared" si="138"/>
        <v>1</v>
      </c>
      <c r="C2230" t="str">
        <f t="shared" si="137"/>
        <v>118</v>
      </c>
      <c r="D2230" t="str">
        <f>"14"</f>
        <v>14</v>
      </c>
      <c r="E2230" t="str">
        <f>"1-118-14"</f>
        <v>1-118-14</v>
      </c>
      <c r="F2230" t="s">
        <v>15</v>
      </c>
      <c r="G2230" t="s">
        <v>20</v>
      </c>
      <c r="H2230" t="s">
        <v>21</v>
      </c>
      <c r="I2230">
        <v>0</v>
      </c>
      <c r="J2230">
        <v>0</v>
      </c>
      <c r="K2230">
        <v>1</v>
      </c>
    </row>
    <row r="2231" spans="1:11" x14ac:dyDescent="0.25">
      <c r="A2231" t="str">
        <f>"2855"</f>
        <v>2855</v>
      </c>
      <c r="B2231" t="str">
        <f t="shared" si="138"/>
        <v>1</v>
      </c>
      <c r="C2231" t="str">
        <f t="shared" si="137"/>
        <v>118</v>
      </c>
      <c r="D2231" t="str">
        <f>"1"</f>
        <v>1</v>
      </c>
      <c r="E2231" t="str">
        <f>"1-118-1"</f>
        <v>1-118-1</v>
      </c>
      <c r="F2231" t="s">
        <v>15</v>
      </c>
      <c r="G2231" t="s">
        <v>20</v>
      </c>
      <c r="H2231" t="s">
        <v>21</v>
      </c>
      <c r="I2231">
        <v>0</v>
      </c>
      <c r="J2231">
        <v>0</v>
      </c>
      <c r="K2231">
        <v>1</v>
      </c>
    </row>
    <row r="2232" spans="1:11" x14ac:dyDescent="0.25">
      <c r="A2232" t="str">
        <f>"2856"</f>
        <v>2856</v>
      </c>
      <c r="B2232" t="str">
        <f t="shared" si="138"/>
        <v>1</v>
      </c>
      <c r="C2232" t="str">
        <f t="shared" si="137"/>
        <v>118</v>
      </c>
      <c r="D2232" t="str">
        <f>"8"</f>
        <v>8</v>
      </c>
      <c r="E2232" t="str">
        <f>"1-118-8"</f>
        <v>1-118-8</v>
      </c>
      <c r="F2232" t="s">
        <v>15</v>
      </c>
      <c r="G2232" t="s">
        <v>16</v>
      </c>
      <c r="H2232" t="s">
        <v>17</v>
      </c>
      <c r="I2232">
        <v>0</v>
      </c>
      <c r="J2232">
        <v>0</v>
      </c>
      <c r="K2232">
        <v>1</v>
      </c>
    </row>
    <row r="2233" spans="1:11" x14ac:dyDescent="0.25">
      <c r="A2233" t="str">
        <f>"2857"</f>
        <v>2857</v>
      </c>
      <c r="B2233" t="str">
        <f t="shared" si="138"/>
        <v>1</v>
      </c>
      <c r="C2233" t="str">
        <f t="shared" si="137"/>
        <v>118</v>
      </c>
      <c r="D2233" t="str">
        <f>"9"</f>
        <v>9</v>
      </c>
      <c r="E2233" t="str">
        <f>"1-118-9"</f>
        <v>1-118-9</v>
      </c>
      <c r="F2233" t="s">
        <v>15</v>
      </c>
      <c r="G2233" t="s">
        <v>16</v>
      </c>
      <c r="H2233" t="s">
        <v>17</v>
      </c>
      <c r="I2233">
        <v>1</v>
      </c>
      <c r="J2233">
        <v>0</v>
      </c>
      <c r="K2233">
        <v>0</v>
      </c>
    </row>
    <row r="2234" spans="1:11" x14ac:dyDescent="0.25">
      <c r="A2234" t="str">
        <f>"2858"</f>
        <v>2858</v>
      </c>
      <c r="B2234" t="str">
        <f t="shared" si="138"/>
        <v>1</v>
      </c>
      <c r="C2234" t="str">
        <f t="shared" si="137"/>
        <v>118</v>
      </c>
      <c r="D2234" t="str">
        <f>"5"</f>
        <v>5</v>
      </c>
      <c r="E2234" t="str">
        <f>"1-118-5"</f>
        <v>1-118-5</v>
      </c>
      <c r="F2234" t="s">
        <v>15</v>
      </c>
      <c r="G2234" t="s">
        <v>18</v>
      </c>
      <c r="H2234" t="s">
        <v>19</v>
      </c>
      <c r="I2234">
        <v>1</v>
      </c>
      <c r="J2234">
        <v>0</v>
      </c>
      <c r="K2234">
        <v>0</v>
      </c>
    </row>
    <row r="2235" spans="1:11" x14ac:dyDescent="0.25">
      <c r="A2235" t="str">
        <f>"2859"</f>
        <v>2859</v>
      </c>
      <c r="B2235" t="str">
        <f t="shared" si="138"/>
        <v>1</v>
      </c>
      <c r="C2235" t="str">
        <f t="shared" si="137"/>
        <v>118</v>
      </c>
      <c r="D2235" t="str">
        <f>"4"</f>
        <v>4</v>
      </c>
      <c r="E2235" t="str">
        <f>"1-118-4"</f>
        <v>1-118-4</v>
      </c>
      <c r="F2235" t="s">
        <v>15</v>
      </c>
      <c r="G2235" t="s">
        <v>18</v>
      </c>
      <c r="H2235" t="s">
        <v>19</v>
      </c>
      <c r="I2235">
        <v>1</v>
      </c>
      <c r="J2235">
        <v>0</v>
      </c>
      <c r="K2235">
        <v>0</v>
      </c>
    </row>
    <row r="2236" spans="1:11" x14ac:dyDescent="0.25">
      <c r="A2236" t="str">
        <f>"2860"</f>
        <v>2860</v>
      </c>
      <c r="B2236" t="str">
        <f t="shared" si="138"/>
        <v>1</v>
      </c>
      <c r="C2236" t="str">
        <f t="shared" ref="C2236:C2258" si="139">"119"</f>
        <v>119</v>
      </c>
      <c r="D2236" t="str">
        <f>"22"</f>
        <v>22</v>
      </c>
      <c r="E2236" t="str">
        <f>"1-119-22"</f>
        <v>1-119-22</v>
      </c>
      <c r="F2236" t="s">
        <v>15</v>
      </c>
      <c r="G2236" t="s">
        <v>20</v>
      </c>
      <c r="H2236" t="s">
        <v>21</v>
      </c>
      <c r="I2236">
        <v>1</v>
      </c>
      <c r="J2236">
        <v>0</v>
      </c>
      <c r="K2236">
        <v>0</v>
      </c>
    </row>
    <row r="2237" spans="1:11" x14ac:dyDescent="0.25">
      <c r="A2237" t="str">
        <f>"2861"</f>
        <v>2861</v>
      </c>
      <c r="B2237" t="str">
        <f t="shared" si="138"/>
        <v>1</v>
      </c>
      <c r="C2237" t="str">
        <f t="shared" si="139"/>
        <v>119</v>
      </c>
      <c r="D2237" t="str">
        <f>"15"</f>
        <v>15</v>
      </c>
      <c r="E2237" t="str">
        <f>"1-119-15"</f>
        <v>1-119-15</v>
      </c>
      <c r="F2237" t="s">
        <v>15</v>
      </c>
      <c r="G2237" t="s">
        <v>16</v>
      </c>
      <c r="H2237" t="s">
        <v>17</v>
      </c>
      <c r="I2237">
        <v>1</v>
      </c>
      <c r="J2237">
        <v>0</v>
      </c>
      <c r="K2237">
        <v>0</v>
      </c>
    </row>
    <row r="2238" spans="1:11" x14ac:dyDescent="0.25">
      <c r="A2238" t="str">
        <f>"2862"</f>
        <v>2862</v>
      </c>
      <c r="B2238" t="str">
        <f t="shared" si="138"/>
        <v>1</v>
      </c>
      <c r="C2238" t="str">
        <f t="shared" si="139"/>
        <v>119</v>
      </c>
      <c r="D2238" t="str">
        <f>"9"</f>
        <v>9</v>
      </c>
      <c r="E2238" t="str">
        <f>"1-119-9"</f>
        <v>1-119-9</v>
      </c>
      <c r="F2238" t="s">
        <v>15</v>
      </c>
      <c r="G2238" t="s">
        <v>16</v>
      </c>
      <c r="H2238" t="s">
        <v>17</v>
      </c>
      <c r="I2238">
        <v>0</v>
      </c>
      <c r="J2238">
        <v>1</v>
      </c>
      <c r="K2238">
        <v>0</v>
      </c>
    </row>
    <row r="2239" spans="1:11" x14ac:dyDescent="0.25">
      <c r="A2239" t="str">
        <f>"2863"</f>
        <v>2863</v>
      </c>
      <c r="B2239" t="str">
        <f t="shared" si="138"/>
        <v>1</v>
      </c>
      <c r="C2239" t="str">
        <f t="shared" si="139"/>
        <v>119</v>
      </c>
      <c r="D2239" t="str">
        <f>"23"</f>
        <v>23</v>
      </c>
      <c r="E2239" t="str">
        <f>"1-119-23"</f>
        <v>1-119-23</v>
      </c>
      <c r="F2239" t="s">
        <v>15</v>
      </c>
      <c r="G2239" t="s">
        <v>20</v>
      </c>
      <c r="H2239" t="s">
        <v>21</v>
      </c>
      <c r="I2239">
        <v>1</v>
      </c>
      <c r="J2239">
        <v>0</v>
      </c>
      <c r="K2239">
        <v>0</v>
      </c>
    </row>
    <row r="2240" spans="1:11" x14ac:dyDescent="0.25">
      <c r="A2240" t="str">
        <f>"2864"</f>
        <v>2864</v>
      </c>
      <c r="B2240" t="str">
        <f t="shared" si="138"/>
        <v>1</v>
      </c>
      <c r="C2240" t="str">
        <f t="shared" si="139"/>
        <v>119</v>
      </c>
      <c r="D2240" t="str">
        <f>"16"</f>
        <v>16</v>
      </c>
      <c r="E2240" t="str">
        <f>"1-119-16"</f>
        <v>1-119-16</v>
      </c>
      <c r="F2240" t="s">
        <v>15</v>
      </c>
      <c r="G2240" t="s">
        <v>16</v>
      </c>
      <c r="H2240" t="s">
        <v>17</v>
      </c>
      <c r="I2240">
        <v>0</v>
      </c>
      <c r="J2240">
        <v>0</v>
      </c>
      <c r="K2240">
        <v>1</v>
      </c>
    </row>
    <row r="2241" spans="1:11" x14ac:dyDescent="0.25">
      <c r="A2241" t="str">
        <f>"2865"</f>
        <v>2865</v>
      </c>
      <c r="B2241" t="str">
        <f t="shared" si="138"/>
        <v>1</v>
      </c>
      <c r="C2241" t="str">
        <f t="shared" si="139"/>
        <v>119</v>
      </c>
      <c r="D2241" t="str">
        <f>"8"</f>
        <v>8</v>
      </c>
      <c r="E2241" t="str">
        <f>"1-119-8"</f>
        <v>1-119-8</v>
      </c>
      <c r="F2241" t="s">
        <v>15</v>
      </c>
      <c r="G2241" t="s">
        <v>16</v>
      </c>
      <c r="H2241" t="s">
        <v>17</v>
      </c>
      <c r="I2241">
        <v>0</v>
      </c>
      <c r="J2241">
        <v>0</v>
      </c>
      <c r="K2241">
        <v>1</v>
      </c>
    </row>
    <row r="2242" spans="1:11" x14ac:dyDescent="0.25">
      <c r="A2242" t="str">
        <f>"2866"</f>
        <v>2866</v>
      </c>
      <c r="B2242" t="str">
        <f t="shared" si="138"/>
        <v>1</v>
      </c>
      <c r="C2242" t="str">
        <f t="shared" si="139"/>
        <v>119</v>
      </c>
      <c r="D2242" t="str">
        <f>"17"</f>
        <v>17</v>
      </c>
      <c r="E2242" t="str">
        <f>"1-119-17"</f>
        <v>1-119-17</v>
      </c>
      <c r="F2242" t="s">
        <v>15</v>
      </c>
      <c r="G2242" t="s">
        <v>16</v>
      </c>
      <c r="H2242" t="s">
        <v>17</v>
      </c>
      <c r="I2242">
        <v>0</v>
      </c>
      <c r="J2242">
        <v>0</v>
      </c>
      <c r="K2242">
        <v>1</v>
      </c>
    </row>
    <row r="2243" spans="1:11" x14ac:dyDescent="0.25">
      <c r="A2243" t="str">
        <f>"2868"</f>
        <v>2868</v>
      </c>
      <c r="B2243" t="str">
        <f t="shared" si="138"/>
        <v>1</v>
      </c>
      <c r="C2243" t="str">
        <f t="shared" si="139"/>
        <v>119</v>
      </c>
      <c r="D2243" t="str">
        <f>"18"</f>
        <v>18</v>
      </c>
      <c r="E2243" t="str">
        <f>"1-119-18"</f>
        <v>1-119-18</v>
      </c>
      <c r="F2243" t="s">
        <v>15</v>
      </c>
      <c r="G2243" t="s">
        <v>16</v>
      </c>
      <c r="H2243" t="s">
        <v>17</v>
      </c>
      <c r="I2243">
        <v>0</v>
      </c>
      <c r="J2243">
        <v>1</v>
      </c>
      <c r="K2243">
        <v>0</v>
      </c>
    </row>
    <row r="2244" spans="1:11" x14ac:dyDescent="0.25">
      <c r="A2244" t="str">
        <f>"2870"</f>
        <v>2870</v>
      </c>
      <c r="B2244" t="str">
        <f t="shared" si="138"/>
        <v>1</v>
      </c>
      <c r="C2244" t="str">
        <f t="shared" si="139"/>
        <v>119</v>
      </c>
      <c r="D2244" t="str">
        <f>"19"</f>
        <v>19</v>
      </c>
      <c r="E2244" t="str">
        <f>"1-119-19"</f>
        <v>1-119-19</v>
      </c>
      <c r="F2244" t="s">
        <v>15</v>
      </c>
      <c r="G2244" t="s">
        <v>16</v>
      </c>
      <c r="H2244" t="s">
        <v>17</v>
      </c>
      <c r="I2244">
        <v>0</v>
      </c>
      <c r="J2244">
        <v>0</v>
      </c>
      <c r="K2244">
        <v>1</v>
      </c>
    </row>
    <row r="2245" spans="1:11" x14ac:dyDescent="0.25">
      <c r="A2245" t="str">
        <f>"2871"</f>
        <v>2871</v>
      </c>
      <c r="B2245" t="str">
        <f t="shared" si="138"/>
        <v>1</v>
      </c>
      <c r="C2245" t="str">
        <f t="shared" si="139"/>
        <v>119</v>
      </c>
      <c r="D2245" t="str">
        <f>"1"</f>
        <v>1</v>
      </c>
      <c r="E2245" t="str">
        <f>"1-119-1"</f>
        <v>1-119-1</v>
      </c>
      <c r="F2245" t="s">
        <v>15</v>
      </c>
      <c r="G2245" t="s">
        <v>16</v>
      </c>
      <c r="H2245" t="s">
        <v>17</v>
      </c>
      <c r="I2245">
        <v>0</v>
      </c>
      <c r="J2245">
        <v>1</v>
      </c>
      <c r="K2245">
        <v>0</v>
      </c>
    </row>
    <row r="2246" spans="1:11" x14ac:dyDescent="0.25">
      <c r="A2246" t="str">
        <f>"2872"</f>
        <v>2872</v>
      </c>
      <c r="B2246" t="str">
        <f t="shared" si="138"/>
        <v>1</v>
      </c>
      <c r="C2246" t="str">
        <f t="shared" si="139"/>
        <v>119</v>
      </c>
      <c r="D2246" t="str">
        <f>"20"</f>
        <v>20</v>
      </c>
      <c r="E2246" t="str">
        <f>"1-119-20"</f>
        <v>1-119-20</v>
      </c>
      <c r="F2246" t="s">
        <v>15</v>
      </c>
      <c r="G2246" t="s">
        <v>16</v>
      </c>
      <c r="H2246" t="s">
        <v>17</v>
      </c>
      <c r="I2246">
        <v>0</v>
      </c>
      <c r="J2246">
        <v>0</v>
      </c>
      <c r="K2246">
        <v>1</v>
      </c>
    </row>
    <row r="2247" spans="1:11" x14ac:dyDescent="0.25">
      <c r="A2247" t="str">
        <f>"2873"</f>
        <v>2873</v>
      </c>
      <c r="B2247" t="str">
        <f t="shared" si="138"/>
        <v>1</v>
      </c>
      <c r="C2247" t="str">
        <f t="shared" si="139"/>
        <v>119</v>
      </c>
      <c r="D2247" t="str">
        <f>"10"</f>
        <v>10</v>
      </c>
      <c r="E2247" t="str">
        <f>"1-119-10"</f>
        <v>1-119-10</v>
      </c>
      <c r="F2247" t="s">
        <v>15</v>
      </c>
      <c r="G2247" t="s">
        <v>16</v>
      </c>
      <c r="H2247" t="s">
        <v>17</v>
      </c>
      <c r="I2247">
        <v>1</v>
      </c>
      <c r="J2247">
        <v>0</v>
      </c>
      <c r="K2247">
        <v>0</v>
      </c>
    </row>
    <row r="2248" spans="1:11" x14ac:dyDescent="0.25">
      <c r="A2248" t="str">
        <f>"2874"</f>
        <v>2874</v>
      </c>
      <c r="B2248" t="str">
        <f t="shared" si="138"/>
        <v>1</v>
      </c>
      <c r="C2248" t="str">
        <f t="shared" si="139"/>
        <v>119</v>
      </c>
      <c r="D2248" t="str">
        <f>"21"</f>
        <v>21</v>
      </c>
      <c r="E2248" t="str">
        <f>"1-119-21"</f>
        <v>1-119-21</v>
      </c>
      <c r="F2248" t="s">
        <v>15</v>
      </c>
      <c r="G2248" t="s">
        <v>20</v>
      </c>
      <c r="H2248" t="s">
        <v>21</v>
      </c>
      <c r="I2248">
        <v>0</v>
      </c>
      <c r="J2248">
        <v>0</v>
      </c>
      <c r="K2248">
        <v>1</v>
      </c>
    </row>
    <row r="2249" spans="1:11" x14ac:dyDescent="0.25">
      <c r="A2249" t="str">
        <f>"2875"</f>
        <v>2875</v>
      </c>
      <c r="B2249" t="str">
        <f t="shared" si="138"/>
        <v>1</v>
      </c>
      <c r="C2249" t="str">
        <f t="shared" si="139"/>
        <v>119</v>
      </c>
      <c r="D2249" t="str">
        <f>"7"</f>
        <v>7</v>
      </c>
      <c r="E2249" t="str">
        <f>"1-119-7"</f>
        <v>1-119-7</v>
      </c>
      <c r="F2249" t="s">
        <v>15</v>
      </c>
      <c r="G2249" t="s">
        <v>16</v>
      </c>
      <c r="H2249" t="s">
        <v>17</v>
      </c>
      <c r="I2249">
        <v>1</v>
      </c>
      <c r="J2249">
        <v>0</v>
      </c>
      <c r="K2249">
        <v>0</v>
      </c>
    </row>
    <row r="2250" spans="1:11" x14ac:dyDescent="0.25">
      <c r="A2250" t="str">
        <f>"2876"</f>
        <v>2876</v>
      </c>
      <c r="B2250" t="str">
        <f t="shared" si="138"/>
        <v>1</v>
      </c>
      <c r="C2250" t="str">
        <f t="shared" si="139"/>
        <v>119</v>
      </c>
      <c r="D2250" t="str">
        <f>"3"</f>
        <v>3</v>
      </c>
      <c r="E2250" t="str">
        <f>"1-119-3"</f>
        <v>1-119-3</v>
      </c>
      <c r="F2250" t="s">
        <v>15</v>
      </c>
      <c r="G2250" t="s">
        <v>18</v>
      </c>
      <c r="H2250" t="s">
        <v>19</v>
      </c>
      <c r="I2250">
        <v>1</v>
      </c>
      <c r="J2250">
        <v>0</v>
      </c>
      <c r="K2250">
        <v>0</v>
      </c>
    </row>
    <row r="2251" spans="1:11" x14ac:dyDescent="0.25">
      <c r="A2251" t="str">
        <f>"2877"</f>
        <v>2877</v>
      </c>
      <c r="B2251" t="str">
        <f t="shared" si="138"/>
        <v>1</v>
      </c>
      <c r="C2251" t="str">
        <f t="shared" si="139"/>
        <v>119</v>
      </c>
      <c r="D2251" t="str">
        <f>"25"</f>
        <v>25</v>
      </c>
      <c r="E2251" t="str">
        <f>"1-119-25"</f>
        <v>1-119-25</v>
      </c>
      <c r="F2251" t="s">
        <v>15</v>
      </c>
      <c r="G2251" t="s">
        <v>18</v>
      </c>
      <c r="H2251" t="s">
        <v>19</v>
      </c>
      <c r="I2251">
        <v>1</v>
      </c>
      <c r="J2251">
        <v>0</v>
      </c>
      <c r="K2251">
        <v>0</v>
      </c>
    </row>
    <row r="2252" spans="1:11" x14ac:dyDescent="0.25">
      <c r="A2252" t="str">
        <f>"2878"</f>
        <v>2878</v>
      </c>
      <c r="B2252" t="str">
        <f t="shared" si="138"/>
        <v>1</v>
      </c>
      <c r="C2252" t="str">
        <f t="shared" si="139"/>
        <v>119</v>
      </c>
      <c r="D2252" t="str">
        <f>"4"</f>
        <v>4</v>
      </c>
      <c r="E2252" t="str">
        <f>"1-119-4"</f>
        <v>1-119-4</v>
      </c>
      <c r="F2252" t="s">
        <v>15</v>
      </c>
      <c r="G2252" t="s">
        <v>18</v>
      </c>
      <c r="H2252" t="s">
        <v>19</v>
      </c>
      <c r="I2252">
        <v>1</v>
      </c>
      <c r="J2252">
        <v>0</v>
      </c>
      <c r="K2252">
        <v>0</v>
      </c>
    </row>
    <row r="2253" spans="1:11" x14ac:dyDescent="0.25">
      <c r="A2253" t="str">
        <f>"2879"</f>
        <v>2879</v>
      </c>
      <c r="B2253" t="str">
        <f t="shared" si="138"/>
        <v>1</v>
      </c>
      <c r="C2253" t="str">
        <f t="shared" si="139"/>
        <v>119</v>
      </c>
      <c r="D2253" t="str">
        <f>"12"</f>
        <v>12</v>
      </c>
      <c r="E2253" t="str">
        <f>"1-119-12"</f>
        <v>1-119-12</v>
      </c>
      <c r="F2253" t="s">
        <v>15</v>
      </c>
      <c r="G2253" t="s">
        <v>18</v>
      </c>
      <c r="H2253" t="s">
        <v>19</v>
      </c>
      <c r="I2253">
        <v>1</v>
      </c>
      <c r="J2253">
        <v>0</v>
      </c>
      <c r="K2253">
        <v>0</v>
      </c>
    </row>
    <row r="2254" spans="1:11" x14ac:dyDescent="0.25">
      <c r="A2254" t="str">
        <f>"2880"</f>
        <v>2880</v>
      </c>
      <c r="B2254" t="str">
        <f t="shared" si="138"/>
        <v>1</v>
      </c>
      <c r="C2254" t="str">
        <f t="shared" si="139"/>
        <v>119</v>
      </c>
      <c r="D2254" t="str">
        <f>"2"</f>
        <v>2</v>
      </c>
      <c r="E2254" t="str">
        <f>"1-119-2"</f>
        <v>1-119-2</v>
      </c>
      <c r="F2254" t="s">
        <v>15</v>
      </c>
      <c r="G2254" t="s">
        <v>16</v>
      </c>
      <c r="H2254" t="s">
        <v>17</v>
      </c>
      <c r="I2254">
        <v>1</v>
      </c>
      <c r="J2254">
        <v>0</v>
      </c>
      <c r="K2254">
        <v>0</v>
      </c>
    </row>
    <row r="2255" spans="1:11" x14ac:dyDescent="0.25">
      <c r="A2255" t="str">
        <f>"2881"</f>
        <v>2881</v>
      </c>
      <c r="B2255" t="str">
        <f t="shared" si="138"/>
        <v>1</v>
      </c>
      <c r="C2255" t="str">
        <f t="shared" si="139"/>
        <v>119</v>
      </c>
      <c r="D2255" t="str">
        <f>"14"</f>
        <v>14</v>
      </c>
      <c r="E2255" t="str">
        <f>"1-119-14"</f>
        <v>1-119-14</v>
      </c>
      <c r="F2255" t="s">
        <v>15</v>
      </c>
      <c r="G2255" t="s">
        <v>20</v>
      </c>
      <c r="H2255" t="s">
        <v>21</v>
      </c>
      <c r="I2255">
        <v>1</v>
      </c>
      <c r="J2255">
        <v>0</v>
      </c>
      <c r="K2255">
        <v>0</v>
      </c>
    </row>
    <row r="2256" spans="1:11" x14ac:dyDescent="0.25">
      <c r="A2256" t="str">
        <f>"2882"</f>
        <v>2882</v>
      </c>
      <c r="B2256" t="str">
        <f t="shared" si="138"/>
        <v>1</v>
      </c>
      <c r="C2256" t="str">
        <f t="shared" si="139"/>
        <v>119</v>
      </c>
      <c r="D2256" t="str">
        <f>"13"</f>
        <v>13</v>
      </c>
      <c r="E2256" t="str">
        <f>"1-119-13"</f>
        <v>1-119-13</v>
      </c>
      <c r="F2256" t="s">
        <v>15</v>
      </c>
      <c r="G2256" t="s">
        <v>16</v>
      </c>
      <c r="H2256" t="s">
        <v>17</v>
      </c>
      <c r="I2256">
        <v>0</v>
      </c>
      <c r="J2256">
        <v>1</v>
      </c>
      <c r="K2256">
        <v>0</v>
      </c>
    </row>
    <row r="2257" spans="1:11" x14ac:dyDescent="0.25">
      <c r="A2257" t="str">
        <f>"2883"</f>
        <v>2883</v>
      </c>
      <c r="B2257" t="str">
        <f t="shared" si="138"/>
        <v>1</v>
      </c>
      <c r="C2257" t="str">
        <f t="shared" si="139"/>
        <v>119</v>
      </c>
      <c r="D2257" t="str">
        <f>"6"</f>
        <v>6</v>
      </c>
      <c r="E2257" t="str">
        <f>"1-119-6"</f>
        <v>1-119-6</v>
      </c>
      <c r="F2257" t="s">
        <v>15</v>
      </c>
      <c r="G2257" t="s">
        <v>18</v>
      </c>
      <c r="H2257" t="s">
        <v>19</v>
      </c>
      <c r="I2257">
        <v>0</v>
      </c>
      <c r="J2257">
        <v>1</v>
      </c>
      <c r="K2257">
        <v>0</v>
      </c>
    </row>
    <row r="2258" spans="1:11" x14ac:dyDescent="0.25">
      <c r="A2258" t="str">
        <f>"2884"</f>
        <v>2884</v>
      </c>
      <c r="B2258" t="str">
        <f t="shared" si="138"/>
        <v>1</v>
      </c>
      <c r="C2258" t="str">
        <f t="shared" si="139"/>
        <v>119</v>
      </c>
      <c r="D2258" t="str">
        <f>"24"</f>
        <v>24</v>
      </c>
      <c r="E2258" t="str">
        <f>"1-119-24"</f>
        <v>1-119-24</v>
      </c>
      <c r="F2258" t="s">
        <v>15</v>
      </c>
      <c r="G2258" t="s">
        <v>16</v>
      </c>
      <c r="H2258" t="s">
        <v>17</v>
      </c>
      <c r="I2258">
        <v>0</v>
      </c>
      <c r="J2258">
        <v>0</v>
      </c>
      <c r="K2258">
        <v>0</v>
      </c>
    </row>
    <row r="2259" spans="1:11" x14ac:dyDescent="0.25">
      <c r="A2259" t="str">
        <f>"2885"</f>
        <v>2885</v>
      </c>
      <c r="B2259" t="str">
        <f t="shared" si="138"/>
        <v>1</v>
      </c>
      <c r="C2259" t="str">
        <f t="shared" ref="C2259:C2277" si="140">"120"</f>
        <v>120</v>
      </c>
      <c r="D2259" t="str">
        <f>"19"</f>
        <v>19</v>
      </c>
      <c r="E2259" t="str">
        <f>"1-120-19"</f>
        <v>1-120-19</v>
      </c>
      <c r="F2259" t="s">
        <v>15</v>
      </c>
      <c r="G2259" t="s">
        <v>16</v>
      </c>
      <c r="H2259" t="s">
        <v>17</v>
      </c>
      <c r="I2259">
        <v>0</v>
      </c>
      <c r="J2259">
        <v>0</v>
      </c>
      <c r="K2259">
        <v>1</v>
      </c>
    </row>
    <row r="2260" spans="1:11" x14ac:dyDescent="0.25">
      <c r="A2260" t="str">
        <f>"2886"</f>
        <v>2886</v>
      </c>
      <c r="B2260" t="str">
        <f t="shared" si="138"/>
        <v>1</v>
      </c>
      <c r="C2260" t="str">
        <f t="shared" si="140"/>
        <v>120</v>
      </c>
      <c r="D2260" t="str">
        <f>"15"</f>
        <v>15</v>
      </c>
      <c r="E2260" t="str">
        <f>"1-120-15"</f>
        <v>1-120-15</v>
      </c>
      <c r="F2260" t="s">
        <v>15</v>
      </c>
      <c r="G2260" t="s">
        <v>16</v>
      </c>
      <c r="H2260" t="s">
        <v>17</v>
      </c>
      <c r="I2260">
        <v>1</v>
      </c>
      <c r="J2260">
        <v>0</v>
      </c>
      <c r="K2260">
        <v>0</v>
      </c>
    </row>
    <row r="2261" spans="1:11" x14ac:dyDescent="0.25">
      <c r="A2261" t="str">
        <f>"2887"</f>
        <v>2887</v>
      </c>
      <c r="B2261" t="str">
        <f t="shared" si="138"/>
        <v>1</v>
      </c>
      <c r="C2261" t="str">
        <f t="shared" si="140"/>
        <v>120</v>
      </c>
      <c r="D2261" t="str">
        <f>"2"</f>
        <v>2</v>
      </c>
      <c r="E2261" t="str">
        <f>"1-120-2"</f>
        <v>1-120-2</v>
      </c>
      <c r="F2261" t="s">
        <v>15</v>
      </c>
      <c r="G2261" t="s">
        <v>16</v>
      </c>
      <c r="H2261" t="s">
        <v>17</v>
      </c>
      <c r="I2261">
        <v>0</v>
      </c>
      <c r="J2261">
        <v>0</v>
      </c>
      <c r="K2261">
        <v>1</v>
      </c>
    </row>
    <row r="2262" spans="1:11" x14ac:dyDescent="0.25">
      <c r="A2262" t="str">
        <f>"2888"</f>
        <v>2888</v>
      </c>
      <c r="B2262" t="str">
        <f t="shared" si="138"/>
        <v>1</v>
      </c>
      <c r="C2262" t="str">
        <f t="shared" si="140"/>
        <v>120</v>
      </c>
      <c r="D2262" t="str">
        <f>"16"</f>
        <v>16</v>
      </c>
      <c r="E2262" t="str">
        <f>"1-120-16"</f>
        <v>1-120-16</v>
      </c>
      <c r="F2262" t="s">
        <v>15</v>
      </c>
      <c r="G2262" t="s">
        <v>16</v>
      </c>
      <c r="H2262" t="s">
        <v>17</v>
      </c>
      <c r="I2262">
        <v>1</v>
      </c>
      <c r="J2262">
        <v>0</v>
      </c>
      <c r="K2262">
        <v>0</v>
      </c>
    </row>
    <row r="2263" spans="1:11" x14ac:dyDescent="0.25">
      <c r="A2263" t="str">
        <f>"2889"</f>
        <v>2889</v>
      </c>
      <c r="B2263" t="str">
        <f t="shared" si="138"/>
        <v>1</v>
      </c>
      <c r="C2263" t="str">
        <f t="shared" si="140"/>
        <v>120</v>
      </c>
      <c r="D2263" t="str">
        <f>"7"</f>
        <v>7</v>
      </c>
      <c r="E2263" t="str">
        <f>"1-120-7"</f>
        <v>1-120-7</v>
      </c>
      <c r="F2263" t="s">
        <v>15</v>
      </c>
      <c r="G2263" t="s">
        <v>16</v>
      </c>
      <c r="H2263" t="s">
        <v>17</v>
      </c>
      <c r="I2263">
        <v>0</v>
      </c>
      <c r="J2263">
        <v>1</v>
      </c>
      <c r="K2263">
        <v>0</v>
      </c>
    </row>
    <row r="2264" spans="1:11" x14ac:dyDescent="0.25">
      <c r="A2264" t="str">
        <f>"2890"</f>
        <v>2890</v>
      </c>
      <c r="B2264" t="str">
        <f t="shared" si="138"/>
        <v>1</v>
      </c>
      <c r="C2264" t="str">
        <f t="shared" si="140"/>
        <v>120</v>
      </c>
      <c r="D2264" t="str">
        <f>"17"</f>
        <v>17</v>
      </c>
      <c r="E2264" t="str">
        <f>"1-120-17"</f>
        <v>1-120-17</v>
      </c>
      <c r="F2264" t="s">
        <v>15</v>
      </c>
      <c r="G2264" t="s">
        <v>16</v>
      </c>
      <c r="H2264" t="s">
        <v>17</v>
      </c>
      <c r="I2264">
        <v>0</v>
      </c>
      <c r="J2264">
        <v>0</v>
      </c>
      <c r="K2264">
        <v>1</v>
      </c>
    </row>
    <row r="2265" spans="1:11" x14ac:dyDescent="0.25">
      <c r="A2265" t="str">
        <f>"2892"</f>
        <v>2892</v>
      </c>
      <c r="B2265" t="str">
        <f t="shared" si="138"/>
        <v>1</v>
      </c>
      <c r="C2265" t="str">
        <f t="shared" si="140"/>
        <v>120</v>
      </c>
      <c r="D2265" t="str">
        <f>"18"</f>
        <v>18</v>
      </c>
      <c r="E2265" t="str">
        <f>"1-120-18"</f>
        <v>1-120-18</v>
      </c>
      <c r="F2265" t="s">
        <v>15</v>
      </c>
      <c r="G2265" t="s">
        <v>16</v>
      </c>
      <c r="H2265" t="s">
        <v>17</v>
      </c>
      <c r="I2265">
        <v>1</v>
      </c>
      <c r="J2265">
        <v>0</v>
      </c>
      <c r="K2265">
        <v>0</v>
      </c>
    </row>
    <row r="2266" spans="1:11" x14ac:dyDescent="0.25">
      <c r="A2266" t="str">
        <f>"2894"</f>
        <v>2894</v>
      </c>
      <c r="B2266" t="str">
        <f t="shared" si="138"/>
        <v>1</v>
      </c>
      <c r="C2266" t="str">
        <f t="shared" si="140"/>
        <v>120</v>
      </c>
      <c r="D2266" t="str">
        <f>"20"</f>
        <v>20</v>
      </c>
      <c r="E2266" t="str">
        <f>"1-120-20"</f>
        <v>1-120-20</v>
      </c>
      <c r="F2266" t="s">
        <v>15</v>
      </c>
      <c r="G2266" t="s">
        <v>16</v>
      </c>
      <c r="H2266" t="s">
        <v>17</v>
      </c>
      <c r="I2266">
        <v>0</v>
      </c>
      <c r="J2266">
        <v>0</v>
      </c>
      <c r="K2266">
        <v>1</v>
      </c>
    </row>
    <row r="2267" spans="1:11" x14ac:dyDescent="0.25">
      <c r="A2267" t="str">
        <f>"2895"</f>
        <v>2895</v>
      </c>
      <c r="B2267" t="str">
        <f t="shared" si="138"/>
        <v>1</v>
      </c>
      <c r="C2267" t="str">
        <f t="shared" si="140"/>
        <v>120</v>
      </c>
      <c r="D2267" t="str">
        <f>"21"</f>
        <v>21</v>
      </c>
      <c r="E2267" t="str">
        <f>"1-120-21"</f>
        <v>1-120-21</v>
      </c>
      <c r="F2267" t="s">
        <v>15</v>
      </c>
      <c r="G2267" t="s">
        <v>16</v>
      </c>
      <c r="H2267" t="s">
        <v>17</v>
      </c>
      <c r="I2267">
        <v>0</v>
      </c>
      <c r="J2267">
        <v>1</v>
      </c>
      <c r="K2267">
        <v>0</v>
      </c>
    </row>
    <row r="2268" spans="1:11" x14ac:dyDescent="0.25">
      <c r="A2268" t="str">
        <f>"2896"</f>
        <v>2896</v>
      </c>
      <c r="B2268" t="str">
        <f t="shared" si="138"/>
        <v>1</v>
      </c>
      <c r="C2268" t="str">
        <f t="shared" si="140"/>
        <v>120</v>
      </c>
      <c r="D2268" t="str">
        <f>"12"</f>
        <v>12</v>
      </c>
      <c r="E2268" t="str">
        <f>"1-120-12"</f>
        <v>1-120-12</v>
      </c>
      <c r="F2268" t="s">
        <v>15</v>
      </c>
      <c r="G2268" t="s">
        <v>16</v>
      </c>
      <c r="H2268" t="s">
        <v>17</v>
      </c>
      <c r="I2268">
        <v>1</v>
      </c>
      <c r="J2268">
        <v>0</v>
      </c>
      <c r="K2268">
        <v>0</v>
      </c>
    </row>
    <row r="2269" spans="1:11" x14ac:dyDescent="0.25">
      <c r="A2269" t="str">
        <f>"2897"</f>
        <v>2897</v>
      </c>
      <c r="B2269" t="str">
        <f t="shared" si="138"/>
        <v>1</v>
      </c>
      <c r="C2269" t="str">
        <f t="shared" si="140"/>
        <v>120</v>
      </c>
      <c r="D2269" t="str">
        <f>"9"</f>
        <v>9</v>
      </c>
      <c r="E2269" t="str">
        <f>"1-120-9"</f>
        <v>1-120-9</v>
      </c>
      <c r="F2269" t="s">
        <v>15</v>
      </c>
      <c r="G2269" t="s">
        <v>18</v>
      </c>
      <c r="H2269" t="s">
        <v>19</v>
      </c>
      <c r="I2269">
        <v>0</v>
      </c>
      <c r="J2269">
        <v>0</v>
      </c>
      <c r="K2269">
        <v>1</v>
      </c>
    </row>
    <row r="2270" spans="1:11" x14ac:dyDescent="0.25">
      <c r="A2270" t="str">
        <f>"2898"</f>
        <v>2898</v>
      </c>
      <c r="B2270" t="str">
        <f t="shared" si="138"/>
        <v>1</v>
      </c>
      <c r="C2270" t="str">
        <f t="shared" si="140"/>
        <v>120</v>
      </c>
      <c r="D2270" t="str">
        <f>"13"</f>
        <v>13</v>
      </c>
      <c r="E2270" t="str">
        <f>"1-120-13"</f>
        <v>1-120-13</v>
      </c>
      <c r="F2270" t="s">
        <v>15</v>
      </c>
      <c r="G2270" t="s">
        <v>18</v>
      </c>
      <c r="H2270" t="s">
        <v>19</v>
      </c>
      <c r="I2270">
        <v>0</v>
      </c>
      <c r="J2270">
        <v>0</v>
      </c>
      <c r="K2270">
        <v>1</v>
      </c>
    </row>
    <row r="2271" spans="1:11" x14ac:dyDescent="0.25">
      <c r="A2271" t="str">
        <f>"2899"</f>
        <v>2899</v>
      </c>
      <c r="B2271" t="str">
        <f t="shared" si="138"/>
        <v>1</v>
      </c>
      <c r="C2271" t="str">
        <f t="shared" si="140"/>
        <v>120</v>
      </c>
      <c r="D2271" t="str">
        <f>"6"</f>
        <v>6</v>
      </c>
      <c r="E2271" t="str">
        <f>"1-120-6"</f>
        <v>1-120-6</v>
      </c>
      <c r="F2271" t="s">
        <v>15</v>
      </c>
      <c r="G2271" t="s">
        <v>16</v>
      </c>
      <c r="H2271" t="s">
        <v>17</v>
      </c>
      <c r="I2271">
        <v>0</v>
      </c>
      <c r="J2271">
        <v>1</v>
      </c>
      <c r="K2271">
        <v>0</v>
      </c>
    </row>
    <row r="2272" spans="1:11" x14ac:dyDescent="0.25">
      <c r="A2272" t="str">
        <f>"2900"</f>
        <v>2900</v>
      </c>
      <c r="B2272" t="str">
        <f t="shared" si="138"/>
        <v>1</v>
      </c>
      <c r="C2272" t="str">
        <f t="shared" si="140"/>
        <v>120</v>
      </c>
      <c r="D2272" t="str">
        <f>"1"</f>
        <v>1</v>
      </c>
      <c r="E2272" t="str">
        <f>"1-120-1"</f>
        <v>1-120-1</v>
      </c>
      <c r="F2272" t="s">
        <v>15</v>
      </c>
      <c r="G2272" t="s">
        <v>16</v>
      </c>
      <c r="H2272" t="s">
        <v>17</v>
      </c>
      <c r="I2272">
        <v>0</v>
      </c>
      <c r="J2272">
        <v>1</v>
      </c>
      <c r="K2272">
        <v>0</v>
      </c>
    </row>
    <row r="2273" spans="1:11" x14ac:dyDescent="0.25">
      <c r="A2273" t="str">
        <f>"2901"</f>
        <v>2901</v>
      </c>
      <c r="B2273" t="str">
        <f t="shared" si="138"/>
        <v>1</v>
      </c>
      <c r="C2273" t="str">
        <f t="shared" si="140"/>
        <v>120</v>
      </c>
      <c r="D2273" t="str">
        <f>"4"</f>
        <v>4</v>
      </c>
      <c r="E2273" t="str">
        <f>"1-120-4"</f>
        <v>1-120-4</v>
      </c>
      <c r="F2273" t="s">
        <v>15</v>
      </c>
      <c r="G2273" t="s">
        <v>16</v>
      </c>
      <c r="H2273" t="s">
        <v>17</v>
      </c>
      <c r="I2273">
        <v>1</v>
      </c>
      <c r="J2273">
        <v>0</v>
      </c>
      <c r="K2273">
        <v>0</v>
      </c>
    </row>
    <row r="2274" spans="1:11" x14ac:dyDescent="0.25">
      <c r="A2274" t="str">
        <f>"2902"</f>
        <v>2902</v>
      </c>
      <c r="B2274" t="str">
        <f t="shared" si="138"/>
        <v>1</v>
      </c>
      <c r="C2274" t="str">
        <f t="shared" si="140"/>
        <v>120</v>
      </c>
      <c r="D2274" t="str">
        <f>"3"</f>
        <v>3</v>
      </c>
      <c r="E2274" t="str">
        <f>"1-120-3"</f>
        <v>1-120-3</v>
      </c>
      <c r="F2274" t="s">
        <v>15</v>
      </c>
      <c r="G2274" t="s">
        <v>16</v>
      </c>
      <c r="H2274" t="s">
        <v>17</v>
      </c>
      <c r="I2274">
        <v>1</v>
      </c>
      <c r="J2274">
        <v>0</v>
      </c>
      <c r="K2274">
        <v>0</v>
      </c>
    </row>
    <row r="2275" spans="1:11" x14ac:dyDescent="0.25">
      <c r="A2275" t="str">
        <f>"2903"</f>
        <v>2903</v>
      </c>
      <c r="B2275" t="str">
        <f t="shared" si="138"/>
        <v>1</v>
      </c>
      <c r="C2275" t="str">
        <f t="shared" si="140"/>
        <v>120</v>
      </c>
      <c r="D2275" t="str">
        <f>"11"</f>
        <v>11</v>
      </c>
      <c r="E2275" t="str">
        <f>"1-120-11"</f>
        <v>1-120-11</v>
      </c>
      <c r="F2275" t="s">
        <v>15</v>
      </c>
      <c r="G2275" t="s">
        <v>16</v>
      </c>
      <c r="H2275" t="s">
        <v>17</v>
      </c>
      <c r="I2275">
        <v>0</v>
      </c>
      <c r="J2275">
        <v>0</v>
      </c>
      <c r="K2275">
        <v>1</v>
      </c>
    </row>
    <row r="2276" spans="1:11" x14ac:dyDescent="0.25">
      <c r="A2276" t="str">
        <f>"2904"</f>
        <v>2904</v>
      </c>
      <c r="B2276" t="str">
        <f t="shared" si="138"/>
        <v>1</v>
      </c>
      <c r="C2276" t="str">
        <f t="shared" si="140"/>
        <v>120</v>
      </c>
      <c r="D2276" t="str">
        <f>"8"</f>
        <v>8</v>
      </c>
      <c r="E2276" t="str">
        <f>"1-120-8"</f>
        <v>1-120-8</v>
      </c>
      <c r="F2276" t="s">
        <v>15</v>
      </c>
      <c r="G2276" t="s">
        <v>18</v>
      </c>
      <c r="H2276" t="s">
        <v>19</v>
      </c>
      <c r="I2276">
        <v>0</v>
      </c>
      <c r="J2276">
        <v>0</v>
      </c>
      <c r="K2276">
        <v>1</v>
      </c>
    </row>
    <row r="2277" spans="1:11" x14ac:dyDescent="0.25">
      <c r="A2277" t="str">
        <f>"2905"</f>
        <v>2905</v>
      </c>
      <c r="B2277" t="str">
        <f t="shared" si="138"/>
        <v>1</v>
      </c>
      <c r="C2277" t="str">
        <f t="shared" si="140"/>
        <v>120</v>
      </c>
      <c r="D2277" t="str">
        <f>"10"</f>
        <v>10</v>
      </c>
      <c r="E2277" t="str">
        <f>"1-120-10"</f>
        <v>1-120-10</v>
      </c>
      <c r="F2277" t="s">
        <v>15</v>
      </c>
      <c r="G2277" t="s">
        <v>16</v>
      </c>
      <c r="H2277" t="s">
        <v>17</v>
      </c>
      <c r="I2277">
        <v>0</v>
      </c>
      <c r="J2277">
        <v>0</v>
      </c>
      <c r="K2277">
        <v>0</v>
      </c>
    </row>
    <row r="2278" spans="1:11" x14ac:dyDescent="0.25">
      <c r="A2278" t="str">
        <f>"2906"</f>
        <v>2906</v>
      </c>
      <c r="B2278" t="str">
        <f t="shared" ref="B2278:B2332" si="141">"1"</f>
        <v>1</v>
      </c>
      <c r="C2278" t="str">
        <f t="shared" ref="C2278:C2303" si="142">"121"</f>
        <v>121</v>
      </c>
      <c r="D2278" t="str">
        <f>"17"</f>
        <v>17</v>
      </c>
      <c r="E2278" t="str">
        <f>"1-121-17"</f>
        <v>1-121-17</v>
      </c>
      <c r="F2278" t="s">
        <v>15</v>
      </c>
      <c r="G2278" t="s">
        <v>16</v>
      </c>
      <c r="H2278" t="s">
        <v>17</v>
      </c>
      <c r="I2278">
        <v>0</v>
      </c>
      <c r="J2278">
        <v>0</v>
      </c>
      <c r="K2278">
        <v>1</v>
      </c>
    </row>
    <row r="2279" spans="1:11" x14ac:dyDescent="0.25">
      <c r="A2279" t="str">
        <f>"2908"</f>
        <v>2908</v>
      </c>
      <c r="B2279" t="str">
        <f t="shared" si="141"/>
        <v>1</v>
      </c>
      <c r="C2279" t="str">
        <f t="shared" si="142"/>
        <v>121</v>
      </c>
      <c r="D2279" t="str">
        <f>"3"</f>
        <v>3</v>
      </c>
      <c r="E2279" t="str">
        <f>"1-121-3"</f>
        <v>1-121-3</v>
      </c>
      <c r="F2279" t="s">
        <v>15</v>
      </c>
      <c r="G2279" t="s">
        <v>16</v>
      </c>
      <c r="H2279" t="s">
        <v>17</v>
      </c>
      <c r="I2279">
        <v>1</v>
      </c>
      <c r="J2279">
        <v>0</v>
      </c>
      <c r="K2279">
        <v>0</v>
      </c>
    </row>
    <row r="2280" spans="1:11" x14ac:dyDescent="0.25">
      <c r="A2280" t="str">
        <f>"2909"</f>
        <v>2909</v>
      </c>
      <c r="B2280" t="str">
        <f t="shared" si="141"/>
        <v>1</v>
      </c>
      <c r="C2280" t="str">
        <f t="shared" si="142"/>
        <v>121</v>
      </c>
      <c r="D2280" t="str">
        <f>"16"</f>
        <v>16</v>
      </c>
      <c r="E2280" t="str">
        <f>"1-121-16"</f>
        <v>1-121-16</v>
      </c>
      <c r="F2280" t="s">
        <v>15</v>
      </c>
      <c r="G2280" t="s">
        <v>16</v>
      </c>
      <c r="H2280" t="s">
        <v>17</v>
      </c>
      <c r="I2280">
        <v>0</v>
      </c>
      <c r="J2280">
        <v>1</v>
      </c>
      <c r="K2280">
        <v>0</v>
      </c>
    </row>
    <row r="2281" spans="1:11" x14ac:dyDescent="0.25">
      <c r="A2281" t="str">
        <f>"2910"</f>
        <v>2910</v>
      </c>
      <c r="B2281" t="str">
        <f t="shared" si="141"/>
        <v>1</v>
      </c>
      <c r="C2281" t="str">
        <f t="shared" si="142"/>
        <v>121</v>
      </c>
      <c r="D2281" t="str">
        <f>"18"</f>
        <v>18</v>
      </c>
      <c r="E2281" t="str">
        <f>"1-121-18"</f>
        <v>1-121-18</v>
      </c>
      <c r="F2281" t="s">
        <v>15</v>
      </c>
      <c r="G2281" t="s">
        <v>16</v>
      </c>
      <c r="H2281" t="s">
        <v>17</v>
      </c>
      <c r="I2281">
        <v>0</v>
      </c>
      <c r="J2281">
        <v>0</v>
      </c>
      <c r="K2281">
        <v>1</v>
      </c>
    </row>
    <row r="2282" spans="1:11" x14ac:dyDescent="0.25">
      <c r="A2282" t="str">
        <f>"2911"</f>
        <v>2911</v>
      </c>
      <c r="B2282" t="str">
        <f t="shared" si="141"/>
        <v>1</v>
      </c>
      <c r="C2282" t="str">
        <f t="shared" si="142"/>
        <v>121</v>
      </c>
      <c r="D2282" t="str">
        <f>"19"</f>
        <v>19</v>
      </c>
      <c r="E2282" t="str">
        <f>"1-121-19"</f>
        <v>1-121-19</v>
      </c>
      <c r="F2282" t="s">
        <v>15</v>
      </c>
      <c r="G2282" t="s">
        <v>16</v>
      </c>
      <c r="H2282" t="s">
        <v>17</v>
      </c>
      <c r="I2282">
        <v>0</v>
      </c>
      <c r="J2282">
        <v>1</v>
      </c>
      <c r="K2282">
        <v>0</v>
      </c>
    </row>
    <row r="2283" spans="1:11" x14ac:dyDescent="0.25">
      <c r="A2283" t="str">
        <f>"2912"</f>
        <v>2912</v>
      </c>
      <c r="B2283" t="str">
        <f t="shared" si="141"/>
        <v>1</v>
      </c>
      <c r="C2283" t="str">
        <f t="shared" si="142"/>
        <v>121</v>
      </c>
      <c r="D2283" t="str">
        <f>"20"</f>
        <v>20</v>
      </c>
      <c r="E2283" t="str">
        <f>"1-121-20"</f>
        <v>1-121-20</v>
      </c>
      <c r="F2283" t="s">
        <v>15</v>
      </c>
      <c r="G2283" t="s">
        <v>16</v>
      </c>
      <c r="H2283" t="s">
        <v>17</v>
      </c>
      <c r="I2283">
        <v>0</v>
      </c>
      <c r="J2283">
        <v>0</v>
      </c>
      <c r="K2283">
        <v>1</v>
      </c>
    </row>
    <row r="2284" spans="1:11" x14ac:dyDescent="0.25">
      <c r="A2284" t="str">
        <f>"2913"</f>
        <v>2913</v>
      </c>
      <c r="B2284" t="str">
        <f t="shared" si="141"/>
        <v>1</v>
      </c>
      <c r="C2284" t="str">
        <f t="shared" si="142"/>
        <v>121</v>
      </c>
      <c r="D2284" t="str">
        <f>"10"</f>
        <v>10</v>
      </c>
      <c r="E2284" t="str">
        <f>"1-121-10"</f>
        <v>1-121-10</v>
      </c>
      <c r="F2284" t="s">
        <v>15</v>
      </c>
      <c r="G2284" t="s">
        <v>16</v>
      </c>
      <c r="H2284" t="s">
        <v>17</v>
      </c>
      <c r="I2284">
        <v>0</v>
      </c>
      <c r="J2284">
        <v>1</v>
      </c>
      <c r="K2284">
        <v>0</v>
      </c>
    </row>
    <row r="2285" spans="1:11" x14ac:dyDescent="0.25">
      <c r="A2285" t="str">
        <f>"2914"</f>
        <v>2914</v>
      </c>
      <c r="B2285" t="str">
        <f t="shared" si="141"/>
        <v>1</v>
      </c>
      <c r="C2285" t="str">
        <f t="shared" si="142"/>
        <v>121</v>
      </c>
      <c r="D2285" t="str">
        <f>"21"</f>
        <v>21</v>
      </c>
      <c r="E2285" t="str">
        <f>"1-121-21"</f>
        <v>1-121-21</v>
      </c>
      <c r="F2285" t="s">
        <v>15</v>
      </c>
      <c r="G2285" t="s">
        <v>16</v>
      </c>
      <c r="H2285" t="s">
        <v>17</v>
      </c>
      <c r="I2285">
        <v>1</v>
      </c>
      <c r="J2285">
        <v>0</v>
      </c>
      <c r="K2285">
        <v>0</v>
      </c>
    </row>
    <row r="2286" spans="1:11" x14ac:dyDescent="0.25">
      <c r="A2286" t="str">
        <f>"2915"</f>
        <v>2915</v>
      </c>
      <c r="B2286" t="str">
        <f t="shared" si="141"/>
        <v>1</v>
      </c>
      <c r="C2286" t="str">
        <f t="shared" si="142"/>
        <v>121</v>
      </c>
      <c r="D2286" t="str">
        <f>"9"</f>
        <v>9</v>
      </c>
      <c r="E2286" t="str">
        <f>"1-121-9"</f>
        <v>1-121-9</v>
      </c>
      <c r="F2286" t="s">
        <v>15</v>
      </c>
      <c r="G2286" t="s">
        <v>18</v>
      </c>
      <c r="H2286" t="s">
        <v>19</v>
      </c>
      <c r="I2286">
        <v>0</v>
      </c>
      <c r="J2286">
        <v>0</v>
      </c>
      <c r="K2286">
        <v>1</v>
      </c>
    </row>
    <row r="2287" spans="1:11" x14ac:dyDescent="0.25">
      <c r="A2287" t="str">
        <f>"2916"</f>
        <v>2916</v>
      </c>
      <c r="B2287" t="str">
        <f t="shared" si="141"/>
        <v>1</v>
      </c>
      <c r="C2287" t="str">
        <f t="shared" si="142"/>
        <v>121</v>
      </c>
      <c r="D2287" t="str">
        <f>"22"</f>
        <v>22</v>
      </c>
      <c r="E2287" t="str">
        <f>"1-121-22"</f>
        <v>1-121-22</v>
      </c>
      <c r="F2287" t="s">
        <v>15</v>
      </c>
      <c r="G2287" t="s">
        <v>16</v>
      </c>
      <c r="H2287" t="s">
        <v>17</v>
      </c>
      <c r="I2287">
        <v>0</v>
      </c>
      <c r="J2287">
        <v>0</v>
      </c>
      <c r="K2287">
        <v>1</v>
      </c>
    </row>
    <row r="2288" spans="1:11" x14ac:dyDescent="0.25">
      <c r="A2288" t="str">
        <f>"2917"</f>
        <v>2917</v>
      </c>
      <c r="B2288" t="str">
        <f t="shared" si="141"/>
        <v>1</v>
      </c>
      <c r="C2288" t="str">
        <f t="shared" si="142"/>
        <v>121</v>
      </c>
      <c r="D2288" t="str">
        <f>"6"</f>
        <v>6</v>
      </c>
      <c r="E2288" t="str">
        <f>"1-121-6"</f>
        <v>1-121-6</v>
      </c>
      <c r="F2288" t="s">
        <v>15</v>
      </c>
      <c r="G2288" t="s">
        <v>16</v>
      </c>
      <c r="H2288" t="s">
        <v>17</v>
      </c>
      <c r="I2288">
        <v>1</v>
      </c>
      <c r="J2288">
        <v>0</v>
      </c>
      <c r="K2288">
        <v>0</v>
      </c>
    </row>
    <row r="2289" spans="1:11" x14ac:dyDescent="0.25">
      <c r="A2289" t="str">
        <f>"2918"</f>
        <v>2918</v>
      </c>
      <c r="B2289" t="str">
        <f t="shared" si="141"/>
        <v>1</v>
      </c>
      <c r="C2289" t="str">
        <f t="shared" si="142"/>
        <v>121</v>
      </c>
      <c r="D2289" t="str">
        <f>"7"</f>
        <v>7</v>
      </c>
      <c r="E2289" t="str">
        <f>"1-121-7"</f>
        <v>1-121-7</v>
      </c>
      <c r="F2289" t="s">
        <v>15</v>
      </c>
      <c r="G2289" t="s">
        <v>16</v>
      </c>
      <c r="H2289" t="s">
        <v>17</v>
      </c>
      <c r="I2289">
        <v>1</v>
      </c>
      <c r="J2289">
        <v>0</v>
      </c>
      <c r="K2289">
        <v>0</v>
      </c>
    </row>
    <row r="2290" spans="1:11" x14ac:dyDescent="0.25">
      <c r="A2290" t="str">
        <f>"2919"</f>
        <v>2919</v>
      </c>
      <c r="B2290" t="str">
        <f t="shared" si="141"/>
        <v>1</v>
      </c>
      <c r="C2290" t="str">
        <f t="shared" si="142"/>
        <v>121</v>
      </c>
      <c r="D2290" t="str">
        <f>"24"</f>
        <v>24</v>
      </c>
      <c r="E2290" t="str">
        <f>"1-121-24"</f>
        <v>1-121-24</v>
      </c>
      <c r="F2290" t="s">
        <v>15</v>
      </c>
      <c r="G2290" t="s">
        <v>16</v>
      </c>
      <c r="H2290" t="s">
        <v>17</v>
      </c>
      <c r="I2290">
        <v>0</v>
      </c>
      <c r="J2290">
        <v>0</v>
      </c>
      <c r="K2290">
        <v>1</v>
      </c>
    </row>
    <row r="2291" spans="1:11" x14ac:dyDescent="0.25">
      <c r="A2291" t="str">
        <f>"2920"</f>
        <v>2920</v>
      </c>
      <c r="B2291" t="str">
        <f t="shared" si="141"/>
        <v>1</v>
      </c>
      <c r="C2291" t="str">
        <f t="shared" si="142"/>
        <v>121</v>
      </c>
      <c r="D2291" t="str">
        <f>"13"</f>
        <v>13</v>
      </c>
      <c r="E2291" t="str">
        <f>"1-121-13"</f>
        <v>1-121-13</v>
      </c>
      <c r="F2291" t="s">
        <v>15</v>
      </c>
      <c r="G2291" t="s">
        <v>16</v>
      </c>
      <c r="H2291" t="s">
        <v>17</v>
      </c>
      <c r="I2291">
        <v>0</v>
      </c>
      <c r="J2291">
        <v>1</v>
      </c>
      <c r="K2291">
        <v>0</v>
      </c>
    </row>
    <row r="2292" spans="1:11" x14ac:dyDescent="0.25">
      <c r="A2292" t="str">
        <f>"2921"</f>
        <v>2921</v>
      </c>
      <c r="B2292" t="str">
        <f t="shared" si="141"/>
        <v>1</v>
      </c>
      <c r="C2292" t="str">
        <f t="shared" si="142"/>
        <v>121</v>
      </c>
      <c r="D2292" t="str">
        <f>"25"</f>
        <v>25</v>
      </c>
      <c r="E2292" t="str">
        <f>"1-121-25"</f>
        <v>1-121-25</v>
      </c>
      <c r="F2292" t="s">
        <v>15</v>
      </c>
      <c r="G2292" t="s">
        <v>16</v>
      </c>
      <c r="H2292" t="s">
        <v>17</v>
      </c>
      <c r="I2292">
        <v>0</v>
      </c>
      <c r="J2292">
        <v>0</v>
      </c>
      <c r="K2292">
        <v>1</v>
      </c>
    </row>
    <row r="2293" spans="1:11" x14ac:dyDescent="0.25">
      <c r="A2293" t="str">
        <f>"2922"</f>
        <v>2922</v>
      </c>
      <c r="B2293" t="str">
        <f t="shared" si="141"/>
        <v>1</v>
      </c>
      <c r="C2293" t="str">
        <f t="shared" si="142"/>
        <v>121</v>
      </c>
      <c r="D2293" t="str">
        <f>"12"</f>
        <v>12</v>
      </c>
      <c r="E2293" t="str">
        <f>"1-121-12"</f>
        <v>1-121-12</v>
      </c>
      <c r="F2293" t="s">
        <v>15</v>
      </c>
      <c r="G2293" t="s">
        <v>16</v>
      </c>
      <c r="H2293" t="s">
        <v>17</v>
      </c>
      <c r="I2293">
        <v>0</v>
      </c>
      <c r="J2293">
        <v>1</v>
      </c>
      <c r="K2293">
        <v>0</v>
      </c>
    </row>
    <row r="2294" spans="1:11" x14ac:dyDescent="0.25">
      <c r="A2294" t="str">
        <f>"2923"</f>
        <v>2923</v>
      </c>
      <c r="B2294" t="str">
        <f t="shared" si="141"/>
        <v>1</v>
      </c>
      <c r="C2294" t="str">
        <f t="shared" si="142"/>
        <v>121</v>
      </c>
      <c r="D2294" t="str">
        <f>"26"</f>
        <v>26</v>
      </c>
      <c r="E2294" t="str">
        <f>"1-121-26"</f>
        <v>1-121-26</v>
      </c>
      <c r="F2294" t="s">
        <v>15</v>
      </c>
      <c r="G2294" t="s">
        <v>16</v>
      </c>
      <c r="H2294" t="s">
        <v>17</v>
      </c>
      <c r="I2294">
        <v>0</v>
      </c>
      <c r="J2294">
        <v>0</v>
      </c>
      <c r="K2294">
        <v>1</v>
      </c>
    </row>
    <row r="2295" spans="1:11" x14ac:dyDescent="0.25">
      <c r="A2295" t="str">
        <f>"2924"</f>
        <v>2924</v>
      </c>
      <c r="B2295" t="str">
        <f t="shared" si="141"/>
        <v>1</v>
      </c>
      <c r="C2295" t="str">
        <f t="shared" si="142"/>
        <v>121</v>
      </c>
      <c r="D2295" t="str">
        <f>"8"</f>
        <v>8</v>
      </c>
      <c r="E2295" t="str">
        <f>"1-121-8"</f>
        <v>1-121-8</v>
      </c>
      <c r="F2295" t="s">
        <v>15</v>
      </c>
      <c r="G2295" t="s">
        <v>16</v>
      </c>
      <c r="H2295" t="s">
        <v>17</v>
      </c>
      <c r="I2295">
        <v>0</v>
      </c>
      <c r="J2295">
        <v>1</v>
      </c>
      <c r="K2295">
        <v>0</v>
      </c>
    </row>
    <row r="2296" spans="1:11" x14ac:dyDescent="0.25">
      <c r="A2296" t="str">
        <f>"2925"</f>
        <v>2925</v>
      </c>
      <c r="B2296" t="str">
        <f t="shared" si="141"/>
        <v>1</v>
      </c>
      <c r="C2296" t="str">
        <f t="shared" si="142"/>
        <v>121</v>
      </c>
      <c r="D2296" t="str">
        <f>"11"</f>
        <v>11</v>
      </c>
      <c r="E2296" t="str">
        <f>"1-121-11"</f>
        <v>1-121-11</v>
      </c>
      <c r="F2296" t="s">
        <v>15</v>
      </c>
      <c r="G2296" t="s">
        <v>16</v>
      </c>
      <c r="H2296" t="s">
        <v>17</v>
      </c>
      <c r="I2296">
        <v>1</v>
      </c>
      <c r="J2296">
        <v>0</v>
      </c>
      <c r="K2296">
        <v>0</v>
      </c>
    </row>
    <row r="2297" spans="1:11" x14ac:dyDescent="0.25">
      <c r="A2297" t="str">
        <f>"2926"</f>
        <v>2926</v>
      </c>
      <c r="B2297" t="str">
        <f t="shared" si="141"/>
        <v>1</v>
      </c>
      <c r="C2297" t="str">
        <f t="shared" si="142"/>
        <v>121</v>
      </c>
      <c r="D2297" t="str">
        <f>"1"</f>
        <v>1</v>
      </c>
      <c r="E2297" t="str">
        <f>"1-121-1"</f>
        <v>1-121-1</v>
      </c>
      <c r="F2297" t="s">
        <v>15</v>
      </c>
      <c r="G2297" t="s">
        <v>20</v>
      </c>
      <c r="H2297" t="s">
        <v>21</v>
      </c>
      <c r="I2297">
        <v>0</v>
      </c>
      <c r="J2297">
        <v>0</v>
      </c>
      <c r="K2297">
        <v>0</v>
      </c>
    </row>
    <row r="2298" spans="1:11" x14ac:dyDescent="0.25">
      <c r="A2298" t="str">
        <f>"2927"</f>
        <v>2927</v>
      </c>
      <c r="B2298" t="str">
        <f t="shared" si="141"/>
        <v>1</v>
      </c>
      <c r="C2298" t="str">
        <f t="shared" si="142"/>
        <v>121</v>
      </c>
      <c r="D2298" t="str">
        <f>"14"</f>
        <v>14</v>
      </c>
      <c r="E2298" t="str">
        <f>"1-121-14"</f>
        <v>1-121-14</v>
      </c>
      <c r="F2298" t="s">
        <v>15</v>
      </c>
      <c r="G2298" t="s">
        <v>16</v>
      </c>
      <c r="H2298" t="s">
        <v>17</v>
      </c>
      <c r="I2298">
        <v>0</v>
      </c>
      <c r="J2298">
        <v>0</v>
      </c>
      <c r="K2298">
        <v>0</v>
      </c>
    </row>
    <row r="2299" spans="1:11" x14ac:dyDescent="0.25">
      <c r="A2299" t="str">
        <f>"2928"</f>
        <v>2928</v>
      </c>
      <c r="B2299" t="str">
        <f t="shared" si="141"/>
        <v>1</v>
      </c>
      <c r="C2299" t="str">
        <f t="shared" si="142"/>
        <v>121</v>
      </c>
      <c r="D2299" t="str">
        <f>"27"</f>
        <v>27</v>
      </c>
      <c r="E2299" t="str">
        <f>"1-121-27"</f>
        <v>1-121-27</v>
      </c>
      <c r="F2299" t="s">
        <v>15</v>
      </c>
      <c r="G2299" t="s">
        <v>16</v>
      </c>
      <c r="H2299" t="s">
        <v>17</v>
      </c>
      <c r="I2299">
        <v>0</v>
      </c>
      <c r="J2299">
        <v>0</v>
      </c>
      <c r="K2299">
        <v>0</v>
      </c>
    </row>
    <row r="2300" spans="1:11" x14ac:dyDescent="0.25">
      <c r="A2300" t="str">
        <f>"2929"</f>
        <v>2929</v>
      </c>
      <c r="B2300" t="str">
        <f t="shared" si="141"/>
        <v>1</v>
      </c>
      <c r="C2300" t="str">
        <f t="shared" si="142"/>
        <v>121</v>
      </c>
      <c r="D2300" t="str">
        <f>"4"</f>
        <v>4</v>
      </c>
      <c r="E2300" t="str">
        <f>"1-121-4"</f>
        <v>1-121-4</v>
      </c>
      <c r="F2300" t="s">
        <v>15</v>
      </c>
      <c r="G2300" t="s">
        <v>16</v>
      </c>
      <c r="H2300" t="s">
        <v>17</v>
      </c>
      <c r="I2300">
        <v>0</v>
      </c>
      <c r="J2300">
        <v>0</v>
      </c>
      <c r="K2300">
        <v>0</v>
      </c>
    </row>
    <row r="2301" spans="1:11" x14ac:dyDescent="0.25">
      <c r="A2301" t="str">
        <f>"2930"</f>
        <v>2930</v>
      </c>
      <c r="B2301" t="str">
        <f t="shared" si="141"/>
        <v>1</v>
      </c>
      <c r="C2301" t="str">
        <f t="shared" si="142"/>
        <v>121</v>
      </c>
      <c r="D2301" t="str">
        <f>"2"</f>
        <v>2</v>
      </c>
      <c r="E2301" t="str">
        <f>"1-121-2"</f>
        <v>1-121-2</v>
      </c>
      <c r="F2301" t="s">
        <v>15</v>
      </c>
      <c r="G2301" t="s">
        <v>20</v>
      </c>
      <c r="H2301" t="s">
        <v>21</v>
      </c>
      <c r="I2301">
        <v>0</v>
      </c>
      <c r="J2301">
        <v>0</v>
      </c>
      <c r="K2301">
        <v>0</v>
      </c>
    </row>
    <row r="2302" spans="1:11" x14ac:dyDescent="0.25">
      <c r="A2302" t="str">
        <f>"2931"</f>
        <v>2931</v>
      </c>
      <c r="B2302" t="str">
        <f t="shared" si="141"/>
        <v>1</v>
      </c>
      <c r="C2302" t="str">
        <f t="shared" si="142"/>
        <v>121</v>
      </c>
      <c r="D2302" t="str">
        <f>"23"</f>
        <v>23</v>
      </c>
      <c r="E2302" t="str">
        <f>"1-121-23"</f>
        <v>1-121-23</v>
      </c>
      <c r="F2302" t="s">
        <v>15</v>
      </c>
      <c r="G2302" t="s">
        <v>16</v>
      </c>
      <c r="H2302" t="s">
        <v>17</v>
      </c>
      <c r="I2302">
        <v>0</v>
      </c>
      <c r="J2302">
        <v>0</v>
      </c>
      <c r="K2302">
        <v>0</v>
      </c>
    </row>
    <row r="2303" spans="1:11" x14ac:dyDescent="0.25">
      <c r="A2303" t="str">
        <f>"2932"</f>
        <v>2932</v>
      </c>
      <c r="B2303" t="str">
        <f t="shared" si="141"/>
        <v>1</v>
      </c>
      <c r="C2303" t="str">
        <f t="shared" si="142"/>
        <v>121</v>
      </c>
      <c r="D2303" t="str">
        <f>"5"</f>
        <v>5</v>
      </c>
      <c r="E2303" t="str">
        <f>"1-121-5"</f>
        <v>1-121-5</v>
      </c>
      <c r="F2303" t="s">
        <v>15</v>
      </c>
      <c r="G2303" t="s">
        <v>16</v>
      </c>
      <c r="H2303" t="s">
        <v>17</v>
      </c>
      <c r="I2303">
        <v>0</v>
      </c>
      <c r="J2303">
        <v>0</v>
      </c>
      <c r="K2303">
        <v>0</v>
      </c>
    </row>
    <row r="2304" spans="1:11" x14ac:dyDescent="0.25">
      <c r="A2304" t="str">
        <f>"2933"</f>
        <v>2933</v>
      </c>
      <c r="B2304" t="str">
        <f t="shared" si="141"/>
        <v>1</v>
      </c>
      <c r="C2304" t="str">
        <f t="shared" ref="C2304:C2325" si="143">"122"</f>
        <v>122</v>
      </c>
      <c r="D2304" t="str">
        <f>"23"</f>
        <v>23</v>
      </c>
      <c r="E2304" t="str">
        <f>"1-122-23"</f>
        <v>1-122-23</v>
      </c>
      <c r="F2304" t="s">
        <v>15</v>
      </c>
      <c r="G2304" t="s">
        <v>18</v>
      </c>
      <c r="H2304" t="s">
        <v>19</v>
      </c>
      <c r="I2304">
        <v>0</v>
      </c>
      <c r="J2304">
        <v>1</v>
      </c>
      <c r="K2304">
        <v>0</v>
      </c>
    </row>
    <row r="2305" spans="1:11" x14ac:dyDescent="0.25">
      <c r="A2305" t="str">
        <f>"2934"</f>
        <v>2934</v>
      </c>
      <c r="B2305" t="str">
        <f t="shared" si="141"/>
        <v>1</v>
      </c>
      <c r="C2305" t="str">
        <f t="shared" si="143"/>
        <v>122</v>
      </c>
      <c r="D2305" t="str">
        <f>"15"</f>
        <v>15</v>
      </c>
      <c r="E2305" t="str">
        <f>"1-122-15"</f>
        <v>1-122-15</v>
      </c>
      <c r="F2305" t="s">
        <v>15</v>
      </c>
      <c r="G2305" t="s">
        <v>18</v>
      </c>
      <c r="H2305" t="s">
        <v>19</v>
      </c>
      <c r="I2305">
        <v>0</v>
      </c>
      <c r="J2305">
        <v>1</v>
      </c>
      <c r="K2305">
        <v>0</v>
      </c>
    </row>
    <row r="2306" spans="1:11" x14ac:dyDescent="0.25">
      <c r="A2306" t="str">
        <f>"2935"</f>
        <v>2935</v>
      </c>
      <c r="B2306" t="str">
        <f t="shared" si="141"/>
        <v>1</v>
      </c>
      <c r="C2306" t="str">
        <f t="shared" si="143"/>
        <v>122</v>
      </c>
      <c r="D2306" t="str">
        <f>"1"</f>
        <v>1</v>
      </c>
      <c r="E2306" t="str">
        <f>"1-122-1"</f>
        <v>1-122-1</v>
      </c>
      <c r="F2306" t="s">
        <v>15</v>
      </c>
      <c r="G2306" t="s">
        <v>18</v>
      </c>
      <c r="H2306" t="s">
        <v>19</v>
      </c>
      <c r="I2306">
        <v>0</v>
      </c>
      <c r="J2306">
        <v>1</v>
      </c>
      <c r="K2306">
        <v>0</v>
      </c>
    </row>
    <row r="2307" spans="1:11" x14ac:dyDescent="0.25">
      <c r="A2307" t="str">
        <f>"2936"</f>
        <v>2936</v>
      </c>
      <c r="B2307" t="str">
        <f t="shared" si="141"/>
        <v>1</v>
      </c>
      <c r="C2307" t="str">
        <f t="shared" si="143"/>
        <v>122</v>
      </c>
      <c r="D2307" t="str">
        <f>"22"</f>
        <v>22</v>
      </c>
      <c r="E2307" t="str">
        <f>"1-122-22"</f>
        <v>1-122-22</v>
      </c>
      <c r="F2307" t="s">
        <v>15</v>
      </c>
      <c r="G2307" t="s">
        <v>18</v>
      </c>
      <c r="H2307" t="s">
        <v>19</v>
      </c>
      <c r="I2307">
        <v>0</v>
      </c>
      <c r="J2307">
        <v>0</v>
      </c>
      <c r="K2307">
        <v>1</v>
      </c>
    </row>
    <row r="2308" spans="1:11" x14ac:dyDescent="0.25">
      <c r="A2308" t="str">
        <f>"2937"</f>
        <v>2937</v>
      </c>
      <c r="B2308" t="str">
        <f t="shared" si="141"/>
        <v>1</v>
      </c>
      <c r="C2308" t="str">
        <f t="shared" si="143"/>
        <v>122</v>
      </c>
      <c r="D2308" t="str">
        <f>"10"</f>
        <v>10</v>
      </c>
      <c r="E2308" t="str">
        <f>"1-122-10"</f>
        <v>1-122-10</v>
      </c>
      <c r="F2308" t="s">
        <v>15</v>
      </c>
      <c r="G2308" t="s">
        <v>18</v>
      </c>
      <c r="H2308" t="s">
        <v>19</v>
      </c>
      <c r="I2308">
        <v>1</v>
      </c>
      <c r="J2308">
        <v>0</v>
      </c>
      <c r="K2308">
        <v>0</v>
      </c>
    </row>
    <row r="2309" spans="1:11" x14ac:dyDescent="0.25">
      <c r="A2309" t="str">
        <f>"2939"</f>
        <v>2939</v>
      </c>
      <c r="B2309" t="str">
        <f t="shared" si="141"/>
        <v>1</v>
      </c>
      <c r="C2309" t="str">
        <f t="shared" si="143"/>
        <v>122</v>
      </c>
      <c r="D2309" t="str">
        <f>"18"</f>
        <v>18</v>
      </c>
      <c r="E2309" t="str">
        <f>"1-122-18"</f>
        <v>1-122-18</v>
      </c>
      <c r="F2309" t="s">
        <v>15</v>
      </c>
      <c r="G2309" t="s">
        <v>18</v>
      </c>
      <c r="H2309" t="s">
        <v>19</v>
      </c>
      <c r="I2309">
        <v>0</v>
      </c>
      <c r="J2309">
        <v>1</v>
      </c>
      <c r="K2309">
        <v>0</v>
      </c>
    </row>
    <row r="2310" spans="1:11" x14ac:dyDescent="0.25">
      <c r="A2310" t="str">
        <f>"2941"</f>
        <v>2941</v>
      </c>
      <c r="B2310" t="str">
        <f t="shared" si="141"/>
        <v>1</v>
      </c>
      <c r="C2310" t="str">
        <f t="shared" si="143"/>
        <v>122</v>
      </c>
      <c r="D2310" t="str">
        <f>"19"</f>
        <v>19</v>
      </c>
      <c r="E2310" t="str">
        <f>"1-122-19"</f>
        <v>1-122-19</v>
      </c>
      <c r="F2310" t="s">
        <v>15</v>
      </c>
      <c r="G2310" t="s">
        <v>18</v>
      </c>
      <c r="H2310" t="s">
        <v>19</v>
      </c>
      <c r="I2310">
        <v>0</v>
      </c>
      <c r="J2310">
        <v>1</v>
      </c>
      <c r="K2310">
        <v>0</v>
      </c>
    </row>
    <row r="2311" spans="1:11" x14ac:dyDescent="0.25">
      <c r="A2311" t="str">
        <f>"2943"</f>
        <v>2943</v>
      </c>
      <c r="B2311" t="str">
        <f t="shared" si="141"/>
        <v>1</v>
      </c>
      <c r="C2311" t="str">
        <f t="shared" si="143"/>
        <v>122</v>
      </c>
      <c r="D2311" t="str">
        <f>"20"</f>
        <v>20</v>
      </c>
      <c r="E2311" t="str">
        <f>"1-122-20"</f>
        <v>1-122-20</v>
      </c>
      <c r="F2311" t="s">
        <v>15</v>
      </c>
      <c r="G2311" t="s">
        <v>18</v>
      </c>
      <c r="H2311" t="s">
        <v>19</v>
      </c>
      <c r="I2311">
        <v>1</v>
      </c>
      <c r="J2311">
        <v>0</v>
      </c>
      <c r="K2311">
        <v>0</v>
      </c>
    </row>
    <row r="2312" spans="1:11" x14ac:dyDescent="0.25">
      <c r="A2312" t="str">
        <f>"2945"</f>
        <v>2945</v>
      </c>
      <c r="B2312" t="str">
        <f t="shared" si="141"/>
        <v>1</v>
      </c>
      <c r="C2312" t="str">
        <f t="shared" si="143"/>
        <v>122</v>
      </c>
      <c r="D2312" t="str">
        <f>"21"</f>
        <v>21</v>
      </c>
      <c r="E2312" t="str">
        <f>"1-122-21"</f>
        <v>1-122-21</v>
      </c>
      <c r="F2312" t="s">
        <v>15</v>
      </c>
      <c r="G2312" t="s">
        <v>18</v>
      </c>
      <c r="H2312" t="s">
        <v>19</v>
      </c>
      <c r="I2312">
        <v>0</v>
      </c>
      <c r="J2312">
        <v>1</v>
      </c>
      <c r="K2312">
        <v>0</v>
      </c>
    </row>
    <row r="2313" spans="1:11" x14ac:dyDescent="0.25">
      <c r="A2313" t="str">
        <f>"2946"</f>
        <v>2946</v>
      </c>
      <c r="B2313" t="str">
        <f t="shared" si="141"/>
        <v>1</v>
      </c>
      <c r="C2313" t="str">
        <f t="shared" si="143"/>
        <v>122</v>
      </c>
      <c r="D2313" t="str">
        <f>"14"</f>
        <v>14</v>
      </c>
      <c r="E2313" t="str">
        <f>"1-122-14"</f>
        <v>1-122-14</v>
      </c>
      <c r="F2313" t="s">
        <v>15</v>
      </c>
      <c r="G2313" t="s">
        <v>18</v>
      </c>
      <c r="H2313" t="s">
        <v>19</v>
      </c>
      <c r="I2313">
        <v>0</v>
      </c>
      <c r="J2313">
        <v>0</v>
      </c>
      <c r="K2313">
        <v>1</v>
      </c>
    </row>
    <row r="2314" spans="1:11" x14ac:dyDescent="0.25">
      <c r="A2314" t="str">
        <f>"2947"</f>
        <v>2947</v>
      </c>
      <c r="B2314" t="str">
        <f t="shared" si="141"/>
        <v>1</v>
      </c>
      <c r="C2314" t="str">
        <f t="shared" si="143"/>
        <v>122</v>
      </c>
      <c r="D2314" t="str">
        <f>"24"</f>
        <v>24</v>
      </c>
      <c r="E2314" t="str">
        <f>"1-122-24"</f>
        <v>1-122-24</v>
      </c>
      <c r="F2314" t="s">
        <v>15</v>
      </c>
      <c r="G2314" t="s">
        <v>18</v>
      </c>
      <c r="H2314" t="s">
        <v>19</v>
      </c>
      <c r="I2314">
        <v>1</v>
      </c>
      <c r="J2314">
        <v>0</v>
      </c>
      <c r="K2314">
        <v>0</v>
      </c>
    </row>
    <row r="2315" spans="1:11" x14ac:dyDescent="0.25">
      <c r="A2315" t="str">
        <f>"2948"</f>
        <v>2948</v>
      </c>
      <c r="B2315" t="str">
        <f t="shared" si="141"/>
        <v>1</v>
      </c>
      <c r="C2315" t="str">
        <f t="shared" si="143"/>
        <v>122</v>
      </c>
      <c r="D2315" t="str">
        <f>"13"</f>
        <v>13</v>
      </c>
      <c r="E2315" t="str">
        <f>"1-122-13"</f>
        <v>1-122-13</v>
      </c>
      <c r="F2315" t="s">
        <v>15</v>
      </c>
      <c r="G2315" t="s">
        <v>18</v>
      </c>
      <c r="H2315" t="s">
        <v>19</v>
      </c>
      <c r="I2315">
        <v>0</v>
      </c>
      <c r="J2315">
        <v>0</v>
      </c>
      <c r="K2315">
        <v>1</v>
      </c>
    </row>
    <row r="2316" spans="1:11" x14ac:dyDescent="0.25">
      <c r="A2316" t="str">
        <f>"2949"</f>
        <v>2949</v>
      </c>
      <c r="B2316" t="str">
        <f t="shared" si="141"/>
        <v>1</v>
      </c>
      <c r="C2316" t="str">
        <f t="shared" si="143"/>
        <v>122</v>
      </c>
      <c r="D2316" t="str">
        <f>"25"</f>
        <v>25</v>
      </c>
      <c r="E2316" t="str">
        <f>"1-122-25"</f>
        <v>1-122-25</v>
      </c>
      <c r="F2316" t="s">
        <v>15</v>
      </c>
      <c r="G2316" t="s">
        <v>16</v>
      </c>
      <c r="H2316" t="s">
        <v>17</v>
      </c>
      <c r="I2316">
        <v>0</v>
      </c>
      <c r="J2316">
        <v>0</v>
      </c>
      <c r="K2316">
        <v>1</v>
      </c>
    </row>
    <row r="2317" spans="1:11" x14ac:dyDescent="0.25">
      <c r="A2317" t="str">
        <f>"2950"</f>
        <v>2950</v>
      </c>
      <c r="B2317" t="str">
        <f t="shared" si="141"/>
        <v>1</v>
      </c>
      <c r="C2317" t="str">
        <f t="shared" si="143"/>
        <v>122</v>
      </c>
      <c r="D2317" t="str">
        <f>"11"</f>
        <v>11</v>
      </c>
      <c r="E2317" t="str">
        <f>"1-122-11"</f>
        <v>1-122-11</v>
      </c>
      <c r="F2317" t="s">
        <v>15</v>
      </c>
      <c r="G2317" t="s">
        <v>18</v>
      </c>
      <c r="H2317" t="s">
        <v>19</v>
      </c>
      <c r="I2317">
        <v>0</v>
      </c>
      <c r="J2317">
        <v>1</v>
      </c>
      <c r="K2317">
        <v>0</v>
      </c>
    </row>
    <row r="2318" spans="1:11" x14ac:dyDescent="0.25">
      <c r="A2318" t="str">
        <f>"2951"</f>
        <v>2951</v>
      </c>
      <c r="B2318" t="str">
        <f t="shared" si="141"/>
        <v>1</v>
      </c>
      <c r="C2318" t="str">
        <f t="shared" si="143"/>
        <v>122</v>
      </c>
      <c r="D2318" t="str">
        <f>"26"</f>
        <v>26</v>
      </c>
      <c r="E2318" t="str">
        <f>"1-122-26"</f>
        <v>1-122-26</v>
      </c>
      <c r="F2318" t="s">
        <v>15</v>
      </c>
      <c r="G2318" t="s">
        <v>18</v>
      </c>
      <c r="H2318" t="s">
        <v>19</v>
      </c>
      <c r="I2318">
        <v>0</v>
      </c>
      <c r="J2318">
        <v>0</v>
      </c>
      <c r="K2318">
        <v>1</v>
      </c>
    </row>
    <row r="2319" spans="1:11" x14ac:dyDescent="0.25">
      <c r="A2319" t="str">
        <f>"2952"</f>
        <v>2952</v>
      </c>
      <c r="B2319" t="str">
        <f t="shared" si="141"/>
        <v>1</v>
      </c>
      <c r="C2319" t="str">
        <f t="shared" si="143"/>
        <v>122</v>
      </c>
      <c r="D2319" t="str">
        <f>"8"</f>
        <v>8</v>
      </c>
      <c r="E2319" t="str">
        <f>"1-122-8"</f>
        <v>1-122-8</v>
      </c>
      <c r="F2319" t="s">
        <v>15</v>
      </c>
      <c r="G2319" t="s">
        <v>18</v>
      </c>
      <c r="H2319" t="s">
        <v>19</v>
      </c>
      <c r="I2319">
        <v>0</v>
      </c>
      <c r="J2319">
        <v>0</v>
      </c>
      <c r="K2319">
        <v>1</v>
      </c>
    </row>
    <row r="2320" spans="1:11" x14ac:dyDescent="0.25">
      <c r="A2320" t="str">
        <f>"2953"</f>
        <v>2953</v>
      </c>
      <c r="B2320" t="str">
        <f t="shared" si="141"/>
        <v>1</v>
      </c>
      <c r="C2320" t="str">
        <f t="shared" si="143"/>
        <v>122</v>
      </c>
      <c r="D2320" t="str">
        <f>"3"</f>
        <v>3</v>
      </c>
      <c r="E2320" t="str">
        <f>"1-122-3"</f>
        <v>1-122-3</v>
      </c>
      <c r="F2320" t="s">
        <v>15</v>
      </c>
      <c r="G2320" t="s">
        <v>18</v>
      </c>
      <c r="H2320" t="s">
        <v>19</v>
      </c>
      <c r="I2320">
        <v>1</v>
      </c>
      <c r="J2320">
        <v>0</v>
      </c>
      <c r="K2320">
        <v>0</v>
      </c>
    </row>
    <row r="2321" spans="1:11" x14ac:dyDescent="0.25">
      <c r="A2321" t="str">
        <f>"2954"</f>
        <v>2954</v>
      </c>
      <c r="B2321" t="str">
        <f t="shared" si="141"/>
        <v>1</v>
      </c>
      <c r="C2321" t="str">
        <f t="shared" si="143"/>
        <v>122</v>
      </c>
      <c r="D2321" t="str">
        <f>"6"</f>
        <v>6</v>
      </c>
      <c r="E2321" t="str">
        <f>"1-122-6"</f>
        <v>1-122-6</v>
      </c>
      <c r="F2321" t="s">
        <v>15</v>
      </c>
      <c r="G2321" t="s">
        <v>18</v>
      </c>
      <c r="H2321" t="s">
        <v>19</v>
      </c>
      <c r="I2321">
        <v>0</v>
      </c>
      <c r="J2321">
        <v>1</v>
      </c>
      <c r="K2321">
        <v>0</v>
      </c>
    </row>
    <row r="2322" spans="1:11" x14ac:dyDescent="0.25">
      <c r="A2322" t="str">
        <f>"2955"</f>
        <v>2955</v>
      </c>
      <c r="B2322" t="str">
        <f t="shared" si="141"/>
        <v>1</v>
      </c>
      <c r="C2322" t="str">
        <f t="shared" si="143"/>
        <v>122</v>
      </c>
      <c r="D2322" t="str">
        <f>"2"</f>
        <v>2</v>
      </c>
      <c r="E2322" t="str">
        <f>"1-122-2"</f>
        <v>1-122-2</v>
      </c>
      <c r="F2322" t="s">
        <v>15</v>
      </c>
      <c r="G2322" t="s">
        <v>18</v>
      </c>
      <c r="H2322" t="s">
        <v>19</v>
      </c>
      <c r="I2322">
        <v>0</v>
      </c>
      <c r="J2322">
        <v>0</v>
      </c>
      <c r="K2322">
        <v>0</v>
      </c>
    </row>
    <row r="2323" spans="1:11" x14ac:dyDescent="0.25">
      <c r="A2323" t="str">
        <f>"2956"</f>
        <v>2956</v>
      </c>
      <c r="B2323" t="str">
        <f t="shared" si="141"/>
        <v>1</v>
      </c>
      <c r="C2323" t="str">
        <f t="shared" si="143"/>
        <v>122</v>
      </c>
      <c r="D2323" t="str">
        <f>"16"</f>
        <v>16</v>
      </c>
      <c r="E2323" t="str">
        <f>"1-122-16"</f>
        <v>1-122-16</v>
      </c>
      <c r="F2323" t="s">
        <v>15</v>
      </c>
      <c r="G2323" t="s">
        <v>18</v>
      </c>
      <c r="H2323" t="s">
        <v>19</v>
      </c>
      <c r="I2323">
        <v>0</v>
      </c>
      <c r="J2323">
        <v>0</v>
      </c>
      <c r="K2323">
        <v>0</v>
      </c>
    </row>
    <row r="2324" spans="1:11" x14ac:dyDescent="0.25">
      <c r="A2324" t="str">
        <f>"2957"</f>
        <v>2957</v>
      </c>
      <c r="B2324" t="str">
        <f t="shared" si="141"/>
        <v>1</v>
      </c>
      <c r="C2324" t="str">
        <f t="shared" si="143"/>
        <v>122</v>
      </c>
      <c r="D2324" t="str">
        <f>"17"</f>
        <v>17</v>
      </c>
      <c r="E2324" t="str">
        <f>"1-122-17"</f>
        <v>1-122-17</v>
      </c>
      <c r="F2324" t="s">
        <v>15</v>
      </c>
      <c r="G2324" t="s">
        <v>18</v>
      </c>
      <c r="H2324" t="s">
        <v>19</v>
      </c>
      <c r="I2324">
        <v>0</v>
      </c>
      <c r="J2324">
        <v>0</v>
      </c>
      <c r="K2324">
        <v>0</v>
      </c>
    </row>
    <row r="2325" spans="1:11" x14ac:dyDescent="0.25">
      <c r="A2325" t="str">
        <f>"2958"</f>
        <v>2958</v>
      </c>
      <c r="B2325" t="str">
        <f t="shared" si="141"/>
        <v>1</v>
      </c>
      <c r="C2325" t="str">
        <f t="shared" si="143"/>
        <v>122</v>
      </c>
      <c r="D2325" t="str">
        <f>"9"</f>
        <v>9</v>
      </c>
      <c r="E2325" t="str">
        <f>"1-122-9"</f>
        <v>1-122-9</v>
      </c>
      <c r="F2325" t="s">
        <v>15</v>
      </c>
      <c r="G2325" t="s">
        <v>18</v>
      </c>
      <c r="H2325" t="s">
        <v>19</v>
      </c>
      <c r="I2325">
        <v>0</v>
      </c>
      <c r="J2325">
        <v>0</v>
      </c>
      <c r="K2325">
        <v>0</v>
      </c>
    </row>
    <row r="2326" spans="1:11" x14ac:dyDescent="0.25">
      <c r="A2326" t="str">
        <f>"2959"</f>
        <v>2959</v>
      </c>
      <c r="B2326" t="str">
        <f t="shared" si="141"/>
        <v>1</v>
      </c>
      <c r="C2326" t="str">
        <f t="shared" ref="C2326:C2338" si="144">"123"</f>
        <v>123</v>
      </c>
      <c r="D2326" t="str">
        <f>"15"</f>
        <v>15</v>
      </c>
      <c r="E2326" t="str">
        <f>"1-123-15"</f>
        <v>1-123-15</v>
      </c>
      <c r="F2326" t="s">
        <v>15</v>
      </c>
      <c r="G2326" t="s">
        <v>20</v>
      </c>
      <c r="H2326" t="s">
        <v>21</v>
      </c>
      <c r="I2326">
        <v>0</v>
      </c>
      <c r="J2326">
        <v>1</v>
      </c>
      <c r="K2326">
        <v>0</v>
      </c>
    </row>
    <row r="2327" spans="1:11" x14ac:dyDescent="0.25">
      <c r="A2327" t="str">
        <f>"2962"</f>
        <v>2962</v>
      </c>
      <c r="B2327" t="str">
        <f t="shared" si="141"/>
        <v>1</v>
      </c>
      <c r="C2327" t="str">
        <f t="shared" si="144"/>
        <v>123</v>
      </c>
      <c r="D2327" t="str">
        <f>"5"</f>
        <v>5</v>
      </c>
      <c r="E2327" t="str">
        <f>"1-123-5"</f>
        <v>1-123-5</v>
      </c>
      <c r="F2327" t="s">
        <v>15</v>
      </c>
      <c r="G2327" t="s">
        <v>20</v>
      </c>
      <c r="H2327" t="s">
        <v>21</v>
      </c>
      <c r="I2327">
        <v>1</v>
      </c>
      <c r="J2327">
        <v>0</v>
      </c>
      <c r="K2327">
        <v>0</v>
      </c>
    </row>
    <row r="2328" spans="1:11" x14ac:dyDescent="0.25">
      <c r="A2328" t="str">
        <f>"2963"</f>
        <v>2963</v>
      </c>
      <c r="B2328" t="str">
        <f t="shared" si="141"/>
        <v>1</v>
      </c>
      <c r="C2328" t="str">
        <f t="shared" si="144"/>
        <v>123</v>
      </c>
      <c r="D2328" t="str">
        <f>"17"</f>
        <v>17</v>
      </c>
      <c r="E2328" t="str">
        <f>"1-123-17"</f>
        <v>1-123-17</v>
      </c>
      <c r="F2328" t="s">
        <v>15</v>
      </c>
      <c r="G2328" t="s">
        <v>20</v>
      </c>
      <c r="H2328" t="s">
        <v>21</v>
      </c>
      <c r="I2328">
        <v>0</v>
      </c>
      <c r="J2328">
        <v>0</v>
      </c>
      <c r="K2328">
        <v>1</v>
      </c>
    </row>
    <row r="2329" spans="1:11" x14ac:dyDescent="0.25">
      <c r="A2329" t="str">
        <f>"2966"</f>
        <v>2966</v>
      </c>
      <c r="B2329" t="str">
        <f t="shared" si="141"/>
        <v>1</v>
      </c>
      <c r="C2329" t="str">
        <f t="shared" si="144"/>
        <v>123</v>
      </c>
      <c r="D2329" t="str">
        <f>"3"</f>
        <v>3</v>
      </c>
      <c r="E2329" t="str">
        <f>"1-123-3"</f>
        <v>1-123-3</v>
      </c>
      <c r="F2329" t="s">
        <v>15</v>
      </c>
      <c r="G2329" t="s">
        <v>20</v>
      </c>
      <c r="H2329" t="s">
        <v>21</v>
      </c>
      <c r="I2329">
        <v>1</v>
      </c>
      <c r="J2329">
        <v>0</v>
      </c>
      <c r="K2329">
        <v>0</v>
      </c>
    </row>
    <row r="2330" spans="1:11" x14ac:dyDescent="0.25">
      <c r="A2330" t="str">
        <f>"2967"</f>
        <v>2967</v>
      </c>
      <c r="B2330" t="str">
        <f t="shared" si="141"/>
        <v>1</v>
      </c>
      <c r="C2330" t="str">
        <f t="shared" si="144"/>
        <v>123</v>
      </c>
      <c r="D2330" t="str">
        <f>"2"</f>
        <v>2</v>
      </c>
      <c r="E2330" t="str">
        <f>"1-123-2"</f>
        <v>1-123-2</v>
      </c>
      <c r="F2330" t="s">
        <v>15</v>
      </c>
      <c r="G2330" t="s">
        <v>20</v>
      </c>
      <c r="H2330" t="s">
        <v>21</v>
      </c>
      <c r="I2330">
        <v>0</v>
      </c>
      <c r="J2330">
        <v>0</v>
      </c>
      <c r="K2330">
        <v>1</v>
      </c>
    </row>
    <row r="2331" spans="1:11" x14ac:dyDescent="0.25">
      <c r="A2331" t="str">
        <f>"2968"</f>
        <v>2968</v>
      </c>
      <c r="B2331" t="str">
        <f t="shared" si="141"/>
        <v>1</v>
      </c>
      <c r="C2331" t="str">
        <f t="shared" si="144"/>
        <v>123</v>
      </c>
      <c r="D2331" t="str">
        <f>"7"</f>
        <v>7</v>
      </c>
      <c r="E2331" t="str">
        <f>"1-123-7"</f>
        <v>1-123-7</v>
      </c>
      <c r="F2331" t="s">
        <v>15</v>
      </c>
      <c r="G2331" t="s">
        <v>20</v>
      </c>
      <c r="H2331" t="s">
        <v>21</v>
      </c>
      <c r="I2331">
        <v>0</v>
      </c>
      <c r="J2331">
        <v>0</v>
      </c>
      <c r="K2331">
        <v>1</v>
      </c>
    </row>
    <row r="2332" spans="1:11" x14ac:dyDescent="0.25">
      <c r="A2332" t="str">
        <f>"2969"</f>
        <v>2969</v>
      </c>
      <c r="B2332" t="str">
        <f t="shared" si="141"/>
        <v>1</v>
      </c>
      <c r="C2332" t="str">
        <f t="shared" si="144"/>
        <v>123</v>
      </c>
      <c r="D2332" t="str">
        <f>"8"</f>
        <v>8</v>
      </c>
      <c r="E2332" t="str">
        <f>"1-123-8"</f>
        <v>1-123-8</v>
      </c>
      <c r="F2332" t="s">
        <v>15</v>
      </c>
      <c r="G2332" t="s">
        <v>20</v>
      </c>
      <c r="H2332" t="s">
        <v>21</v>
      </c>
      <c r="I2332">
        <v>0</v>
      </c>
      <c r="J2332">
        <v>1</v>
      </c>
      <c r="K2332">
        <v>0</v>
      </c>
    </row>
    <row r="2333" spans="1:11" x14ac:dyDescent="0.25">
      <c r="A2333" t="str">
        <f>"2970"</f>
        <v>2970</v>
      </c>
      <c r="B2333" t="str">
        <f t="shared" ref="B2333:B2380" si="145">"1"</f>
        <v>1</v>
      </c>
      <c r="C2333" t="str">
        <f t="shared" si="144"/>
        <v>123</v>
      </c>
      <c r="D2333" t="str">
        <f>"9"</f>
        <v>9</v>
      </c>
      <c r="E2333" t="str">
        <f>"1-123-9"</f>
        <v>1-123-9</v>
      </c>
      <c r="F2333" t="s">
        <v>15</v>
      </c>
      <c r="G2333" t="s">
        <v>20</v>
      </c>
      <c r="H2333" t="s">
        <v>21</v>
      </c>
      <c r="I2333">
        <v>0</v>
      </c>
      <c r="J2333">
        <v>1</v>
      </c>
      <c r="K2333">
        <v>0</v>
      </c>
    </row>
    <row r="2334" spans="1:11" x14ac:dyDescent="0.25">
      <c r="A2334" t="str">
        <f>"2971"</f>
        <v>2971</v>
      </c>
      <c r="B2334" t="str">
        <f t="shared" si="145"/>
        <v>1</v>
      </c>
      <c r="C2334" t="str">
        <f t="shared" si="144"/>
        <v>123</v>
      </c>
      <c r="D2334" t="str">
        <f>"10"</f>
        <v>10</v>
      </c>
      <c r="E2334" t="str">
        <f>"1-123-10"</f>
        <v>1-123-10</v>
      </c>
      <c r="F2334" t="s">
        <v>15</v>
      </c>
      <c r="G2334" t="s">
        <v>20</v>
      </c>
      <c r="H2334" t="s">
        <v>21</v>
      </c>
      <c r="I2334">
        <v>0</v>
      </c>
      <c r="J2334">
        <v>0</v>
      </c>
      <c r="K2334">
        <v>1</v>
      </c>
    </row>
    <row r="2335" spans="1:11" x14ac:dyDescent="0.25">
      <c r="A2335" t="str">
        <f>"2972"</f>
        <v>2972</v>
      </c>
      <c r="B2335" t="str">
        <f t="shared" si="145"/>
        <v>1</v>
      </c>
      <c r="C2335" t="str">
        <f t="shared" si="144"/>
        <v>123</v>
      </c>
      <c r="D2335" t="str">
        <f>"6"</f>
        <v>6</v>
      </c>
      <c r="E2335" t="str">
        <f>"1-123-6"</f>
        <v>1-123-6</v>
      </c>
      <c r="F2335" t="s">
        <v>15</v>
      </c>
      <c r="G2335" t="s">
        <v>20</v>
      </c>
      <c r="H2335" t="s">
        <v>21</v>
      </c>
      <c r="I2335">
        <v>0</v>
      </c>
      <c r="J2335">
        <v>1</v>
      </c>
      <c r="K2335">
        <v>0</v>
      </c>
    </row>
    <row r="2336" spans="1:11" x14ac:dyDescent="0.25">
      <c r="A2336" t="str">
        <f>"2973"</f>
        <v>2973</v>
      </c>
      <c r="B2336" t="str">
        <f t="shared" si="145"/>
        <v>1</v>
      </c>
      <c r="C2336" t="str">
        <f t="shared" si="144"/>
        <v>123</v>
      </c>
      <c r="D2336" t="str">
        <f>"14"</f>
        <v>14</v>
      </c>
      <c r="E2336" t="str">
        <f>"1-123-14"</f>
        <v>1-123-14</v>
      </c>
      <c r="F2336" t="s">
        <v>15</v>
      </c>
      <c r="G2336" t="s">
        <v>20</v>
      </c>
      <c r="H2336" t="s">
        <v>21</v>
      </c>
      <c r="I2336">
        <v>0</v>
      </c>
      <c r="J2336">
        <v>0</v>
      </c>
      <c r="K2336">
        <v>0</v>
      </c>
    </row>
    <row r="2337" spans="1:11" x14ac:dyDescent="0.25">
      <c r="A2337" t="str">
        <f>"2974"</f>
        <v>2974</v>
      </c>
      <c r="B2337" t="str">
        <f t="shared" si="145"/>
        <v>1</v>
      </c>
      <c r="C2337" t="str">
        <f t="shared" si="144"/>
        <v>123</v>
      </c>
      <c r="D2337" t="str">
        <f>"12"</f>
        <v>12</v>
      </c>
      <c r="E2337" t="str">
        <f>"1-123-12"</f>
        <v>1-123-12</v>
      </c>
      <c r="F2337" t="s">
        <v>15</v>
      </c>
      <c r="G2337" t="s">
        <v>20</v>
      </c>
      <c r="H2337" t="s">
        <v>21</v>
      </c>
      <c r="I2337">
        <v>0</v>
      </c>
      <c r="J2337">
        <v>0</v>
      </c>
      <c r="K2337">
        <v>0</v>
      </c>
    </row>
    <row r="2338" spans="1:11" x14ac:dyDescent="0.25">
      <c r="A2338" t="str">
        <f>"2975"</f>
        <v>2975</v>
      </c>
      <c r="B2338" t="str">
        <f t="shared" si="145"/>
        <v>1</v>
      </c>
      <c r="C2338" t="str">
        <f t="shared" si="144"/>
        <v>123</v>
      </c>
      <c r="D2338" t="str">
        <f>"11"</f>
        <v>11</v>
      </c>
      <c r="E2338" t="str">
        <f>"1-123-11"</f>
        <v>1-123-11</v>
      </c>
      <c r="F2338" t="s">
        <v>15</v>
      </c>
      <c r="G2338" t="s">
        <v>20</v>
      </c>
      <c r="H2338" t="s">
        <v>21</v>
      </c>
      <c r="I2338">
        <v>0</v>
      </c>
      <c r="J2338">
        <v>0</v>
      </c>
      <c r="K2338">
        <v>0</v>
      </c>
    </row>
    <row r="2339" spans="1:11" x14ac:dyDescent="0.25">
      <c r="A2339" t="str">
        <f>"2976"</f>
        <v>2976</v>
      </c>
      <c r="B2339" t="str">
        <f t="shared" si="145"/>
        <v>1</v>
      </c>
      <c r="C2339" t="str">
        <f t="shared" ref="C2339:C2357" si="146">"124"</f>
        <v>124</v>
      </c>
      <c r="D2339" t="str">
        <f>"15"</f>
        <v>15</v>
      </c>
      <c r="E2339" t="str">
        <f>"1-124-15"</f>
        <v>1-124-15</v>
      </c>
      <c r="F2339" t="s">
        <v>15</v>
      </c>
      <c r="G2339" t="s">
        <v>20</v>
      </c>
      <c r="H2339" t="s">
        <v>21</v>
      </c>
      <c r="I2339">
        <v>0</v>
      </c>
      <c r="J2339">
        <v>0</v>
      </c>
      <c r="K2339">
        <v>1</v>
      </c>
    </row>
    <row r="2340" spans="1:11" x14ac:dyDescent="0.25">
      <c r="A2340" t="str">
        <f>"2978"</f>
        <v>2978</v>
      </c>
      <c r="B2340" t="str">
        <f t="shared" si="145"/>
        <v>1</v>
      </c>
      <c r="C2340" t="str">
        <f t="shared" si="146"/>
        <v>124</v>
      </c>
      <c r="D2340" t="str">
        <f>"20"</f>
        <v>20</v>
      </c>
      <c r="E2340" t="str">
        <f>"1-124-20"</f>
        <v>1-124-20</v>
      </c>
      <c r="F2340" t="s">
        <v>15</v>
      </c>
      <c r="G2340" t="s">
        <v>20</v>
      </c>
      <c r="H2340" t="s">
        <v>21</v>
      </c>
      <c r="I2340">
        <v>0</v>
      </c>
      <c r="J2340">
        <v>0</v>
      </c>
      <c r="K2340">
        <v>1</v>
      </c>
    </row>
    <row r="2341" spans="1:11" x14ac:dyDescent="0.25">
      <c r="A2341" t="str">
        <f>"2980"</f>
        <v>2980</v>
      </c>
      <c r="B2341" t="str">
        <f t="shared" si="145"/>
        <v>1</v>
      </c>
      <c r="C2341" t="str">
        <f t="shared" si="146"/>
        <v>124</v>
      </c>
      <c r="D2341" t="str">
        <f>"2"</f>
        <v>2</v>
      </c>
      <c r="E2341" t="str">
        <f>"1-124-2"</f>
        <v>1-124-2</v>
      </c>
      <c r="F2341" t="s">
        <v>15</v>
      </c>
      <c r="G2341" t="s">
        <v>20</v>
      </c>
      <c r="H2341" t="s">
        <v>21</v>
      </c>
      <c r="I2341">
        <v>1</v>
      </c>
      <c r="J2341">
        <v>0</v>
      </c>
      <c r="K2341">
        <v>0</v>
      </c>
    </row>
    <row r="2342" spans="1:11" x14ac:dyDescent="0.25">
      <c r="A2342" t="str">
        <f>"2982"</f>
        <v>2982</v>
      </c>
      <c r="B2342" t="str">
        <f t="shared" si="145"/>
        <v>1</v>
      </c>
      <c r="C2342" t="str">
        <f t="shared" si="146"/>
        <v>124</v>
      </c>
      <c r="D2342" t="str">
        <f>"18"</f>
        <v>18</v>
      </c>
      <c r="E2342" t="str">
        <f>"1-124-18"</f>
        <v>1-124-18</v>
      </c>
      <c r="F2342" t="s">
        <v>15</v>
      </c>
      <c r="G2342" t="s">
        <v>20</v>
      </c>
      <c r="H2342" t="s">
        <v>21</v>
      </c>
      <c r="I2342">
        <v>0</v>
      </c>
      <c r="J2342">
        <v>0</v>
      </c>
      <c r="K2342">
        <v>1</v>
      </c>
    </row>
    <row r="2343" spans="1:11" x14ac:dyDescent="0.25">
      <c r="A2343" t="str">
        <f>"2984"</f>
        <v>2984</v>
      </c>
      <c r="B2343" t="str">
        <f t="shared" si="145"/>
        <v>1</v>
      </c>
      <c r="C2343" t="str">
        <f t="shared" si="146"/>
        <v>124</v>
      </c>
      <c r="D2343" t="str">
        <f>"19"</f>
        <v>19</v>
      </c>
      <c r="E2343" t="str">
        <f>"1-124-19"</f>
        <v>1-124-19</v>
      </c>
      <c r="F2343" t="s">
        <v>15</v>
      </c>
      <c r="G2343" t="s">
        <v>20</v>
      </c>
      <c r="H2343" t="s">
        <v>21</v>
      </c>
      <c r="I2343">
        <v>0</v>
      </c>
      <c r="J2343">
        <v>0</v>
      </c>
      <c r="K2343">
        <v>1</v>
      </c>
    </row>
    <row r="2344" spans="1:11" x14ac:dyDescent="0.25">
      <c r="A2344" t="str">
        <f>"2986"</f>
        <v>2986</v>
      </c>
      <c r="B2344" t="str">
        <f t="shared" si="145"/>
        <v>1</v>
      </c>
      <c r="C2344" t="str">
        <f t="shared" si="146"/>
        <v>124</v>
      </c>
      <c r="D2344" t="str">
        <f>"21"</f>
        <v>21</v>
      </c>
      <c r="E2344" t="str">
        <f>"1-124-21"</f>
        <v>1-124-21</v>
      </c>
      <c r="F2344" t="s">
        <v>15</v>
      </c>
      <c r="G2344" t="s">
        <v>20</v>
      </c>
      <c r="H2344" t="s">
        <v>21</v>
      </c>
      <c r="I2344">
        <v>0</v>
      </c>
      <c r="J2344">
        <v>0</v>
      </c>
      <c r="K2344">
        <v>1</v>
      </c>
    </row>
    <row r="2345" spans="1:11" x14ac:dyDescent="0.25">
      <c r="A2345" t="str">
        <f>"2987"</f>
        <v>2987</v>
      </c>
      <c r="B2345" t="str">
        <f t="shared" si="145"/>
        <v>1</v>
      </c>
      <c r="C2345" t="str">
        <f t="shared" si="146"/>
        <v>124</v>
      </c>
      <c r="D2345" t="str">
        <f>"13"</f>
        <v>13</v>
      </c>
      <c r="E2345" t="str">
        <f>"1-124-13"</f>
        <v>1-124-13</v>
      </c>
      <c r="F2345" t="s">
        <v>15</v>
      </c>
      <c r="G2345" t="s">
        <v>20</v>
      </c>
      <c r="H2345" t="s">
        <v>21</v>
      </c>
      <c r="I2345">
        <v>0</v>
      </c>
      <c r="J2345">
        <v>1</v>
      </c>
      <c r="K2345">
        <v>0</v>
      </c>
    </row>
    <row r="2346" spans="1:11" x14ac:dyDescent="0.25">
      <c r="A2346" t="str">
        <f>"2988"</f>
        <v>2988</v>
      </c>
      <c r="B2346" t="str">
        <f t="shared" si="145"/>
        <v>1</v>
      </c>
      <c r="C2346" t="str">
        <f t="shared" si="146"/>
        <v>124</v>
      </c>
      <c r="D2346" t="str">
        <f>"23"</f>
        <v>23</v>
      </c>
      <c r="E2346" t="str">
        <f>"1-124-23"</f>
        <v>1-124-23</v>
      </c>
      <c r="F2346" t="s">
        <v>15</v>
      </c>
      <c r="G2346" t="s">
        <v>20</v>
      </c>
      <c r="H2346" t="s">
        <v>21</v>
      </c>
      <c r="I2346">
        <v>1</v>
      </c>
      <c r="J2346">
        <v>0</v>
      </c>
      <c r="K2346">
        <v>0</v>
      </c>
    </row>
    <row r="2347" spans="1:11" x14ac:dyDescent="0.25">
      <c r="A2347" t="str">
        <f>"2989"</f>
        <v>2989</v>
      </c>
      <c r="B2347" t="str">
        <f t="shared" si="145"/>
        <v>1</v>
      </c>
      <c r="C2347" t="str">
        <f t="shared" si="146"/>
        <v>124</v>
      </c>
      <c r="D2347" t="str">
        <f>"14"</f>
        <v>14</v>
      </c>
      <c r="E2347" t="str">
        <f>"1-124-14"</f>
        <v>1-124-14</v>
      </c>
      <c r="F2347" t="s">
        <v>15</v>
      </c>
      <c r="G2347" t="s">
        <v>20</v>
      </c>
      <c r="H2347" t="s">
        <v>21</v>
      </c>
      <c r="I2347">
        <v>0</v>
      </c>
      <c r="J2347">
        <v>1</v>
      </c>
      <c r="K2347">
        <v>0</v>
      </c>
    </row>
    <row r="2348" spans="1:11" x14ac:dyDescent="0.25">
      <c r="A2348" t="str">
        <f>"2991"</f>
        <v>2991</v>
      </c>
      <c r="B2348" t="str">
        <f t="shared" si="145"/>
        <v>1</v>
      </c>
      <c r="C2348" t="str">
        <f t="shared" si="146"/>
        <v>124</v>
      </c>
      <c r="D2348" t="str">
        <f>"3"</f>
        <v>3</v>
      </c>
      <c r="E2348" t="str">
        <f>"1-124-3"</f>
        <v>1-124-3</v>
      </c>
      <c r="F2348" t="s">
        <v>15</v>
      </c>
      <c r="G2348" t="s">
        <v>20</v>
      </c>
      <c r="H2348" t="s">
        <v>21</v>
      </c>
      <c r="I2348">
        <v>0</v>
      </c>
      <c r="J2348">
        <v>0</v>
      </c>
      <c r="K2348">
        <v>1</v>
      </c>
    </row>
    <row r="2349" spans="1:11" x14ac:dyDescent="0.25">
      <c r="A2349" t="str">
        <f>"2992"</f>
        <v>2992</v>
      </c>
      <c r="B2349" t="str">
        <f t="shared" si="145"/>
        <v>1</v>
      </c>
      <c r="C2349" t="str">
        <f t="shared" si="146"/>
        <v>124</v>
      </c>
      <c r="D2349" t="str">
        <f>"25"</f>
        <v>25</v>
      </c>
      <c r="E2349" t="str">
        <f>"1-124-25"</f>
        <v>1-124-25</v>
      </c>
      <c r="F2349" t="s">
        <v>15</v>
      </c>
      <c r="G2349" t="s">
        <v>20</v>
      </c>
      <c r="H2349" t="s">
        <v>21</v>
      </c>
      <c r="I2349">
        <v>1</v>
      </c>
      <c r="J2349">
        <v>0</v>
      </c>
      <c r="K2349">
        <v>0</v>
      </c>
    </row>
    <row r="2350" spans="1:11" x14ac:dyDescent="0.25">
      <c r="A2350" t="str">
        <f>"2993"</f>
        <v>2993</v>
      </c>
      <c r="B2350" t="str">
        <f t="shared" si="145"/>
        <v>1</v>
      </c>
      <c r="C2350" t="str">
        <f t="shared" si="146"/>
        <v>124</v>
      </c>
      <c r="D2350" t="str">
        <f>"9"</f>
        <v>9</v>
      </c>
      <c r="E2350" t="str">
        <f>"1-124-9"</f>
        <v>1-124-9</v>
      </c>
      <c r="F2350" t="s">
        <v>15</v>
      </c>
      <c r="G2350" t="s">
        <v>20</v>
      </c>
      <c r="H2350" t="s">
        <v>21</v>
      </c>
      <c r="I2350">
        <v>0</v>
      </c>
      <c r="J2350">
        <v>0</v>
      </c>
      <c r="K2350">
        <v>1</v>
      </c>
    </row>
    <row r="2351" spans="1:11" x14ac:dyDescent="0.25">
      <c r="A2351" t="str">
        <f>"2994"</f>
        <v>2994</v>
      </c>
      <c r="B2351" t="str">
        <f t="shared" si="145"/>
        <v>1</v>
      </c>
      <c r="C2351" t="str">
        <f t="shared" si="146"/>
        <v>124</v>
      </c>
      <c r="D2351" t="str">
        <f>"1"</f>
        <v>1</v>
      </c>
      <c r="E2351" t="str">
        <f>"1-124-1"</f>
        <v>1-124-1</v>
      </c>
      <c r="F2351" t="s">
        <v>15</v>
      </c>
      <c r="G2351" t="s">
        <v>20</v>
      </c>
      <c r="H2351" t="s">
        <v>21</v>
      </c>
      <c r="I2351">
        <v>0</v>
      </c>
      <c r="J2351">
        <v>0</v>
      </c>
      <c r="K2351">
        <v>1</v>
      </c>
    </row>
    <row r="2352" spans="1:11" x14ac:dyDescent="0.25">
      <c r="A2352" t="str">
        <f>"2995"</f>
        <v>2995</v>
      </c>
      <c r="B2352" t="str">
        <f t="shared" si="145"/>
        <v>1</v>
      </c>
      <c r="C2352" t="str">
        <f t="shared" si="146"/>
        <v>124</v>
      </c>
      <c r="D2352" t="str">
        <f>"11"</f>
        <v>11</v>
      </c>
      <c r="E2352" t="str">
        <f>"1-124-11"</f>
        <v>1-124-11</v>
      </c>
      <c r="F2352" t="s">
        <v>15</v>
      </c>
      <c r="G2352" t="s">
        <v>20</v>
      </c>
      <c r="H2352" t="s">
        <v>21</v>
      </c>
      <c r="I2352">
        <v>0</v>
      </c>
      <c r="J2352">
        <v>0</v>
      </c>
      <c r="K2352">
        <v>1</v>
      </c>
    </row>
    <row r="2353" spans="1:11" x14ac:dyDescent="0.25">
      <c r="A2353" t="str">
        <f>"2996"</f>
        <v>2996</v>
      </c>
      <c r="B2353" t="str">
        <f t="shared" si="145"/>
        <v>1</v>
      </c>
      <c r="C2353" t="str">
        <f t="shared" si="146"/>
        <v>124</v>
      </c>
      <c r="D2353" t="str">
        <f>"8"</f>
        <v>8</v>
      </c>
      <c r="E2353" t="str">
        <f>"1-124-8"</f>
        <v>1-124-8</v>
      </c>
      <c r="F2353" t="s">
        <v>15</v>
      </c>
      <c r="G2353" t="s">
        <v>20</v>
      </c>
      <c r="H2353" t="s">
        <v>21</v>
      </c>
      <c r="I2353">
        <v>0</v>
      </c>
      <c r="J2353">
        <v>0</v>
      </c>
      <c r="K2353">
        <v>1</v>
      </c>
    </row>
    <row r="2354" spans="1:11" x14ac:dyDescent="0.25">
      <c r="A2354" t="str">
        <f>"2997"</f>
        <v>2997</v>
      </c>
      <c r="B2354" t="str">
        <f t="shared" si="145"/>
        <v>1</v>
      </c>
      <c r="C2354" t="str">
        <f t="shared" si="146"/>
        <v>124</v>
      </c>
      <c r="D2354" t="str">
        <f>"12"</f>
        <v>12</v>
      </c>
      <c r="E2354" t="str">
        <f>"1-124-12"</f>
        <v>1-124-12</v>
      </c>
      <c r="F2354" t="s">
        <v>15</v>
      </c>
      <c r="G2354" t="s">
        <v>20</v>
      </c>
      <c r="H2354" t="s">
        <v>21</v>
      </c>
      <c r="I2354">
        <v>0</v>
      </c>
      <c r="J2354">
        <v>0</v>
      </c>
      <c r="K2354">
        <v>1</v>
      </c>
    </row>
    <row r="2355" spans="1:11" x14ac:dyDescent="0.25">
      <c r="A2355" t="str">
        <f>"2998"</f>
        <v>2998</v>
      </c>
      <c r="B2355" t="str">
        <f t="shared" si="145"/>
        <v>1</v>
      </c>
      <c r="C2355" t="str">
        <f t="shared" si="146"/>
        <v>124</v>
      </c>
      <c r="D2355" t="str">
        <f>"22"</f>
        <v>22</v>
      </c>
      <c r="E2355" t="str">
        <f>"1-124-22"</f>
        <v>1-124-22</v>
      </c>
      <c r="F2355" t="s">
        <v>15</v>
      </c>
      <c r="G2355" t="s">
        <v>20</v>
      </c>
      <c r="H2355" t="s">
        <v>21</v>
      </c>
      <c r="I2355">
        <v>0</v>
      </c>
      <c r="J2355">
        <v>0</v>
      </c>
      <c r="K2355">
        <v>0</v>
      </c>
    </row>
    <row r="2356" spans="1:11" x14ac:dyDescent="0.25">
      <c r="A2356" t="str">
        <f>"2999"</f>
        <v>2999</v>
      </c>
      <c r="B2356" t="str">
        <f t="shared" si="145"/>
        <v>1</v>
      </c>
      <c r="C2356" t="str">
        <f t="shared" si="146"/>
        <v>124</v>
      </c>
      <c r="D2356" t="str">
        <f>"17"</f>
        <v>17</v>
      </c>
      <c r="E2356" t="str">
        <f>"1-124-17"</f>
        <v>1-124-17</v>
      </c>
      <c r="F2356" t="s">
        <v>15</v>
      </c>
      <c r="G2356" t="s">
        <v>20</v>
      </c>
      <c r="H2356" t="s">
        <v>21</v>
      </c>
      <c r="I2356">
        <v>0</v>
      </c>
      <c r="J2356">
        <v>0</v>
      </c>
      <c r="K2356">
        <v>0</v>
      </c>
    </row>
    <row r="2357" spans="1:11" x14ac:dyDescent="0.25">
      <c r="A2357" t="str">
        <f>"3000"</f>
        <v>3000</v>
      </c>
      <c r="B2357" t="str">
        <f t="shared" si="145"/>
        <v>1</v>
      </c>
      <c r="C2357" t="str">
        <f t="shared" si="146"/>
        <v>124</v>
      </c>
      <c r="D2357" t="str">
        <f>"10"</f>
        <v>10</v>
      </c>
      <c r="E2357" t="str">
        <f>"1-124-10"</f>
        <v>1-124-10</v>
      </c>
      <c r="F2357" t="s">
        <v>15</v>
      </c>
      <c r="G2357" t="s">
        <v>20</v>
      </c>
      <c r="H2357" t="s">
        <v>21</v>
      </c>
      <c r="I2357">
        <v>0</v>
      </c>
      <c r="J2357">
        <v>0</v>
      </c>
      <c r="K2357">
        <v>0</v>
      </c>
    </row>
    <row r="2358" spans="1:11" x14ac:dyDescent="0.25">
      <c r="A2358" t="str">
        <f>"3002"</f>
        <v>3002</v>
      </c>
      <c r="B2358" t="str">
        <f t="shared" si="145"/>
        <v>1</v>
      </c>
      <c r="C2358" t="str">
        <f t="shared" ref="C2358:C2365" si="147">"125"</f>
        <v>125</v>
      </c>
      <c r="D2358" t="str">
        <f>"2"</f>
        <v>2</v>
      </c>
      <c r="E2358" t="str">
        <f>"1-125-2"</f>
        <v>1-125-2</v>
      </c>
      <c r="F2358" t="s">
        <v>15</v>
      </c>
      <c r="G2358" t="s">
        <v>16</v>
      </c>
      <c r="H2358" t="s">
        <v>17</v>
      </c>
      <c r="I2358">
        <v>0</v>
      </c>
      <c r="J2358">
        <v>1</v>
      </c>
      <c r="K2358">
        <v>0</v>
      </c>
    </row>
    <row r="2359" spans="1:11" x14ac:dyDescent="0.25">
      <c r="A2359" t="str">
        <f>"3003"</f>
        <v>3003</v>
      </c>
      <c r="B2359" t="str">
        <f t="shared" si="145"/>
        <v>1</v>
      </c>
      <c r="C2359" t="str">
        <f t="shared" si="147"/>
        <v>125</v>
      </c>
      <c r="D2359" t="str">
        <f>"9"</f>
        <v>9</v>
      </c>
      <c r="E2359" t="str">
        <f>"1-125-9"</f>
        <v>1-125-9</v>
      </c>
      <c r="F2359" t="s">
        <v>15</v>
      </c>
      <c r="G2359" t="s">
        <v>16</v>
      </c>
      <c r="H2359" t="s">
        <v>17</v>
      </c>
      <c r="I2359">
        <v>0</v>
      </c>
      <c r="J2359">
        <v>1</v>
      </c>
      <c r="K2359">
        <v>0</v>
      </c>
    </row>
    <row r="2360" spans="1:11" x14ac:dyDescent="0.25">
      <c r="A2360" t="str">
        <f>"3004"</f>
        <v>3004</v>
      </c>
      <c r="B2360" t="str">
        <f t="shared" si="145"/>
        <v>1</v>
      </c>
      <c r="C2360" t="str">
        <f t="shared" si="147"/>
        <v>125</v>
      </c>
      <c r="D2360" t="str">
        <f>"5"</f>
        <v>5</v>
      </c>
      <c r="E2360" t="str">
        <f>"1-125-5"</f>
        <v>1-125-5</v>
      </c>
      <c r="F2360" t="s">
        <v>15</v>
      </c>
      <c r="G2360" t="s">
        <v>16</v>
      </c>
      <c r="H2360" t="s">
        <v>17</v>
      </c>
      <c r="I2360">
        <v>0</v>
      </c>
      <c r="J2360">
        <v>0</v>
      </c>
      <c r="K2360">
        <v>1</v>
      </c>
    </row>
    <row r="2361" spans="1:11" x14ac:dyDescent="0.25">
      <c r="A2361" t="str">
        <f>"3005"</f>
        <v>3005</v>
      </c>
      <c r="B2361" t="str">
        <f t="shared" si="145"/>
        <v>1</v>
      </c>
      <c r="C2361" t="str">
        <f t="shared" si="147"/>
        <v>125</v>
      </c>
      <c r="D2361" t="str">
        <f>"6"</f>
        <v>6</v>
      </c>
      <c r="E2361" t="str">
        <f>"1-125-6"</f>
        <v>1-125-6</v>
      </c>
      <c r="F2361" t="s">
        <v>15</v>
      </c>
      <c r="G2361" t="s">
        <v>16</v>
      </c>
      <c r="H2361" t="s">
        <v>17</v>
      </c>
      <c r="I2361">
        <v>0</v>
      </c>
      <c r="J2361">
        <v>0</v>
      </c>
      <c r="K2361">
        <v>1</v>
      </c>
    </row>
    <row r="2362" spans="1:11" x14ac:dyDescent="0.25">
      <c r="A2362" t="str">
        <f>"3006"</f>
        <v>3006</v>
      </c>
      <c r="B2362" t="str">
        <f t="shared" si="145"/>
        <v>1</v>
      </c>
      <c r="C2362" t="str">
        <f t="shared" si="147"/>
        <v>125</v>
      </c>
      <c r="D2362" t="str">
        <f>"7"</f>
        <v>7</v>
      </c>
      <c r="E2362" t="str">
        <f>"1-125-7"</f>
        <v>1-125-7</v>
      </c>
      <c r="F2362" t="s">
        <v>15</v>
      </c>
      <c r="G2362" t="s">
        <v>16</v>
      </c>
      <c r="H2362" t="s">
        <v>17</v>
      </c>
      <c r="I2362">
        <v>0</v>
      </c>
      <c r="J2362">
        <v>0</v>
      </c>
      <c r="K2362">
        <v>1</v>
      </c>
    </row>
    <row r="2363" spans="1:11" x14ac:dyDescent="0.25">
      <c r="A2363" t="str">
        <f>"3008"</f>
        <v>3008</v>
      </c>
      <c r="B2363" t="str">
        <f t="shared" si="145"/>
        <v>1</v>
      </c>
      <c r="C2363" t="str">
        <f t="shared" si="147"/>
        <v>125</v>
      </c>
      <c r="D2363" t="str">
        <f>"8"</f>
        <v>8</v>
      </c>
      <c r="E2363" t="str">
        <f>"1-125-8"</f>
        <v>1-125-8</v>
      </c>
      <c r="F2363" t="s">
        <v>15</v>
      </c>
      <c r="G2363" t="s">
        <v>16</v>
      </c>
      <c r="H2363" t="s">
        <v>17</v>
      </c>
      <c r="I2363">
        <v>1</v>
      </c>
      <c r="J2363">
        <v>0</v>
      </c>
      <c r="K2363">
        <v>0</v>
      </c>
    </row>
    <row r="2364" spans="1:11" x14ac:dyDescent="0.25">
      <c r="A2364" t="str">
        <f>"3009"</f>
        <v>3009</v>
      </c>
      <c r="B2364" t="str">
        <f t="shared" si="145"/>
        <v>1</v>
      </c>
      <c r="C2364" t="str">
        <f t="shared" si="147"/>
        <v>125</v>
      </c>
      <c r="D2364" t="str">
        <f>"3"</f>
        <v>3</v>
      </c>
      <c r="E2364" t="str">
        <f>"1-125-3"</f>
        <v>1-125-3</v>
      </c>
      <c r="F2364" t="s">
        <v>15</v>
      </c>
      <c r="G2364" t="s">
        <v>16</v>
      </c>
      <c r="H2364" t="s">
        <v>17</v>
      </c>
      <c r="I2364">
        <v>1</v>
      </c>
      <c r="J2364">
        <v>0</v>
      </c>
      <c r="K2364">
        <v>0</v>
      </c>
    </row>
    <row r="2365" spans="1:11" x14ac:dyDescent="0.25">
      <c r="A2365" t="str">
        <f>"3010"</f>
        <v>3010</v>
      </c>
      <c r="B2365" t="str">
        <f t="shared" si="145"/>
        <v>1</v>
      </c>
      <c r="C2365" t="str">
        <f t="shared" si="147"/>
        <v>125</v>
      </c>
      <c r="D2365" t="str">
        <f>"10"</f>
        <v>10</v>
      </c>
      <c r="E2365" t="str">
        <f>"1-125-10"</f>
        <v>1-125-10</v>
      </c>
      <c r="F2365" t="s">
        <v>15</v>
      </c>
      <c r="G2365" t="s">
        <v>16</v>
      </c>
      <c r="H2365" t="s">
        <v>17</v>
      </c>
      <c r="I2365">
        <v>0</v>
      </c>
      <c r="J2365">
        <v>0</v>
      </c>
      <c r="K2365">
        <v>0</v>
      </c>
    </row>
    <row r="2366" spans="1:11" x14ac:dyDescent="0.25">
      <c r="A2366" t="str">
        <f>"3014"</f>
        <v>3014</v>
      </c>
      <c r="B2366" t="str">
        <f t="shared" si="145"/>
        <v>1</v>
      </c>
      <c r="C2366" t="str">
        <f t="shared" ref="C2366:C2381" si="148">"126"</f>
        <v>126</v>
      </c>
      <c r="D2366" t="str">
        <f>"21"</f>
        <v>21</v>
      </c>
      <c r="E2366" t="str">
        <f>"1-126-21"</f>
        <v>1-126-21</v>
      </c>
      <c r="F2366" t="s">
        <v>15</v>
      </c>
      <c r="G2366" t="s">
        <v>18</v>
      </c>
      <c r="H2366" t="s">
        <v>19</v>
      </c>
      <c r="I2366">
        <v>0</v>
      </c>
      <c r="J2366">
        <v>0</v>
      </c>
      <c r="K2366">
        <v>1</v>
      </c>
    </row>
    <row r="2367" spans="1:11" x14ac:dyDescent="0.25">
      <c r="A2367" t="str">
        <f>"3016"</f>
        <v>3016</v>
      </c>
      <c r="B2367" t="str">
        <f t="shared" si="145"/>
        <v>1</v>
      </c>
      <c r="C2367" t="str">
        <f t="shared" si="148"/>
        <v>126</v>
      </c>
      <c r="D2367" t="str">
        <f>"6"</f>
        <v>6</v>
      </c>
      <c r="E2367" t="str">
        <f>"1-126-6"</f>
        <v>1-126-6</v>
      </c>
      <c r="F2367" t="s">
        <v>15</v>
      </c>
      <c r="G2367" t="s">
        <v>18</v>
      </c>
      <c r="H2367" t="s">
        <v>19</v>
      </c>
      <c r="I2367">
        <v>0</v>
      </c>
      <c r="J2367">
        <v>0</v>
      </c>
      <c r="K2367">
        <v>1</v>
      </c>
    </row>
    <row r="2368" spans="1:11" x14ac:dyDescent="0.25">
      <c r="A2368" t="str">
        <f>"3017"</f>
        <v>3017</v>
      </c>
      <c r="B2368" t="str">
        <f t="shared" si="145"/>
        <v>1</v>
      </c>
      <c r="C2368" t="str">
        <f t="shared" si="148"/>
        <v>126</v>
      </c>
      <c r="D2368" t="str">
        <f>"17"</f>
        <v>17</v>
      </c>
      <c r="E2368" t="str">
        <f>"1-126-17"</f>
        <v>1-126-17</v>
      </c>
      <c r="F2368" t="s">
        <v>15</v>
      </c>
      <c r="G2368" t="s">
        <v>18</v>
      </c>
      <c r="H2368" t="s">
        <v>19</v>
      </c>
      <c r="I2368">
        <v>0</v>
      </c>
      <c r="J2368">
        <v>1</v>
      </c>
      <c r="K2368">
        <v>0</v>
      </c>
    </row>
    <row r="2369" spans="1:11" x14ac:dyDescent="0.25">
      <c r="A2369" t="str">
        <f>"3020"</f>
        <v>3020</v>
      </c>
      <c r="B2369" t="str">
        <f t="shared" si="145"/>
        <v>1</v>
      </c>
      <c r="C2369" t="str">
        <f t="shared" si="148"/>
        <v>126</v>
      </c>
      <c r="D2369" t="str">
        <f>"20"</f>
        <v>20</v>
      </c>
      <c r="E2369" t="str">
        <f>"1-126-20"</f>
        <v>1-126-20</v>
      </c>
      <c r="F2369" t="s">
        <v>15</v>
      </c>
      <c r="G2369" t="s">
        <v>18</v>
      </c>
      <c r="H2369" t="s">
        <v>19</v>
      </c>
      <c r="I2369">
        <v>1</v>
      </c>
      <c r="J2369">
        <v>0</v>
      </c>
      <c r="K2369">
        <v>0</v>
      </c>
    </row>
    <row r="2370" spans="1:11" x14ac:dyDescent="0.25">
      <c r="A2370" t="str">
        <f>"3022"</f>
        <v>3022</v>
      </c>
      <c r="B2370" t="str">
        <f t="shared" si="145"/>
        <v>1</v>
      </c>
      <c r="C2370" t="str">
        <f t="shared" si="148"/>
        <v>126</v>
      </c>
      <c r="D2370" t="str">
        <f>"22"</f>
        <v>22</v>
      </c>
      <c r="E2370" t="str">
        <f>"1-126-22"</f>
        <v>1-126-22</v>
      </c>
      <c r="F2370" t="s">
        <v>15</v>
      </c>
      <c r="G2370" t="s">
        <v>18</v>
      </c>
      <c r="H2370" t="s">
        <v>19</v>
      </c>
      <c r="I2370">
        <v>0</v>
      </c>
      <c r="J2370">
        <v>0</v>
      </c>
      <c r="K2370">
        <v>1</v>
      </c>
    </row>
    <row r="2371" spans="1:11" x14ac:dyDescent="0.25">
      <c r="A2371" t="str">
        <f>"3023"</f>
        <v>3023</v>
      </c>
      <c r="B2371" t="str">
        <f t="shared" si="145"/>
        <v>1</v>
      </c>
      <c r="C2371" t="str">
        <f t="shared" si="148"/>
        <v>126</v>
      </c>
      <c r="D2371" t="str">
        <f>"2"</f>
        <v>2</v>
      </c>
      <c r="E2371" t="str">
        <f>"1-126-2"</f>
        <v>1-126-2</v>
      </c>
      <c r="F2371" t="s">
        <v>15</v>
      </c>
      <c r="G2371" t="s">
        <v>18</v>
      </c>
      <c r="H2371" t="s">
        <v>19</v>
      </c>
      <c r="I2371">
        <v>0</v>
      </c>
      <c r="J2371">
        <v>0</v>
      </c>
      <c r="K2371">
        <v>1</v>
      </c>
    </row>
    <row r="2372" spans="1:11" x14ac:dyDescent="0.25">
      <c r="A2372" t="str">
        <f>"3024"</f>
        <v>3024</v>
      </c>
      <c r="B2372" t="str">
        <f t="shared" si="145"/>
        <v>1</v>
      </c>
      <c r="C2372" t="str">
        <f t="shared" si="148"/>
        <v>126</v>
      </c>
      <c r="D2372" t="str">
        <f>"23"</f>
        <v>23</v>
      </c>
      <c r="E2372" t="str">
        <f>"1-126-23"</f>
        <v>1-126-23</v>
      </c>
      <c r="F2372" t="s">
        <v>15</v>
      </c>
      <c r="G2372" t="s">
        <v>18</v>
      </c>
      <c r="H2372" t="s">
        <v>19</v>
      </c>
      <c r="I2372">
        <v>0</v>
      </c>
      <c r="J2372">
        <v>0</v>
      </c>
      <c r="K2372">
        <v>1</v>
      </c>
    </row>
    <row r="2373" spans="1:11" x14ac:dyDescent="0.25">
      <c r="A2373" t="str">
        <f>"3025"</f>
        <v>3025</v>
      </c>
      <c r="B2373" t="str">
        <f t="shared" si="145"/>
        <v>1</v>
      </c>
      <c r="C2373" t="str">
        <f t="shared" si="148"/>
        <v>126</v>
      </c>
      <c r="D2373" t="str">
        <f>"4"</f>
        <v>4</v>
      </c>
      <c r="E2373" t="str">
        <f>"1-126-4"</f>
        <v>1-126-4</v>
      </c>
      <c r="F2373" t="s">
        <v>15</v>
      </c>
      <c r="G2373" t="s">
        <v>18</v>
      </c>
      <c r="H2373" t="s">
        <v>19</v>
      </c>
      <c r="I2373">
        <v>0</v>
      </c>
      <c r="J2373">
        <v>0</v>
      </c>
      <c r="K2373">
        <v>1</v>
      </c>
    </row>
    <row r="2374" spans="1:11" x14ac:dyDescent="0.25">
      <c r="A2374" t="str">
        <f>"3026"</f>
        <v>3026</v>
      </c>
      <c r="B2374" t="str">
        <f t="shared" si="145"/>
        <v>1</v>
      </c>
      <c r="C2374" t="str">
        <f t="shared" si="148"/>
        <v>126</v>
      </c>
      <c r="D2374" t="str">
        <f>"24"</f>
        <v>24</v>
      </c>
      <c r="E2374" t="str">
        <f>"1-126-24"</f>
        <v>1-126-24</v>
      </c>
      <c r="F2374" t="s">
        <v>15</v>
      </c>
      <c r="G2374" t="s">
        <v>18</v>
      </c>
      <c r="H2374" t="s">
        <v>19</v>
      </c>
      <c r="I2374">
        <v>0</v>
      </c>
      <c r="J2374">
        <v>1</v>
      </c>
      <c r="K2374">
        <v>0</v>
      </c>
    </row>
    <row r="2375" spans="1:11" x14ac:dyDescent="0.25">
      <c r="A2375" t="str">
        <f>"3027"</f>
        <v>3027</v>
      </c>
      <c r="B2375" t="str">
        <f t="shared" si="145"/>
        <v>1</v>
      </c>
      <c r="C2375" t="str">
        <f t="shared" si="148"/>
        <v>126</v>
      </c>
      <c r="D2375" t="str">
        <f>"3"</f>
        <v>3</v>
      </c>
      <c r="E2375" t="str">
        <f>"1-126-3"</f>
        <v>1-126-3</v>
      </c>
      <c r="F2375" t="s">
        <v>15</v>
      </c>
      <c r="G2375" t="s">
        <v>18</v>
      </c>
      <c r="H2375" t="s">
        <v>19</v>
      </c>
      <c r="I2375">
        <v>0</v>
      </c>
      <c r="J2375">
        <v>1</v>
      </c>
      <c r="K2375">
        <v>0</v>
      </c>
    </row>
    <row r="2376" spans="1:11" x14ac:dyDescent="0.25">
      <c r="A2376" t="str">
        <f>"3029"</f>
        <v>3029</v>
      </c>
      <c r="B2376" t="str">
        <f t="shared" si="145"/>
        <v>1</v>
      </c>
      <c r="C2376" t="str">
        <f t="shared" si="148"/>
        <v>126</v>
      </c>
      <c r="D2376" t="str">
        <f>"12"</f>
        <v>12</v>
      </c>
      <c r="E2376" t="str">
        <f>"1-126-12"</f>
        <v>1-126-12</v>
      </c>
      <c r="F2376" t="s">
        <v>15</v>
      </c>
      <c r="G2376" t="s">
        <v>18</v>
      </c>
      <c r="H2376" t="s">
        <v>19</v>
      </c>
      <c r="I2376">
        <v>0</v>
      </c>
      <c r="J2376">
        <v>1</v>
      </c>
      <c r="K2376">
        <v>0</v>
      </c>
    </row>
    <row r="2377" spans="1:11" x14ac:dyDescent="0.25">
      <c r="A2377" t="str">
        <f>"3030"</f>
        <v>3030</v>
      </c>
      <c r="B2377" t="str">
        <f t="shared" si="145"/>
        <v>1</v>
      </c>
      <c r="C2377" t="str">
        <f t="shared" si="148"/>
        <v>126</v>
      </c>
      <c r="D2377" t="str">
        <f>"9"</f>
        <v>9</v>
      </c>
      <c r="E2377" t="str">
        <f>"1-126-9"</f>
        <v>1-126-9</v>
      </c>
      <c r="F2377" t="s">
        <v>15</v>
      </c>
      <c r="G2377" t="s">
        <v>16</v>
      </c>
      <c r="H2377" t="s">
        <v>17</v>
      </c>
      <c r="I2377">
        <v>0</v>
      </c>
      <c r="J2377">
        <v>0</v>
      </c>
      <c r="K2377">
        <v>1</v>
      </c>
    </row>
    <row r="2378" spans="1:11" x14ac:dyDescent="0.25">
      <c r="A2378" t="str">
        <f>"3031"</f>
        <v>3031</v>
      </c>
      <c r="B2378" t="str">
        <f t="shared" si="145"/>
        <v>1</v>
      </c>
      <c r="C2378" t="str">
        <f t="shared" si="148"/>
        <v>126</v>
      </c>
      <c r="D2378" t="str">
        <f>"8"</f>
        <v>8</v>
      </c>
      <c r="E2378" t="str">
        <f>"1-126-8"</f>
        <v>1-126-8</v>
      </c>
      <c r="F2378" t="s">
        <v>15</v>
      </c>
      <c r="G2378" t="s">
        <v>18</v>
      </c>
      <c r="H2378" t="s">
        <v>19</v>
      </c>
      <c r="I2378">
        <v>0</v>
      </c>
      <c r="J2378">
        <v>0</v>
      </c>
      <c r="K2378">
        <v>1</v>
      </c>
    </row>
    <row r="2379" spans="1:11" x14ac:dyDescent="0.25">
      <c r="A2379" t="str">
        <f>"3032"</f>
        <v>3032</v>
      </c>
      <c r="B2379" t="str">
        <f t="shared" si="145"/>
        <v>1</v>
      </c>
      <c r="C2379" t="str">
        <f t="shared" si="148"/>
        <v>126</v>
      </c>
      <c r="D2379" t="str">
        <f>"13"</f>
        <v>13</v>
      </c>
      <c r="E2379" t="str">
        <f>"1-126-13"</f>
        <v>1-126-13</v>
      </c>
      <c r="F2379" t="s">
        <v>15</v>
      </c>
      <c r="G2379" t="s">
        <v>18</v>
      </c>
      <c r="H2379" t="s">
        <v>19</v>
      </c>
      <c r="I2379">
        <v>0</v>
      </c>
      <c r="J2379">
        <v>1</v>
      </c>
      <c r="K2379">
        <v>0</v>
      </c>
    </row>
    <row r="2380" spans="1:11" x14ac:dyDescent="0.25">
      <c r="A2380" t="str">
        <f>"3033"</f>
        <v>3033</v>
      </c>
      <c r="B2380" t="str">
        <f t="shared" si="145"/>
        <v>1</v>
      </c>
      <c r="C2380" t="str">
        <f t="shared" si="148"/>
        <v>126</v>
      </c>
      <c r="D2380" t="str">
        <f>"7"</f>
        <v>7</v>
      </c>
      <c r="E2380" t="str">
        <f>"1-126-7"</f>
        <v>1-126-7</v>
      </c>
      <c r="F2380" t="s">
        <v>15</v>
      </c>
      <c r="G2380" t="s">
        <v>18</v>
      </c>
      <c r="H2380" t="s">
        <v>19</v>
      </c>
      <c r="I2380">
        <v>0</v>
      </c>
      <c r="J2380">
        <v>1</v>
      </c>
      <c r="K2380">
        <v>0</v>
      </c>
    </row>
    <row r="2381" spans="1:11" x14ac:dyDescent="0.25">
      <c r="A2381" t="str">
        <f>"3034"</f>
        <v>3034</v>
      </c>
      <c r="B2381" t="str">
        <f t="shared" ref="B2381:B2427" si="149">"1"</f>
        <v>1</v>
      </c>
      <c r="C2381" t="str">
        <f t="shared" si="148"/>
        <v>126</v>
      </c>
      <c r="D2381" t="str">
        <f>"18"</f>
        <v>18</v>
      </c>
      <c r="E2381" t="str">
        <f>"1-126-18"</f>
        <v>1-126-18</v>
      </c>
      <c r="F2381" t="s">
        <v>15</v>
      </c>
      <c r="G2381" t="s">
        <v>18</v>
      </c>
      <c r="H2381" t="s">
        <v>19</v>
      </c>
      <c r="I2381">
        <v>0</v>
      </c>
      <c r="J2381">
        <v>0</v>
      </c>
      <c r="K2381">
        <v>0</v>
      </c>
    </row>
    <row r="2382" spans="1:11" x14ac:dyDescent="0.25">
      <c r="A2382" t="str">
        <f>"3035"</f>
        <v>3035</v>
      </c>
      <c r="B2382" t="str">
        <f t="shared" si="149"/>
        <v>1</v>
      </c>
      <c r="C2382" t="str">
        <f t="shared" ref="C2382:C2399" si="150">"127"</f>
        <v>127</v>
      </c>
      <c r="D2382" t="str">
        <f>"23"</f>
        <v>23</v>
      </c>
      <c r="E2382" t="str">
        <f>"1-127-23"</f>
        <v>1-127-23</v>
      </c>
      <c r="F2382" t="s">
        <v>15</v>
      </c>
      <c r="G2382" t="s">
        <v>20</v>
      </c>
      <c r="H2382" t="s">
        <v>21</v>
      </c>
      <c r="I2382">
        <v>1</v>
      </c>
      <c r="J2382">
        <v>0</v>
      </c>
      <c r="K2382">
        <v>0</v>
      </c>
    </row>
    <row r="2383" spans="1:11" x14ac:dyDescent="0.25">
      <c r="A2383" t="str">
        <f>"3036"</f>
        <v>3036</v>
      </c>
      <c r="B2383" t="str">
        <f t="shared" si="149"/>
        <v>1</v>
      </c>
      <c r="C2383" t="str">
        <f t="shared" si="150"/>
        <v>127</v>
      </c>
      <c r="D2383" t="str">
        <f>"15"</f>
        <v>15</v>
      </c>
      <c r="E2383" t="str">
        <f>"1-127-15"</f>
        <v>1-127-15</v>
      </c>
      <c r="F2383" t="s">
        <v>15</v>
      </c>
      <c r="G2383" t="s">
        <v>16</v>
      </c>
      <c r="H2383" t="s">
        <v>17</v>
      </c>
      <c r="I2383">
        <v>0</v>
      </c>
      <c r="J2383">
        <v>1</v>
      </c>
      <c r="K2383">
        <v>0</v>
      </c>
    </row>
    <row r="2384" spans="1:11" x14ac:dyDescent="0.25">
      <c r="A2384" t="str">
        <f>"3037"</f>
        <v>3037</v>
      </c>
      <c r="B2384" t="str">
        <f t="shared" si="149"/>
        <v>1</v>
      </c>
      <c r="C2384" t="str">
        <f t="shared" si="150"/>
        <v>127</v>
      </c>
      <c r="D2384" t="str">
        <f>"3"</f>
        <v>3</v>
      </c>
      <c r="E2384" t="str">
        <f>"1-127-3"</f>
        <v>1-127-3</v>
      </c>
      <c r="F2384" t="s">
        <v>15</v>
      </c>
      <c r="G2384" t="s">
        <v>20</v>
      </c>
      <c r="H2384" t="s">
        <v>21</v>
      </c>
      <c r="I2384">
        <v>0</v>
      </c>
      <c r="J2384">
        <v>1</v>
      </c>
      <c r="K2384">
        <v>0</v>
      </c>
    </row>
    <row r="2385" spans="1:11" x14ac:dyDescent="0.25">
      <c r="A2385" t="str">
        <f>"3038"</f>
        <v>3038</v>
      </c>
      <c r="B2385" t="str">
        <f t="shared" si="149"/>
        <v>1</v>
      </c>
      <c r="C2385" t="str">
        <f t="shared" si="150"/>
        <v>127</v>
      </c>
      <c r="D2385" t="str">
        <f>"24"</f>
        <v>24</v>
      </c>
      <c r="E2385" t="str">
        <f>"1-127-24"</f>
        <v>1-127-24</v>
      </c>
      <c r="F2385" t="s">
        <v>15</v>
      </c>
      <c r="G2385" t="s">
        <v>20</v>
      </c>
      <c r="H2385" t="s">
        <v>21</v>
      </c>
      <c r="I2385">
        <v>1</v>
      </c>
      <c r="J2385">
        <v>0</v>
      </c>
      <c r="K2385">
        <v>0</v>
      </c>
    </row>
    <row r="2386" spans="1:11" x14ac:dyDescent="0.25">
      <c r="A2386" t="str">
        <f>"3040"</f>
        <v>3040</v>
      </c>
      <c r="B2386" t="str">
        <f t="shared" si="149"/>
        <v>1</v>
      </c>
      <c r="C2386" t="str">
        <f t="shared" si="150"/>
        <v>127</v>
      </c>
      <c r="D2386" t="str">
        <f>"4"</f>
        <v>4</v>
      </c>
      <c r="E2386" t="str">
        <f>"1-127-4"</f>
        <v>1-127-4</v>
      </c>
      <c r="F2386" t="s">
        <v>15</v>
      </c>
      <c r="G2386" t="s">
        <v>16</v>
      </c>
      <c r="H2386" t="s">
        <v>17</v>
      </c>
      <c r="I2386">
        <v>0</v>
      </c>
      <c r="J2386">
        <v>1</v>
      </c>
      <c r="K2386">
        <v>0</v>
      </c>
    </row>
    <row r="2387" spans="1:11" x14ac:dyDescent="0.25">
      <c r="A2387" t="str">
        <f>"3050"</f>
        <v>3050</v>
      </c>
      <c r="B2387" t="str">
        <f t="shared" si="149"/>
        <v>1</v>
      </c>
      <c r="C2387" t="str">
        <f t="shared" si="150"/>
        <v>127</v>
      </c>
      <c r="D2387" t="str">
        <f>"6"</f>
        <v>6</v>
      </c>
      <c r="E2387" t="str">
        <f>"1-127-6"</f>
        <v>1-127-6</v>
      </c>
      <c r="F2387" t="s">
        <v>15</v>
      </c>
      <c r="G2387" t="s">
        <v>16</v>
      </c>
      <c r="H2387" t="s">
        <v>17</v>
      </c>
      <c r="I2387">
        <v>1</v>
      </c>
      <c r="J2387">
        <v>0</v>
      </c>
      <c r="K2387">
        <v>0</v>
      </c>
    </row>
    <row r="2388" spans="1:11" x14ac:dyDescent="0.25">
      <c r="A2388" t="str">
        <f>"3051"</f>
        <v>3051</v>
      </c>
      <c r="B2388" t="str">
        <f t="shared" si="149"/>
        <v>1</v>
      </c>
      <c r="C2388" t="str">
        <f t="shared" si="150"/>
        <v>127</v>
      </c>
      <c r="D2388" t="str">
        <f>"25"</f>
        <v>25</v>
      </c>
      <c r="E2388" t="str">
        <f>"1-127-25"</f>
        <v>1-127-25</v>
      </c>
      <c r="F2388" t="s">
        <v>15</v>
      </c>
      <c r="G2388" t="s">
        <v>16</v>
      </c>
      <c r="H2388" t="s">
        <v>17</v>
      </c>
      <c r="I2388">
        <v>1</v>
      </c>
      <c r="J2388">
        <v>0</v>
      </c>
      <c r="K2388">
        <v>0</v>
      </c>
    </row>
    <row r="2389" spans="1:11" x14ac:dyDescent="0.25">
      <c r="A2389" t="str">
        <f>"3052"</f>
        <v>3052</v>
      </c>
      <c r="B2389" t="str">
        <f t="shared" si="149"/>
        <v>1</v>
      </c>
      <c r="C2389" t="str">
        <f t="shared" si="150"/>
        <v>127</v>
      </c>
      <c r="D2389" t="str">
        <f>"26"</f>
        <v>26</v>
      </c>
      <c r="E2389" t="str">
        <f>"1-127-26"</f>
        <v>1-127-26</v>
      </c>
      <c r="F2389" t="s">
        <v>15</v>
      </c>
      <c r="G2389" t="s">
        <v>20</v>
      </c>
      <c r="H2389" t="s">
        <v>21</v>
      </c>
      <c r="I2389">
        <v>0</v>
      </c>
      <c r="J2389">
        <v>1</v>
      </c>
      <c r="K2389">
        <v>0</v>
      </c>
    </row>
    <row r="2390" spans="1:11" x14ac:dyDescent="0.25">
      <c r="A2390" t="str">
        <f>"3053"</f>
        <v>3053</v>
      </c>
      <c r="B2390" t="str">
        <f t="shared" si="149"/>
        <v>1</v>
      </c>
      <c r="C2390" t="str">
        <f t="shared" si="150"/>
        <v>127</v>
      </c>
      <c r="D2390" t="str">
        <f>"2"</f>
        <v>2</v>
      </c>
      <c r="E2390" t="str">
        <f>"1-127-2"</f>
        <v>1-127-2</v>
      </c>
      <c r="F2390" t="s">
        <v>15</v>
      </c>
      <c r="G2390" t="s">
        <v>18</v>
      </c>
      <c r="H2390" t="s">
        <v>19</v>
      </c>
      <c r="I2390">
        <v>0</v>
      </c>
      <c r="J2390">
        <v>1</v>
      </c>
      <c r="K2390">
        <v>0</v>
      </c>
    </row>
    <row r="2391" spans="1:11" x14ac:dyDescent="0.25">
      <c r="A2391" t="str">
        <f>"3054"</f>
        <v>3054</v>
      </c>
      <c r="B2391" t="str">
        <f t="shared" si="149"/>
        <v>1</v>
      </c>
      <c r="C2391" t="str">
        <f t="shared" si="150"/>
        <v>127</v>
      </c>
      <c r="D2391" t="str">
        <f>"27"</f>
        <v>27</v>
      </c>
      <c r="E2391" t="str">
        <f>"1-127-27"</f>
        <v>1-127-27</v>
      </c>
      <c r="F2391" t="s">
        <v>15</v>
      </c>
      <c r="G2391" t="s">
        <v>20</v>
      </c>
      <c r="H2391" t="s">
        <v>21</v>
      </c>
      <c r="I2391">
        <v>1</v>
      </c>
      <c r="J2391">
        <v>0</v>
      </c>
      <c r="K2391">
        <v>0</v>
      </c>
    </row>
    <row r="2392" spans="1:11" x14ac:dyDescent="0.25">
      <c r="A2392" t="str">
        <f>"3055"</f>
        <v>3055</v>
      </c>
      <c r="B2392" t="str">
        <f t="shared" si="149"/>
        <v>1</v>
      </c>
      <c r="C2392" t="str">
        <f t="shared" si="150"/>
        <v>127</v>
      </c>
      <c r="D2392" t="str">
        <f>"7"</f>
        <v>7</v>
      </c>
      <c r="E2392" t="str">
        <f>"1-127-7"</f>
        <v>1-127-7</v>
      </c>
      <c r="F2392" t="s">
        <v>15</v>
      </c>
      <c r="G2392" t="s">
        <v>18</v>
      </c>
      <c r="H2392" t="s">
        <v>19</v>
      </c>
      <c r="I2392">
        <v>0</v>
      </c>
      <c r="J2392">
        <v>1</v>
      </c>
      <c r="K2392">
        <v>0</v>
      </c>
    </row>
    <row r="2393" spans="1:11" x14ac:dyDescent="0.25">
      <c r="A2393" t="str">
        <f>"3056"</f>
        <v>3056</v>
      </c>
      <c r="B2393" t="str">
        <f t="shared" si="149"/>
        <v>1</v>
      </c>
      <c r="C2393" t="str">
        <f t="shared" si="150"/>
        <v>127</v>
      </c>
      <c r="D2393" t="str">
        <f>"28"</f>
        <v>28</v>
      </c>
      <c r="E2393" t="str">
        <f>"1-127-28"</f>
        <v>1-127-28</v>
      </c>
      <c r="F2393" t="s">
        <v>15</v>
      </c>
      <c r="G2393" t="s">
        <v>20</v>
      </c>
      <c r="H2393" t="s">
        <v>21</v>
      </c>
      <c r="I2393">
        <v>1</v>
      </c>
      <c r="J2393">
        <v>0</v>
      </c>
      <c r="K2393">
        <v>0</v>
      </c>
    </row>
    <row r="2394" spans="1:11" x14ac:dyDescent="0.25">
      <c r="A2394" t="str">
        <f>"3057"</f>
        <v>3057</v>
      </c>
      <c r="B2394" t="str">
        <f t="shared" si="149"/>
        <v>1</v>
      </c>
      <c r="C2394" t="str">
        <f t="shared" si="150"/>
        <v>127</v>
      </c>
      <c r="D2394" t="str">
        <f>"10"</f>
        <v>10</v>
      </c>
      <c r="E2394" t="str">
        <f>"1-127-10"</f>
        <v>1-127-10</v>
      </c>
      <c r="F2394" t="s">
        <v>15</v>
      </c>
      <c r="G2394" t="s">
        <v>18</v>
      </c>
      <c r="H2394" t="s">
        <v>19</v>
      </c>
      <c r="I2394">
        <v>0</v>
      </c>
      <c r="J2394">
        <v>1</v>
      </c>
      <c r="K2394">
        <v>0</v>
      </c>
    </row>
    <row r="2395" spans="1:11" x14ac:dyDescent="0.25">
      <c r="A2395" t="str">
        <f>"3058"</f>
        <v>3058</v>
      </c>
      <c r="B2395" t="str">
        <f t="shared" si="149"/>
        <v>1</v>
      </c>
      <c r="C2395" t="str">
        <f t="shared" si="150"/>
        <v>127</v>
      </c>
      <c r="D2395" t="str">
        <f>"12"</f>
        <v>12</v>
      </c>
      <c r="E2395" t="str">
        <f>"1-127-12"</f>
        <v>1-127-12</v>
      </c>
      <c r="F2395" t="s">
        <v>15</v>
      </c>
      <c r="G2395" t="s">
        <v>16</v>
      </c>
      <c r="H2395" t="s">
        <v>17</v>
      </c>
      <c r="I2395">
        <v>0</v>
      </c>
      <c r="J2395">
        <v>0</v>
      </c>
      <c r="K2395">
        <v>1</v>
      </c>
    </row>
    <row r="2396" spans="1:11" x14ac:dyDescent="0.25">
      <c r="A2396" t="str">
        <f>"3059"</f>
        <v>3059</v>
      </c>
      <c r="B2396" t="str">
        <f t="shared" si="149"/>
        <v>1</v>
      </c>
      <c r="C2396" t="str">
        <f t="shared" si="150"/>
        <v>127</v>
      </c>
      <c r="D2396" t="str">
        <f>"18"</f>
        <v>18</v>
      </c>
      <c r="E2396" t="str">
        <f>"1-127-18"</f>
        <v>1-127-18</v>
      </c>
      <c r="F2396" t="s">
        <v>15</v>
      </c>
      <c r="G2396" t="s">
        <v>20</v>
      </c>
      <c r="H2396" t="s">
        <v>21</v>
      </c>
      <c r="I2396">
        <v>0</v>
      </c>
      <c r="J2396">
        <v>0</v>
      </c>
      <c r="K2396">
        <v>0</v>
      </c>
    </row>
    <row r="2397" spans="1:11" x14ac:dyDescent="0.25">
      <c r="A2397" t="str">
        <f>"3060"</f>
        <v>3060</v>
      </c>
      <c r="B2397" t="str">
        <f t="shared" si="149"/>
        <v>1</v>
      </c>
      <c r="C2397" t="str">
        <f t="shared" si="150"/>
        <v>127</v>
      </c>
      <c r="D2397" t="str">
        <f>"11"</f>
        <v>11</v>
      </c>
      <c r="E2397" t="str">
        <f>"1-127-11"</f>
        <v>1-127-11</v>
      </c>
      <c r="F2397" t="s">
        <v>15</v>
      </c>
      <c r="G2397" t="s">
        <v>18</v>
      </c>
      <c r="H2397" t="s">
        <v>19</v>
      </c>
      <c r="I2397">
        <v>0</v>
      </c>
      <c r="J2397">
        <v>0</v>
      </c>
      <c r="K2397">
        <v>0</v>
      </c>
    </row>
    <row r="2398" spans="1:11" x14ac:dyDescent="0.25">
      <c r="A2398" t="str">
        <f>"3061"</f>
        <v>3061</v>
      </c>
      <c r="B2398" t="str">
        <f t="shared" si="149"/>
        <v>1</v>
      </c>
      <c r="C2398" t="str">
        <f t="shared" si="150"/>
        <v>127</v>
      </c>
      <c r="D2398" t="str">
        <f>"17"</f>
        <v>17</v>
      </c>
      <c r="E2398" t="str">
        <f>"1-127-17"</f>
        <v>1-127-17</v>
      </c>
      <c r="F2398" t="s">
        <v>15</v>
      </c>
      <c r="G2398" t="s">
        <v>20</v>
      </c>
      <c r="H2398" t="s">
        <v>21</v>
      </c>
      <c r="I2398">
        <v>0</v>
      </c>
      <c r="J2398">
        <v>0</v>
      </c>
      <c r="K2398">
        <v>0</v>
      </c>
    </row>
    <row r="2399" spans="1:11" x14ac:dyDescent="0.25">
      <c r="A2399" t="str">
        <f>"3062"</f>
        <v>3062</v>
      </c>
      <c r="B2399" t="str">
        <f t="shared" si="149"/>
        <v>1</v>
      </c>
      <c r="C2399" t="str">
        <f t="shared" si="150"/>
        <v>127</v>
      </c>
      <c r="D2399" t="str">
        <f>"9"</f>
        <v>9</v>
      </c>
      <c r="E2399" t="str">
        <f>"1-127-9"</f>
        <v>1-127-9</v>
      </c>
      <c r="F2399" t="s">
        <v>15</v>
      </c>
      <c r="G2399" t="s">
        <v>16</v>
      </c>
      <c r="H2399" t="s">
        <v>17</v>
      </c>
      <c r="I2399">
        <v>0</v>
      </c>
      <c r="J2399">
        <v>0</v>
      </c>
      <c r="K2399">
        <v>0</v>
      </c>
    </row>
    <row r="2400" spans="1:11" x14ac:dyDescent="0.25">
      <c r="A2400" t="str">
        <f>"3064"</f>
        <v>3064</v>
      </c>
      <c r="B2400" t="str">
        <f t="shared" si="149"/>
        <v>1</v>
      </c>
      <c r="C2400" t="str">
        <f t="shared" ref="C2400:C2420" si="151">"128"</f>
        <v>128</v>
      </c>
      <c r="D2400" t="str">
        <f>"15"</f>
        <v>15</v>
      </c>
      <c r="E2400" t="str">
        <f>"1-128-15"</f>
        <v>1-128-15</v>
      </c>
      <c r="F2400" t="s">
        <v>15</v>
      </c>
      <c r="G2400" t="s">
        <v>16</v>
      </c>
      <c r="H2400" t="s">
        <v>17</v>
      </c>
      <c r="I2400">
        <v>0</v>
      </c>
      <c r="J2400">
        <v>0</v>
      </c>
      <c r="K2400">
        <v>1</v>
      </c>
    </row>
    <row r="2401" spans="1:11" x14ac:dyDescent="0.25">
      <c r="A2401" t="str">
        <f>"3065"</f>
        <v>3065</v>
      </c>
      <c r="B2401" t="str">
        <f t="shared" si="149"/>
        <v>1</v>
      </c>
      <c r="C2401" t="str">
        <f t="shared" si="151"/>
        <v>128</v>
      </c>
      <c r="D2401" t="str">
        <f>"23"</f>
        <v>23</v>
      </c>
      <c r="E2401" t="str">
        <f>"1-128-23"</f>
        <v>1-128-23</v>
      </c>
      <c r="F2401" t="s">
        <v>15</v>
      </c>
      <c r="G2401" t="s">
        <v>16</v>
      </c>
      <c r="H2401" t="s">
        <v>17</v>
      </c>
      <c r="I2401">
        <v>0</v>
      </c>
      <c r="J2401">
        <v>1</v>
      </c>
      <c r="K2401">
        <v>0</v>
      </c>
    </row>
    <row r="2402" spans="1:11" x14ac:dyDescent="0.25">
      <c r="A2402" t="str">
        <f>"3066"</f>
        <v>3066</v>
      </c>
      <c r="B2402" t="str">
        <f t="shared" si="149"/>
        <v>1</v>
      </c>
      <c r="C2402" t="str">
        <f t="shared" si="151"/>
        <v>128</v>
      </c>
      <c r="D2402" t="str">
        <f>"16"</f>
        <v>16</v>
      </c>
      <c r="E2402" t="str">
        <f>"1-128-16"</f>
        <v>1-128-16</v>
      </c>
      <c r="F2402" t="s">
        <v>15</v>
      </c>
      <c r="G2402" t="s">
        <v>16</v>
      </c>
      <c r="H2402" t="s">
        <v>17</v>
      </c>
      <c r="I2402">
        <v>0</v>
      </c>
      <c r="J2402">
        <v>1</v>
      </c>
      <c r="K2402">
        <v>0</v>
      </c>
    </row>
    <row r="2403" spans="1:11" x14ac:dyDescent="0.25">
      <c r="A2403" t="str">
        <f>"3067"</f>
        <v>3067</v>
      </c>
      <c r="B2403" t="str">
        <f t="shared" si="149"/>
        <v>1</v>
      </c>
      <c r="C2403" t="str">
        <f t="shared" si="151"/>
        <v>128</v>
      </c>
      <c r="D2403" t="str">
        <f>"3"</f>
        <v>3</v>
      </c>
      <c r="E2403" t="str">
        <f>"1-128-3"</f>
        <v>1-128-3</v>
      </c>
      <c r="F2403" t="s">
        <v>15</v>
      </c>
      <c r="G2403" t="s">
        <v>16</v>
      </c>
      <c r="H2403" t="s">
        <v>17</v>
      </c>
      <c r="I2403">
        <v>0</v>
      </c>
      <c r="J2403">
        <v>0</v>
      </c>
      <c r="K2403">
        <v>1</v>
      </c>
    </row>
    <row r="2404" spans="1:11" x14ac:dyDescent="0.25">
      <c r="A2404" t="str">
        <f>"3068"</f>
        <v>3068</v>
      </c>
      <c r="B2404" t="str">
        <f t="shared" si="149"/>
        <v>1</v>
      </c>
      <c r="C2404" t="str">
        <f t="shared" si="151"/>
        <v>128</v>
      </c>
      <c r="D2404" t="str">
        <f>"17"</f>
        <v>17</v>
      </c>
      <c r="E2404" t="str">
        <f>"1-128-17"</f>
        <v>1-128-17</v>
      </c>
      <c r="F2404" t="s">
        <v>15</v>
      </c>
      <c r="G2404" t="s">
        <v>18</v>
      </c>
      <c r="H2404" t="s">
        <v>19</v>
      </c>
      <c r="I2404">
        <v>1</v>
      </c>
      <c r="J2404">
        <v>0</v>
      </c>
      <c r="K2404">
        <v>0</v>
      </c>
    </row>
    <row r="2405" spans="1:11" x14ac:dyDescent="0.25">
      <c r="A2405" t="str">
        <f>"3070"</f>
        <v>3070</v>
      </c>
      <c r="B2405" t="str">
        <f t="shared" si="149"/>
        <v>1</v>
      </c>
      <c r="C2405" t="str">
        <f t="shared" si="151"/>
        <v>128</v>
      </c>
      <c r="D2405" t="str">
        <f>"18"</f>
        <v>18</v>
      </c>
      <c r="E2405" t="str">
        <f>"1-128-18"</f>
        <v>1-128-18</v>
      </c>
      <c r="F2405" t="s">
        <v>15</v>
      </c>
      <c r="G2405" t="s">
        <v>18</v>
      </c>
      <c r="H2405" t="s">
        <v>19</v>
      </c>
      <c r="I2405">
        <v>0</v>
      </c>
      <c r="J2405">
        <v>0</v>
      </c>
      <c r="K2405">
        <v>1</v>
      </c>
    </row>
    <row r="2406" spans="1:11" x14ac:dyDescent="0.25">
      <c r="A2406" t="str">
        <f>"3073"</f>
        <v>3073</v>
      </c>
      <c r="B2406" t="str">
        <f t="shared" si="149"/>
        <v>1</v>
      </c>
      <c r="C2406" t="str">
        <f t="shared" si="151"/>
        <v>128</v>
      </c>
      <c r="D2406" t="str">
        <f>"9"</f>
        <v>9</v>
      </c>
      <c r="E2406" t="str">
        <f>"1-128-9"</f>
        <v>1-128-9</v>
      </c>
      <c r="F2406" t="s">
        <v>15</v>
      </c>
      <c r="G2406" t="s">
        <v>16</v>
      </c>
      <c r="H2406" t="s">
        <v>17</v>
      </c>
      <c r="I2406">
        <v>0</v>
      </c>
      <c r="J2406">
        <v>0</v>
      </c>
      <c r="K2406">
        <v>1</v>
      </c>
    </row>
    <row r="2407" spans="1:11" x14ac:dyDescent="0.25">
      <c r="A2407" t="str">
        <f>"3074"</f>
        <v>3074</v>
      </c>
      <c r="B2407" t="str">
        <f t="shared" si="149"/>
        <v>1</v>
      </c>
      <c r="C2407" t="str">
        <f t="shared" si="151"/>
        <v>128</v>
      </c>
      <c r="D2407" t="str">
        <f>"20"</f>
        <v>20</v>
      </c>
      <c r="E2407" t="str">
        <f>"1-128-20"</f>
        <v>1-128-20</v>
      </c>
      <c r="F2407" t="s">
        <v>15</v>
      </c>
      <c r="G2407" t="s">
        <v>20</v>
      </c>
      <c r="H2407" t="s">
        <v>21</v>
      </c>
      <c r="I2407">
        <v>0</v>
      </c>
      <c r="J2407">
        <v>0</v>
      </c>
      <c r="K2407">
        <v>1</v>
      </c>
    </row>
    <row r="2408" spans="1:11" x14ac:dyDescent="0.25">
      <c r="A2408" t="str">
        <f>"3075"</f>
        <v>3075</v>
      </c>
      <c r="B2408" t="str">
        <f t="shared" si="149"/>
        <v>1</v>
      </c>
      <c r="C2408" t="str">
        <f t="shared" si="151"/>
        <v>128</v>
      </c>
      <c r="D2408" t="str">
        <f>"4"</f>
        <v>4</v>
      </c>
      <c r="E2408" t="str">
        <f>"1-128-4"</f>
        <v>1-128-4</v>
      </c>
      <c r="F2408" t="s">
        <v>15</v>
      </c>
      <c r="G2408" t="s">
        <v>16</v>
      </c>
      <c r="H2408" t="s">
        <v>17</v>
      </c>
      <c r="I2408">
        <v>0</v>
      </c>
      <c r="J2408">
        <v>0</v>
      </c>
      <c r="K2408">
        <v>1</v>
      </c>
    </row>
    <row r="2409" spans="1:11" x14ac:dyDescent="0.25">
      <c r="A2409" t="str">
        <f>"3077"</f>
        <v>3077</v>
      </c>
      <c r="B2409" t="str">
        <f t="shared" si="149"/>
        <v>1</v>
      </c>
      <c r="C2409" t="str">
        <f t="shared" si="151"/>
        <v>128</v>
      </c>
      <c r="D2409" t="str">
        <f>"10"</f>
        <v>10</v>
      </c>
      <c r="E2409" t="str">
        <f>"1-128-10"</f>
        <v>1-128-10</v>
      </c>
      <c r="F2409" t="s">
        <v>15</v>
      </c>
      <c r="G2409" t="s">
        <v>18</v>
      </c>
      <c r="H2409" t="s">
        <v>19</v>
      </c>
      <c r="I2409">
        <v>0</v>
      </c>
      <c r="J2409">
        <v>0</v>
      </c>
      <c r="K2409">
        <v>1</v>
      </c>
    </row>
    <row r="2410" spans="1:11" x14ac:dyDescent="0.25">
      <c r="A2410" t="str">
        <f>"3079"</f>
        <v>3079</v>
      </c>
      <c r="B2410" t="str">
        <f t="shared" si="149"/>
        <v>1</v>
      </c>
      <c r="C2410" t="str">
        <f t="shared" si="151"/>
        <v>128</v>
      </c>
      <c r="D2410" t="str">
        <f>"7"</f>
        <v>7</v>
      </c>
      <c r="E2410" t="str">
        <f>"1-128-7"</f>
        <v>1-128-7</v>
      </c>
      <c r="F2410" t="s">
        <v>15</v>
      </c>
      <c r="G2410" t="s">
        <v>18</v>
      </c>
      <c r="H2410" t="s">
        <v>19</v>
      </c>
      <c r="I2410">
        <v>0</v>
      </c>
      <c r="J2410">
        <v>1</v>
      </c>
      <c r="K2410">
        <v>0</v>
      </c>
    </row>
    <row r="2411" spans="1:11" x14ac:dyDescent="0.25">
      <c r="A2411" t="str">
        <f>"3080"</f>
        <v>3080</v>
      </c>
      <c r="B2411" t="str">
        <f t="shared" si="149"/>
        <v>1</v>
      </c>
      <c r="C2411" t="str">
        <f t="shared" si="151"/>
        <v>128</v>
      </c>
      <c r="D2411" t="str">
        <f>"26"</f>
        <v>26</v>
      </c>
      <c r="E2411" t="str">
        <f>"1-128-26"</f>
        <v>1-128-26</v>
      </c>
      <c r="F2411" t="s">
        <v>15</v>
      </c>
      <c r="G2411" t="s">
        <v>16</v>
      </c>
      <c r="H2411" t="s">
        <v>17</v>
      </c>
      <c r="I2411">
        <v>1</v>
      </c>
      <c r="J2411">
        <v>0</v>
      </c>
      <c r="K2411">
        <v>0</v>
      </c>
    </row>
    <row r="2412" spans="1:11" x14ac:dyDescent="0.25">
      <c r="A2412" t="str">
        <f>"3081"</f>
        <v>3081</v>
      </c>
      <c r="B2412" t="str">
        <f t="shared" si="149"/>
        <v>1</v>
      </c>
      <c r="C2412" t="str">
        <f t="shared" si="151"/>
        <v>128</v>
      </c>
      <c r="D2412" t="str">
        <f>"11"</f>
        <v>11</v>
      </c>
      <c r="E2412" t="str">
        <f>"1-128-11"</f>
        <v>1-128-11</v>
      </c>
      <c r="F2412" t="s">
        <v>15</v>
      </c>
      <c r="G2412" t="s">
        <v>18</v>
      </c>
      <c r="H2412" t="s">
        <v>19</v>
      </c>
      <c r="I2412">
        <v>0</v>
      </c>
      <c r="J2412">
        <v>0</v>
      </c>
      <c r="K2412">
        <v>1</v>
      </c>
    </row>
    <row r="2413" spans="1:11" x14ac:dyDescent="0.25">
      <c r="A2413" t="str">
        <f>"3082"</f>
        <v>3082</v>
      </c>
      <c r="B2413" t="str">
        <f t="shared" si="149"/>
        <v>1</v>
      </c>
      <c r="C2413" t="str">
        <f t="shared" si="151"/>
        <v>128</v>
      </c>
      <c r="D2413" t="str">
        <f>"27"</f>
        <v>27</v>
      </c>
      <c r="E2413" t="str">
        <f>"1-128-27"</f>
        <v>1-128-27</v>
      </c>
      <c r="F2413" t="s">
        <v>15</v>
      </c>
      <c r="G2413" t="s">
        <v>20</v>
      </c>
      <c r="H2413" t="s">
        <v>21</v>
      </c>
      <c r="I2413">
        <v>1</v>
      </c>
      <c r="J2413">
        <v>0</v>
      </c>
      <c r="K2413">
        <v>0</v>
      </c>
    </row>
    <row r="2414" spans="1:11" x14ac:dyDescent="0.25">
      <c r="A2414" t="str">
        <f>"3083"</f>
        <v>3083</v>
      </c>
      <c r="B2414" t="str">
        <f t="shared" si="149"/>
        <v>1</v>
      </c>
      <c r="C2414" t="str">
        <f t="shared" si="151"/>
        <v>128</v>
      </c>
      <c r="D2414" t="str">
        <f>"8"</f>
        <v>8</v>
      </c>
      <c r="E2414" t="str">
        <f>"1-128-8"</f>
        <v>1-128-8</v>
      </c>
      <c r="F2414" t="s">
        <v>15</v>
      </c>
      <c r="G2414" t="s">
        <v>16</v>
      </c>
      <c r="H2414" t="s">
        <v>17</v>
      </c>
      <c r="I2414">
        <v>0</v>
      </c>
      <c r="J2414">
        <v>0</v>
      </c>
      <c r="K2414">
        <v>1</v>
      </c>
    </row>
    <row r="2415" spans="1:11" x14ac:dyDescent="0.25">
      <c r="A2415" t="str">
        <f>"3084"</f>
        <v>3084</v>
      </c>
      <c r="B2415" t="str">
        <f t="shared" si="149"/>
        <v>1</v>
      </c>
      <c r="C2415" t="str">
        <f t="shared" si="151"/>
        <v>128</v>
      </c>
      <c r="D2415" t="str">
        <f>"14"</f>
        <v>14</v>
      </c>
      <c r="E2415" t="str">
        <f>"1-128-14"</f>
        <v>1-128-14</v>
      </c>
      <c r="F2415" t="s">
        <v>15</v>
      </c>
      <c r="G2415" t="s">
        <v>16</v>
      </c>
      <c r="H2415" t="s">
        <v>17</v>
      </c>
      <c r="I2415">
        <v>0</v>
      </c>
      <c r="J2415">
        <v>0</v>
      </c>
      <c r="K2415">
        <v>1</v>
      </c>
    </row>
    <row r="2416" spans="1:11" x14ac:dyDescent="0.25">
      <c r="A2416" t="str">
        <f>"3085"</f>
        <v>3085</v>
      </c>
      <c r="B2416" t="str">
        <f t="shared" si="149"/>
        <v>1</v>
      </c>
      <c r="C2416" t="str">
        <f t="shared" si="151"/>
        <v>128</v>
      </c>
      <c r="D2416" t="str">
        <f>"13"</f>
        <v>13</v>
      </c>
      <c r="E2416" t="str">
        <f>"1-128-13"</f>
        <v>1-128-13</v>
      </c>
      <c r="F2416" t="s">
        <v>15</v>
      </c>
      <c r="G2416" t="s">
        <v>16</v>
      </c>
      <c r="H2416" t="s">
        <v>17</v>
      </c>
      <c r="I2416">
        <v>1</v>
      </c>
      <c r="J2416">
        <v>0</v>
      </c>
      <c r="K2416">
        <v>0</v>
      </c>
    </row>
    <row r="2417" spans="1:11" x14ac:dyDescent="0.25">
      <c r="A2417" t="str">
        <f>"3086"</f>
        <v>3086</v>
      </c>
      <c r="B2417" t="str">
        <f t="shared" si="149"/>
        <v>1</v>
      </c>
      <c r="C2417" t="str">
        <f t="shared" si="151"/>
        <v>128</v>
      </c>
      <c r="D2417" t="str">
        <f>"2"</f>
        <v>2</v>
      </c>
      <c r="E2417" t="str">
        <f>"1-128-2"</f>
        <v>1-128-2</v>
      </c>
      <c r="F2417" t="s">
        <v>15</v>
      </c>
      <c r="G2417" t="s">
        <v>16</v>
      </c>
      <c r="H2417" t="s">
        <v>17</v>
      </c>
      <c r="I2417">
        <v>0</v>
      </c>
      <c r="J2417">
        <v>0</v>
      </c>
      <c r="K2417">
        <v>0</v>
      </c>
    </row>
    <row r="2418" spans="1:11" x14ac:dyDescent="0.25">
      <c r="A2418" t="str">
        <f>"3087"</f>
        <v>3087</v>
      </c>
      <c r="B2418" t="str">
        <f t="shared" si="149"/>
        <v>1</v>
      </c>
      <c r="C2418" t="str">
        <f t="shared" si="151"/>
        <v>128</v>
      </c>
      <c r="D2418" t="str">
        <f>"5"</f>
        <v>5</v>
      </c>
      <c r="E2418" t="str">
        <f>"1-128-5"</f>
        <v>1-128-5</v>
      </c>
      <c r="F2418" t="s">
        <v>15</v>
      </c>
      <c r="G2418" t="s">
        <v>16</v>
      </c>
      <c r="H2418" t="s">
        <v>17</v>
      </c>
      <c r="I2418">
        <v>0</v>
      </c>
      <c r="J2418">
        <v>0</v>
      </c>
      <c r="K2418">
        <v>0</v>
      </c>
    </row>
    <row r="2419" spans="1:11" x14ac:dyDescent="0.25">
      <c r="A2419" t="str">
        <f>"3088"</f>
        <v>3088</v>
      </c>
      <c r="B2419" t="str">
        <f t="shared" si="149"/>
        <v>1</v>
      </c>
      <c r="C2419" t="str">
        <f t="shared" si="151"/>
        <v>128</v>
      </c>
      <c r="D2419" t="str">
        <f>"21"</f>
        <v>21</v>
      </c>
      <c r="E2419" t="str">
        <f>"1-128-21"</f>
        <v>1-128-21</v>
      </c>
      <c r="F2419" t="s">
        <v>15</v>
      </c>
      <c r="G2419" t="s">
        <v>16</v>
      </c>
      <c r="H2419" t="s">
        <v>17</v>
      </c>
      <c r="I2419">
        <v>0</v>
      </c>
      <c r="J2419">
        <v>0</v>
      </c>
      <c r="K2419">
        <v>0</v>
      </c>
    </row>
    <row r="2420" spans="1:11" x14ac:dyDescent="0.25">
      <c r="A2420" t="str">
        <f>"3089"</f>
        <v>3089</v>
      </c>
      <c r="B2420" t="str">
        <f t="shared" si="149"/>
        <v>1</v>
      </c>
      <c r="C2420" t="str">
        <f t="shared" si="151"/>
        <v>128</v>
      </c>
      <c r="D2420" t="str">
        <f>"12"</f>
        <v>12</v>
      </c>
      <c r="E2420" t="str">
        <f>"1-128-12"</f>
        <v>1-128-12</v>
      </c>
      <c r="F2420" t="s">
        <v>15</v>
      </c>
      <c r="G2420" t="s">
        <v>16</v>
      </c>
      <c r="H2420" t="s">
        <v>17</v>
      </c>
      <c r="I2420">
        <v>0</v>
      </c>
      <c r="J2420">
        <v>0</v>
      </c>
      <c r="K2420">
        <v>0</v>
      </c>
    </row>
    <row r="2421" spans="1:11" x14ac:dyDescent="0.25">
      <c r="A2421" t="str">
        <f>"3090"</f>
        <v>3090</v>
      </c>
      <c r="B2421" t="str">
        <f t="shared" si="149"/>
        <v>1</v>
      </c>
      <c r="C2421" t="str">
        <f t="shared" ref="C2421:C2443" si="152">"129"</f>
        <v>129</v>
      </c>
      <c r="D2421" t="str">
        <f>"18"</f>
        <v>18</v>
      </c>
      <c r="E2421" t="str">
        <f>"1-129-18"</f>
        <v>1-129-18</v>
      </c>
      <c r="F2421" t="s">
        <v>15</v>
      </c>
      <c r="G2421" t="s">
        <v>18</v>
      </c>
      <c r="H2421" t="s">
        <v>19</v>
      </c>
      <c r="I2421">
        <v>0</v>
      </c>
      <c r="J2421">
        <v>0</v>
      </c>
      <c r="K2421">
        <v>1</v>
      </c>
    </row>
    <row r="2422" spans="1:11" x14ac:dyDescent="0.25">
      <c r="A2422" t="str">
        <f>"3091"</f>
        <v>3091</v>
      </c>
      <c r="B2422" t="str">
        <f t="shared" si="149"/>
        <v>1</v>
      </c>
      <c r="C2422" t="str">
        <f t="shared" si="152"/>
        <v>129</v>
      </c>
      <c r="D2422" t="str">
        <f>"15"</f>
        <v>15</v>
      </c>
      <c r="E2422" t="str">
        <f>"1-129-15"</f>
        <v>1-129-15</v>
      </c>
      <c r="F2422" t="s">
        <v>15</v>
      </c>
      <c r="G2422" t="s">
        <v>18</v>
      </c>
      <c r="H2422" t="s">
        <v>19</v>
      </c>
      <c r="I2422">
        <v>0</v>
      </c>
      <c r="J2422">
        <v>1</v>
      </c>
      <c r="K2422">
        <v>0</v>
      </c>
    </row>
    <row r="2423" spans="1:11" x14ac:dyDescent="0.25">
      <c r="A2423" t="str">
        <f>"3092"</f>
        <v>3092</v>
      </c>
      <c r="B2423" t="str">
        <f t="shared" si="149"/>
        <v>1</v>
      </c>
      <c r="C2423" t="str">
        <f t="shared" si="152"/>
        <v>129</v>
      </c>
      <c r="D2423" t="str">
        <f>"3"</f>
        <v>3</v>
      </c>
      <c r="E2423" t="str">
        <f>"1-129-3"</f>
        <v>1-129-3</v>
      </c>
      <c r="F2423" t="s">
        <v>15</v>
      </c>
      <c r="G2423" t="s">
        <v>18</v>
      </c>
      <c r="H2423" t="s">
        <v>19</v>
      </c>
      <c r="I2423">
        <v>0</v>
      </c>
      <c r="J2423">
        <v>0</v>
      </c>
      <c r="K2423">
        <v>1</v>
      </c>
    </row>
    <row r="2424" spans="1:11" x14ac:dyDescent="0.25">
      <c r="A2424" t="str">
        <f>"3093"</f>
        <v>3093</v>
      </c>
      <c r="B2424" t="str">
        <f t="shared" si="149"/>
        <v>1</v>
      </c>
      <c r="C2424" t="str">
        <f t="shared" si="152"/>
        <v>129</v>
      </c>
      <c r="D2424" t="str">
        <f>"17"</f>
        <v>17</v>
      </c>
      <c r="E2424" t="str">
        <f>"1-129-17"</f>
        <v>1-129-17</v>
      </c>
      <c r="F2424" t="s">
        <v>15</v>
      </c>
      <c r="G2424" t="s">
        <v>18</v>
      </c>
      <c r="H2424" t="s">
        <v>19</v>
      </c>
      <c r="I2424">
        <v>0</v>
      </c>
      <c r="J2424">
        <v>0</v>
      </c>
      <c r="K2424">
        <v>1</v>
      </c>
    </row>
    <row r="2425" spans="1:11" x14ac:dyDescent="0.25">
      <c r="A2425" t="str">
        <f>"3095"</f>
        <v>3095</v>
      </c>
      <c r="B2425" t="str">
        <f t="shared" si="149"/>
        <v>1</v>
      </c>
      <c r="C2425" t="str">
        <f t="shared" si="152"/>
        <v>129</v>
      </c>
      <c r="D2425" t="str">
        <f>"1"</f>
        <v>1</v>
      </c>
      <c r="E2425" t="str">
        <f>"1-129-1"</f>
        <v>1-129-1</v>
      </c>
      <c r="F2425" t="s">
        <v>15</v>
      </c>
      <c r="G2425" t="s">
        <v>18</v>
      </c>
      <c r="H2425" t="s">
        <v>19</v>
      </c>
      <c r="I2425">
        <v>0</v>
      </c>
      <c r="J2425">
        <v>0</v>
      </c>
      <c r="K2425">
        <v>1</v>
      </c>
    </row>
    <row r="2426" spans="1:11" x14ac:dyDescent="0.25">
      <c r="A2426" t="str">
        <f>"3096"</f>
        <v>3096</v>
      </c>
      <c r="B2426" t="str">
        <f t="shared" si="149"/>
        <v>1</v>
      </c>
      <c r="C2426" t="str">
        <f t="shared" si="152"/>
        <v>129</v>
      </c>
      <c r="D2426" t="str">
        <f>"19"</f>
        <v>19</v>
      </c>
      <c r="E2426" t="str">
        <f>"1-129-19"</f>
        <v>1-129-19</v>
      </c>
      <c r="F2426" t="s">
        <v>15</v>
      </c>
      <c r="G2426" t="s">
        <v>18</v>
      </c>
      <c r="H2426" t="s">
        <v>19</v>
      </c>
      <c r="I2426">
        <v>0</v>
      </c>
      <c r="J2426">
        <v>0</v>
      </c>
      <c r="K2426">
        <v>1</v>
      </c>
    </row>
    <row r="2427" spans="1:11" x14ac:dyDescent="0.25">
      <c r="A2427" t="str">
        <f>"3097"</f>
        <v>3097</v>
      </c>
      <c r="B2427" t="str">
        <f t="shared" si="149"/>
        <v>1</v>
      </c>
      <c r="C2427" t="str">
        <f t="shared" si="152"/>
        <v>129</v>
      </c>
      <c r="D2427" t="str">
        <f>"10"</f>
        <v>10</v>
      </c>
      <c r="E2427" t="str">
        <f>"1-129-10"</f>
        <v>1-129-10</v>
      </c>
      <c r="F2427" t="s">
        <v>15</v>
      </c>
      <c r="G2427" t="s">
        <v>18</v>
      </c>
      <c r="H2427" t="s">
        <v>19</v>
      </c>
      <c r="I2427">
        <v>1</v>
      </c>
      <c r="J2427">
        <v>0</v>
      </c>
      <c r="K2427">
        <v>0</v>
      </c>
    </row>
    <row r="2428" spans="1:11" x14ac:dyDescent="0.25">
      <c r="A2428" t="str">
        <f>"3098"</f>
        <v>3098</v>
      </c>
      <c r="B2428" t="str">
        <f t="shared" ref="B2428:B2483" si="153">"1"</f>
        <v>1</v>
      </c>
      <c r="C2428" t="str">
        <f t="shared" si="152"/>
        <v>129</v>
      </c>
      <c r="D2428" t="str">
        <f>"20"</f>
        <v>20</v>
      </c>
      <c r="E2428" t="str">
        <f>"1-129-20"</f>
        <v>1-129-20</v>
      </c>
      <c r="F2428" t="s">
        <v>15</v>
      </c>
      <c r="G2428" t="s">
        <v>18</v>
      </c>
      <c r="H2428" t="s">
        <v>19</v>
      </c>
      <c r="I2428">
        <v>0</v>
      </c>
      <c r="J2428">
        <v>0</v>
      </c>
      <c r="K2428">
        <v>1</v>
      </c>
    </row>
    <row r="2429" spans="1:11" x14ac:dyDescent="0.25">
      <c r="A2429" t="str">
        <f>"3099"</f>
        <v>3099</v>
      </c>
      <c r="B2429" t="str">
        <f t="shared" si="153"/>
        <v>1</v>
      </c>
      <c r="C2429" t="str">
        <f t="shared" si="152"/>
        <v>129</v>
      </c>
      <c r="D2429" t="str">
        <f>"13"</f>
        <v>13</v>
      </c>
      <c r="E2429" t="str">
        <f>"1-129-13"</f>
        <v>1-129-13</v>
      </c>
      <c r="F2429" t="s">
        <v>15</v>
      </c>
      <c r="G2429" t="s">
        <v>18</v>
      </c>
      <c r="H2429" t="s">
        <v>19</v>
      </c>
      <c r="I2429">
        <v>0</v>
      </c>
      <c r="J2429">
        <v>0</v>
      </c>
      <c r="K2429">
        <v>1</v>
      </c>
    </row>
    <row r="2430" spans="1:11" x14ac:dyDescent="0.25">
      <c r="A2430" t="str">
        <f>"3100"</f>
        <v>3100</v>
      </c>
      <c r="B2430" t="str">
        <f t="shared" si="153"/>
        <v>1</v>
      </c>
      <c r="C2430" t="str">
        <f t="shared" si="152"/>
        <v>129</v>
      </c>
      <c r="D2430" t="str">
        <f>"21"</f>
        <v>21</v>
      </c>
      <c r="E2430" t="str">
        <f>"1-129-21"</f>
        <v>1-129-21</v>
      </c>
      <c r="F2430" t="s">
        <v>15</v>
      </c>
      <c r="G2430" t="s">
        <v>18</v>
      </c>
      <c r="H2430" t="s">
        <v>19</v>
      </c>
      <c r="I2430">
        <v>0</v>
      </c>
      <c r="J2430">
        <v>0</v>
      </c>
      <c r="K2430">
        <v>1</v>
      </c>
    </row>
    <row r="2431" spans="1:11" x14ac:dyDescent="0.25">
      <c r="A2431" t="str">
        <f>"3101"</f>
        <v>3101</v>
      </c>
      <c r="B2431" t="str">
        <f t="shared" si="153"/>
        <v>1</v>
      </c>
      <c r="C2431" t="str">
        <f t="shared" si="152"/>
        <v>129</v>
      </c>
      <c r="D2431" t="str">
        <f>"14"</f>
        <v>14</v>
      </c>
      <c r="E2431" t="str">
        <f>"1-129-14"</f>
        <v>1-129-14</v>
      </c>
      <c r="F2431" t="s">
        <v>15</v>
      </c>
      <c r="G2431" t="s">
        <v>18</v>
      </c>
      <c r="H2431" t="s">
        <v>19</v>
      </c>
      <c r="I2431">
        <v>0</v>
      </c>
      <c r="J2431">
        <v>1</v>
      </c>
      <c r="K2431">
        <v>0</v>
      </c>
    </row>
    <row r="2432" spans="1:11" x14ac:dyDescent="0.25">
      <c r="A2432" t="str">
        <f>"3103"</f>
        <v>3103</v>
      </c>
      <c r="B2432" t="str">
        <f t="shared" si="153"/>
        <v>1</v>
      </c>
      <c r="C2432" t="str">
        <f t="shared" si="152"/>
        <v>129</v>
      </c>
      <c r="D2432" t="str">
        <f>"8"</f>
        <v>8</v>
      </c>
      <c r="E2432" t="str">
        <f>"1-129-8"</f>
        <v>1-129-8</v>
      </c>
      <c r="F2432" t="s">
        <v>15</v>
      </c>
      <c r="G2432" t="s">
        <v>18</v>
      </c>
      <c r="H2432" t="s">
        <v>19</v>
      </c>
      <c r="I2432">
        <v>1</v>
      </c>
      <c r="J2432">
        <v>0</v>
      </c>
      <c r="K2432">
        <v>0</v>
      </c>
    </row>
    <row r="2433" spans="1:11" x14ac:dyDescent="0.25">
      <c r="A2433" t="str">
        <f>"3104"</f>
        <v>3104</v>
      </c>
      <c r="B2433" t="str">
        <f t="shared" si="153"/>
        <v>1</v>
      </c>
      <c r="C2433" t="str">
        <f t="shared" si="152"/>
        <v>129</v>
      </c>
      <c r="D2433" t="str">
        <f>"23"</f>
        <v>23</v>
      </c>
      <c r="E2433" t="str">
        <f>"1-129-23"</f>
        <v>1-129-23</v>
      </c>
      <c r="F2433" t="s">
        <v>15</v>
      </c>
      <c r="G2433" t="s">
        <v>18</v>
      </c>
      <c r="H2433" t="s">
        <v>19</v>
      </c>
      <c r="I2433">
        <v>1</v>
      </c>
      <c r="J2433">
        <v>0</v>
      </c>
      <c r="K2433">
        <v>0</v>
      </c>
    </row>
    <row r="2434" spans="1:11" x14ac:dyDescent="0.25">
      <c r="A2434" t="str">
        <f>"3105"</f>
        <v>3105</v>
      </c>
      <c r="B2434" t="str">
        <f t="shared" si="153"/>
        <v>1</v>
      </c>
      <c r="C2434" t="str">
        <f t="shared" si="152"/>
        <v>129</v>
      </c>
      <c r="D2434" t="str">
        <f>"12"</f>
        <v>12</v>
      </c>
      <c r="E2434" t="str">
        <f>"1-129-12"</f>
        <v>1-129-12</v>
      </c>
      <c r="F2434" t="s">
        <v>15</v>
      </c>
      <c r="G2434" t="s">
        <v>18</v>
      </c>
      <c r="H2434" t="s">
        <v>19</v>
      </c>
      <c r="I2434">
        <v>0</v>
      </c>
      <c r="J2434">
        <v>0</v>
      </c>
      <c r="K2434">
        <v>1</v>
      </c>
    </row>
    <row r="2435" spans="1:11" x14ac:dyDescent="0.25">
      <c r="A2435" t="str">
        <f>"3106"</f>
        <v>3106</v>
      </c>
      <c r="B2435" t="str">
        <f t="shared" si="153"/>
        <v>1</v>
      </c>
      <c r="C2435" t="str">
        <f t="shared" si="152"/>
        <v>129</v>
      </c>
      <c r="D2435" t="str">
        <f>"24"</f>
        <v>24</v>
      </c>
      <c r="E2435" t="str">
        <f>"1-129-24"</f>
        <v>1-129-24</v>
      </c>
      <c r="F2435" t="s">
        <v>15</v>
      </c>
      <c r="G2435" t="s">
        <v>18</v>
      </c>
      <c r="H2435" t="s">
        <v>19</v>
      </c>
      <c r="I2435">
        <v>1</v>
      </c>
      <c r="J2435">
        <v>0</v>
      </c>
      <c r="K2435">
        <v>0</v>
      </c>
    </row>
    <row r="2436" spans="1:11" x14ac:dyDescent="0.25">
      <c r="A2436" t="str">
        <f>"3107"</f>
        <v>3107</v>
      </c>
      <c r="B2436" t="str">
        <f t="shared" si="153"/>
        <v>1</v>
      </c>
      <c r="C2436" t="str">
        <f t="shared" si="152"/>
        <v>129</v>
      </c>
      <c r="D2436" t="str">
        <f>"7"</f>
        <v>7</v>
      </c>
      <c r="E2436" t="str">
        <f>"1-129-7"</f>
        <v>1-129-7</v>
      </c>
      <c r="F2436" t="s">
        <v>15</v>
      </c>
      <c r="G2436" t="s">
        <v>18</v>
      </c>
      <c r="H2436" t="s">
        <v>19</v>
      </c>
      <c r="I2436">
        <v>1</v>
      </c>
      <c r="J2436">
        <v>0</v>
      </c>
      <c r="K2436">
        <v>0</v>
      </c>
    </row>
    <row r="2437" spans="1:11" x14ac:dyDescent="0.25">
      <c r="A2437" t="str">
        <f>"3108"</f>
        <v>3108</v>
      </c>
      <c r="B2437" t="str">
        <f t="shared" si="153"/>
        <v>1</v>
      </c>
      <c r="C2437" t="str">
        <f t="shared" si="152"/>
        <v>129</v>
      </c>
      <c r="D2437" t="str">
        <f>"25"</f>
        <v>25</v>
      </c>
      <c r="E2437" t="str">
        <f>"1-129-25"</f>
        <v>1-129-25</v>
      </c>
      <c r="F2437" t="s">
        <v>15</v>
      </c>
      <c r="G2437" t="s">
        <v>18</v>
      </c>
      <c r="H2437" t="s">
        <v>19</v>
      </c>
      <c r="I2437">
        <v>0</v>
      </c>
      <c r="J2437">
        <v>0</v>
      </c>
      <c r="K2437">
        <v>1</v>
      </c>
    </row>
    <row r="2438" spans="1:11" x14ac:dyDescent="0.25">
      <c r="A2438" t="str">
        <f>"3109"</f>
        <v>3109</v>
      </c>
      <c r="B2438" t="str">
        <f t="shared" si="153"/>
        <v>1</v>
      </c>
      <c r="C2438" t="str">
        <f t="shared" si="152"/>
        <v>129</v>
      </c>
      <c r="D2438" t="str">
        <f>"11"</f>
        <v>11</v>
      </c>
      <c r="E2438" t="str">
        <f>"1-129-11"</f>
        <v>1-129-11</v>
      </c>
      <c r="F2438" t="s">
        <v>15</v>
      </c>
      <c r="G2438" t="s">
        <v>18</v>
      </c>
      <c r="H2438" t="s">
        <v>19</v>
      </c>
      <c r="I2438">
        <v>0</v>
      </c>
      <c r="J2438">
        <v>1</v>
      </c>
      <c r="K2438">
        <v>0</v>
      </c>
    </row>
    <row r="2439" spans="1:11" x14ac:dyDescent="0.25">
      <c r="A2439" t="str">
        <f>"3110"</f>
        <v>3110</v>
      </c>
      <c r="B2439" t="str">
        <f t="shared" si="153"/>
        <v>1</v>
      </c>
      <c r="C2439" t="str">
        <f t="shared" si="152"/>
        <v>129</v>
      </c>
      <c r="D2439" t="str">
        <f>"5"</f>
        <v>5</v>
      </c>
      <c r="E2439" t="str">
        <f>"1-129-5"</f>
        <v>1-129-5</v>
      </c>
      <c r="F2439" t="s">
        <v>15</v>
      </c>
      <c r="G2439" t="s">
        <v>18</v>
      </c>
      <c r="H2439" t="s">
        <v>19</v>
      </c>
      <c r="I2439">
        <v>1</v>
      </c>
      <c r="J2439">
        <v>0</v>
      </c>
      <c r="K2439">
        <v>0</v>
      </c>
    </row>
    <row r="2440" spans="1:11" x14ac:dyDescent="0.25">
      <c r="A2440" t="str">
        <f>"3111"</f>
        <v>3111</v>
      </c>
      <c r="B2440" t="str">
        <f t="shared" si="153"/>
        <v>1</v>
      </c>
      <c r="C2440" t="str">
        <f t="shared" si="152"/>
        <v>129</v>
      </c>
      <c r="D2440" t="str">
        <f>"4"</f>
        <v>4</v>
      </c>
      <c r="E2440" t="str">
        <f>"1-129-4"</f>
        <v>1-129-4</v>
      </c>
      <c r="F2440" t="s">
        <v>15</v>
      </c>
      <c r="G2440" t="s">
        <v>18</v>
      </c>
      <c r="H2440" t="s">
        <v>19</v>
      </c>
      <c r="I2440">
        <v>0</v>
      </c>
      <c r="J2440">
        <v>0</v>
      </c>
      <c r="K2440">
        <v>1</v>
      </c>
    </row>
    <row r="2441" spans="1:11" x14ac:dyDescent="0.25">
      <c r="A2441" t="str">
        <f>"3112"</f>
        <v>3112</v>
      </c>
      <c r="B2441" t="str">
        <f t="shared" si="153"/>
        <v>1</v>
      </c>
      <c r="C2441" t="str">
        <f t="shared" si="152"/>
        <v>129</v>
      </c>
      <c r="D2441" t="str">
        <f>"6"</f>
        <v>6</v>
      </c>
      <c r="E2441" t="str">
        <f>"1-129-6"</f>
        <v>1-129-6</v>
      </c>
      <c r="F2441" t="s">
        <v>15</v>
      </c>
      <c r="G2441" t="s">
        <v>18</v>
      </c>
      <c r="H2441" t="s">
        <v>19</v>
      </c>
      <c r="I2441">
        <v>1</v>
      </c>
      <c r="J2441">
        <v>0</v>
      </c>
      <c r="K2441">
        <v>0</v>
      </c>
    </row>
    <row r="2442" spans="1:11" x14ac:dyDescent="0.25">
      <c r="A2442" t="str">
        <f>"3113"</f>
        <v>3113</v>
      </c>
      <c r="B2442" t="str">
        <f t="shared" si="153"/>
        <v>1</v>
      </c>
      <c r="C2442" t="str">
        <f t="shared" si="152"/>
        <v>129</v>
      </c>
      <c r="D2442" t="str">
        <f>"9"</f>
        <v>9</v>
      </c>
      <c r="E2442" t="str">
        <f>"1-129-9"</f>
        <v>1-129-9</v>
      </c>
      <c r="F2442" t="s">
        <v>15</v>
      </c>
      <c r="G2442" t="s">
        <v>18</v>
      </c>
      <c r="H2442" t="s">
        <v>19</v>
      </c>
      <c r="I2442">
        <v>1</v>
      </c>
      <c r="J2442">
        <v>0</v>
      </c>
      <c r="K2442">
        <v>0</v>
      </c>
    </row>
    <row r="2443" spans="1:11" x14ac:dyDescent="0.25">
      <c r="A2443" t="str">
        <f>"3114"</f>
        <v>3114</v>
      </c>
      <c r="B2443" t="str">
        <f t="shared" si="153"/>
        <v>1</v>
      </c>
      <c r="C2443" t="str">
        <f t="shared" si="152"/>
        <v>129</v>
      </c>
      <c r="D2443" t="str">
        <f>"2"</f>
        <v>2</v>
      </c>
      <c r="E2443" t="str">
        <f>"1-129-2"</f>
        <v>1-129-2</v>
      </c>
      <c r="F2443" t="s">
        <v>15</v>
      </c>
      <c r="G2443" t="s">
        <v>18</v>
      </c>
      <c r="H2443" t="s">
        <v>19</v>
      </c>
      <c r="I2443">
        <v>0</v>
      </c>
      <c r="J2443">
        <v>0</v>
      </c>
      <c r="K2443">
        <v>1</v>
      </c>
    </row>
    <row r="2444" spans="1:11" x14ac:dyDescent="0.25">
      <c r="A2444" t="str">
        <f>"3115"</f>
        <v>3115</v>
      </c>
      <c r="B2444" t="str">
        <f t="shared" si="153"/>
        <v>1</v>
      </c>
      <c r="C2444" t="str">
        <f t="shared" ref="C2444:C2456" si="154">"130"</f>
        <v>130</v>
      </c>
      <c r="D2444" t="str">
        <f>"15"</f>
        <v>15</v>
      </c>
      <c r="E2444" t="str">
        <f>"1-130-15"</f>
        <v>1-130-15</v>
      </c>
      <c r="F2444" t="s">
        <v>15</v>
      </c>
      <c r="G2444" t="s">
        <v>20</v>
      </c>
      <c r="H2444" t="s">
        <v>21</v>
      </c>
      <c r="I2444">
        <v>0</v>
      </c>
      <c r="J2444">
        <v>1</v>
      </c>
      <c r="K2444">
        <v>0</v>
      </c>
    </row>
    <row r="2445" spans="1:11" x14ac:dyDescent="0.25">
      <c r="A2445" t="str">
        <f>"3116"</f>
        <v>3116</v>
      </c>
      <c r="B2445" t="str">
        <f t="shared" si="153"/>
        <v>1</v>
      </c>
      <c r="C2445" t="str">
        <f t="shared" si="154"/>
        <v>130</v>
      </c>
      <c r="D2445" t="str">
        <f>"2"</f>
        <v>2</v>
      </c>
      <c r="E2445" t="str">
        <f>"1-130-2"</f>
        <v>1-130-2</v>
      </c>
      <c r="F2445" t="s">
        <v>15</v>
      </c>
      <c r="G2445" t="s">
        <v>20</v>
      </c>
      <c r="H2445" t="s">
        <v>21</v>
      </c>
      <c r="I2445">
        <v>0</v>
      </c>
      <c r="J2445">
        <v>0</v>
      </c>
      <c r="K2445">
        <v>1</v>
      </c>
    </row>
    <row r="2446" spans="1:11" x14ac:dyDescent="0.25">
      <c r="A2446" t="str">
        <f>"3117"</f>
        <v>3117</v>
      </c>
      <c r="B2446" t="str">
        <f t="shared" si="153"/>
        <v>1</v>
      </c>
      <c r="C2446" t="str">
        <f t="shared" si="154"/>
        <v>130</v>
      </c>
      <c r="D2446" t="str">
        <f>"16"</f>
        <v>16</v>
      </c>
      <c r="E2446" t="str">
        <f>"1-130-16"</f>
        <v>1-130-16</v>
      </c>
      <c r="F2446" t="s">
        <v>15</v>
      </c>
      <c r="G2446" t="s">
        <v>20</v>
      </c>
      <c r="H2446" t="s">
        <v>21</v>
      </c>
      <c r="I2446">
        <v>0</v>
      </c>
      <c r="J2446">
        <v>0</v>
      </c>
      <c r="K2446">
        <v>1</v>
      </c>
    </row>
    <row r="2447" spans="1:11" x14ac:dyDescent="0.25">
      <c r="A2447" t="str">
        <f>"3118"</f>
        <v>3118</v>
      </c>
      <c r="B2447" t="str">
        <f t="shared" si="153"/>
        <v>1</v>
      </c>
      <c r="C2447" t="str">
        <f t="shared" si="154"/>
        <v>130</v>
      </c>
      <c r="D2447" t="str">
        <f>"1"</f>
        <v>1</v>
      </c>
      <c r="E2447" t="str">
        <f>"1-130-1"</f>
        <v>1-130-1</v>
      </c>
      <c r="F2447" t="s">
        <v>15</v>
      </c>
      <c r="G2447" t="s">
        <v>20</v>
      </c>
      <c r="H2447" t="s">
        <v>21</v>
      </c>
      <c r="I2447">
        <v>0</v>
      </c>
      <c r="J2447">
        <v>0</v>
      </c>
      <c r="K2447">
        <v>1</v>
      </c>
    </row>
    <row r="2448" spans="1:11" x14ac:dyDescent="0.25">
      <c r="A2448" t="str">
        <f>"3123"</f>
        <v>3123</v>
      </c>
      <c r="B2448" t="str">
        <f t="shared" si="153"/>
        <v>1</v>
      </c>
      <c r="C2448" t="str">
        <f t="shared" si="154"/>
        <v>130</v>
      </c>
      <c r="D2448" t="str">
        <f>"9"</f>
        <v>9</v>
      </c>
      <c r="E2448" t="str">
        <f>"1-130-9"</f>
        <v>1-130-9</v>
      </c>
      <c r="F2448" t="s">
        <v>15</v>
      </c>
      <c r="G2448" t="s">
        <v>20</v>
      </c>
      <c r="H2448" t="s">
        <v>21</v>
      </c>
      <c r="I2448">
        <v>1</v>
      </c>
      <c r="J2448">
        <v>0</v>
      </c>
      <c r="K2448">
        <v>0</v>
      </c>
    </row>
    <row r="2449" spans="1:11" x14ac:dyDescent="0.25">
      <c r="A2449" t="str">
        <f>"3124"</f>
        <v>3124</v>
      </c>
      <c r="B2449" t="str">
        <f t="shared" si="153"/>
        <v>1</v>
      </c>
      <c r="C2449" t="str">
        <f t="shared" si="154"/>
        <v>130</v>
      </c>
      <c r="D2449" t="str">
        <f>"7"</f>
        <v>7</v>
      </c>
      <c r="E2449" t="str">
        <f>"1-130-7"</f>
        <v>1-130-7</v>
      </c>
      <c r="F2449" t="s">
        <v>15</v>
      </c>
      <c r="G2449" t="s">
        <v>20</v>
      </c>
      <c r="H2449" t="s">
        <v>21</v>
      </c>
      <c r="I2449">
        <v>0</v>
      </c>
      <c r="J2449">
        <v>0</v>
      </c>
      <c r="K2449">
        <v>1</v>
      </c>
    </row>
    <row r="2450" spans="1:11" x14ac:dyDescent="0.25">
      <c r="A2450" t="str">
        <f>"3125"</f>
        <v>3125</v>
      </c>
      <c r="B2450" t="str">
        <f t="shared" si="153"/>
        <v>1</v>
      </c>
      <c r="C2450" t="str">
        <f t="shared" si="154"/>
        <v>130</v>
      </c>
      <c r="D2450" t="str">
        <f>"3"</f>
        <v>3</v>
      </c>
      <c r="E2450" t="str">
        <f>"1-130-3"</f>
        <v>1-130-3</v>
      </c>
      <c r="F2450" t="s">
        <v>15</v>
      </c>
      <c r="G2450" t="s">
        <v>20</v>
      </c>
      <c r="H2450" t="s">
        <v>21</v>
      </c>
      <c r="I2450">
        <v>0</v>
      </c>
      <c r="J2450">
        <v>1</v>
      </c>
      <c r="K2450">
        <v>0</v>
      </c>
    </row>
    <row r="2451" spans="1:11" x14ac:dyDescent="0.25">
      <c r="A2451" t="str">
        <f>"3126"</f>
        <v>3126</v>
      </c>
      <c r="B2451" t="str">
        <f t="shared" si="153"/>
        <v>1</v>
      </c>
      <c r="C2451" t="str">
        <f t="shared" si="154"/>
        <v>130</v>
      </c>
      <c r="D2451" t="str">
        <f>"5"</f>
        <v>5</v>
      </c>
      <c r="E2451" t="str">
        <f>"1-130-5"</f>
        <v>1-130-5</v>
      </c>
      <c r="F2451" t="s">
        <v>15</v>
      </c>
      <c r="G2451" t="s">
        <v>20</v>
      </c>
      <c r="H2451" t="s">
        <v>21</v>
      </c>
      <c r="I2451">
        <v>0</v>
      </c>
      <c r="J2451">
        <v>0</v>
      </c>
      <c r="K2451">
        <v>1</v>
      </c>
    </row>
    <row r="2452" spans="1:11" x14ac:dyDescent="0.25">
      <c r="A2452" t="str">
        <f>"3127"</f>
        <v>3127</v>
      </c>
      <c r="B2452" t="str">
        <f t="shared" si="153"/>
        <v>1</v>
      </c>
      <c r="C2452" t="str">
        <f t="shared" si="154"/>
        <v>130</v>
      </c>
      <c r="D2452" t="str">
        <f>"4"</f>
        <v>4</v>
      </c>
      <c r="E2452" t="str">
        <f>"1-130-4"</f>
        <v>1-130-4</v>
      </c>
      <c r="F2452" t="s">
        <v>15</v>
      </c>
      <c r="G2452" t="s">
        <v>20</v>
      </c>
      <c r="H2452" t="s">
        <v>21</v>
      </c>
      <c r="I2452">
        <v>0</v>
      </c>
      <c r="J2452">
        <v>0</v>
      </c>
      <c r="K2452">
        <v>1</v>
      </c>
    </row>
    <row r="2453" spans="1:11" x14ac:dyDescent="0.25">
      <c r="A2453" t="str">
        <f>"3128"</f>
        <v>3128</v>
      </c>
      <c r="B2453" t="str">
        <f t="shared" si="153"/>
        <v>1</v>
      </c>
      <c r="C2453" t="str">
        <f t="shared" si="154"/>
        <v>130</v>
      </c>
      <c r="D2453" t="str">
        <f>"6"</f>
        <v>6</v>
      </c>
      <c r="E2453" t="str">
        <f>"1-130-6"</f>
        <v>1-130-6</v>
      </c>
      <c r="F2453" t="s">
        <v>15</v>
      </c>
      <c r="G2453" t="s">
        <v>20</v>
      </c>
      <c r="H2453" t="s">
        <v>21</v>
      </c>
      <c r="I2453">
        <v>1</v>
      </c>
      <c r="J2453">
        <v>0</v>
      </c>
      <c r="K2453">
        <v>0</v>
      </c>
    </row>
    <row r="2454" spans="1:11" x14ac:dyDescent="0.25">
      <c r="A2454" t="str">
        <f>"3129"</f>
        <v>3129</v>
      </c>
      <c r="B2454" t="str">
        <f t="shared" si="153"/>
        <v>1</v>
      </c>
      <c r="C2454" t="str">
        <f t="shared" si="154"/>
        <v>130</v>
      </c>
      <c r="D2454" t="str">
        <f>"11"</f>
        <v>11</v>
      </c>
      <c r="E2454" t="str">
        <f>"1-130-11"</f>
        <v>1-130-11</v>
      </c>
      <c r="F2454" t="s">
        <v>15</v>
      </c>
      <c r="G2454" t="s">
        <v>16</v>
      </c>
      <c r="H2454" t="s">
        <v>17</v>
      </c>
      <c r="I2454">
        <v>0</v>
      </c>
      <c r="J2454">
        <v>0</v>
      </c>
      <c r="K2454">
        <v>1</v>
      </c>
    </row>
    <row r="2455" spans="1:11" x14ac:dyDescent="0.25">
      <c r="A2455" t="str">
        <f>"3130"</f>
        <v>3130</v>
      </c>
      <c r="B2455" t="str">
        <f t="shared" si="153"/>
        <v>1</v>
      </c>
      <c r="C2455" t="str">
        <f t="shared" si="154"/>
        <v>130</v>
      </c>
      <c r="D2455" t="str">
        <f>"8"</f>
        <v>8</v>
      </c>
      <c r="E2455" t="str">
        <f>"1-130-8"</f>
        <v>1-130-8</v>
      </c>
      <c r="F2455" t="s">
        <v>15</v>
      </c>
      <c r="G2455" t="s">
        <v>20</v>
      </c>
      <c r="H2455" t="s">
        <v>21</v>
      </c>
      <c r="I2455">
        <v>0</v>
      </c>
      <c r="J2455">
        <v>0</v>
      </c>
      <c r="K2455">
        <v>0</v>
      </c>
    </row>
    <row r="2456" spans="1:11" x14ac:dyDescent="0.25">
      <c r="A2456" t="str">
        <f>"3131"</f>
        <v>3131</v>
      </c>
      <c r="B2456" t="str">
        <f t="shared" si="153"/>
        <v>1</v>
      </c>
      <c r="C2456" t="str">
        <f t="shared" si="154"/>
        <v>130</v>
      </c>
      <c r="D2456" t="str">
        <f>"10"</f>
        <v>10</v>
      </c>
      <c r="E2456" t="str">
        <f>"1-130-10"</f>
        <v>1-130-10</v>
      </c>
      <c r="F2456" t="s">
        <v>15</v>
      </c>
      <c r="G2456" t="s">
        <v>20</v>
      </c>
      <c r="H2456" t="s">
        <v>21</v>
      </c>
      <c r="I2456">
        <v>0</v>
      </c>
      <c r="J2456">
        <v>0</v>
      </c>
      <c r="K2456">
        <v>0</v>
      </c>
    </row>
    <row r="2457" spans="1:11" x14ac:dyDescent="0.25">
      <c r="A2457" t="str">
        <f>"3133"</f>
        <v>3133</v>
      </c>
      <c r="B2457" t="str">
        <f t="shared" si="153"/>
        <v>1</v>
      </c>
      <c r="C2457" t="str">
        <f t="shared" ref="C2457:C2468" si="155">"131"</f>
        <v>131</v>
      </c>
      <c r="D2457" t="str">
        <f>"2"</f>
        <v>2</v>
      </c>
      <c r="E2457" t="str">
        <f>"1-131-2"</f>
        <v>1-131-2</v>
      </c>
      <c r="F2457" t="s">
        <v>15</v>
      </c>
      <c r="G2457" t="s">
        <v>20</v>
      </c>
      <c r="H2457" t="s">
        <v>21</v>
      </c>
      <c r="I2457">
        <v>0</v>
      </c>
      <c r="J2457">
        <v>0</v>
      </c>
      <c r="K2457">
        <v>1</v>
      </c>
    </row>
    <row r="2458" spans="1:11" x14ac:dyDescent="0.25">
      <c r="A2458" t="str">
        <f>"3135"</f>
        <v>3135</v>
      </c>
      <c r="B2458" t="str">
        <f t="shared" si="153"/>
        <v>1</v>
      </c>
      <c r="C2458" t="str">
        <f t="shared" si="155"/>
        <v>131</v>
      </c>
      <c r="D2458" t="str">
        <f>"4"</f>
        <v>4</v>
      </c>
      <c r="E2458" t="str">
        <f>"1-131-4"</f>
        <v>1-131-4</v>
      </c>
      <c r="F2458" t="s">
        <v>15</v>
      </c>
      <c r="G2458" t="s">
        <v>20</v>
      </c>
      <c r="H2458" t="s">
        <v>21</v>
      </c>
      <c r="I2458">
        <v>0</v>
      </c>
      <c r="J2458">
        <v>0</v>
      </c>
      <c r="K2458">
        <v>1</v>
      </c>
    </row>
    <row r="2459" spans="1:11" x14ac:dyDescent="0.25">
      <c r="A2459" t="str">
        <f>"3136"</f>
        <v>3136</v>
      </c>
      <c r="B2459" t="str">
        <f t="shared" si="153"/>
        <v>1</v>
      </c>
      <c r="C2459" t="str">
        <f t="shared" si="155"/>
        <v>131</v>
      </c>
      <c r="D2459" t="str">
        <f>"13"</f>
        <v>13</v>
      </c>
      <c r="E2459" t="str">
        <f>"1-131-13"</f>
        <v>1-131-13</v>
      </c>
      <c r="F2459" t="s">
        <v>15</v>
      </c>
      <c r="G2459" t="s">
        <v>20</v>
      </c>
      <c r="H2459" t="s">
        <v>21</v>
      </c>
      <c r="I2459">
        <v>0</v>
      </c>
      <c r="J2459">
        <v>0</v>
      </c>
      <c r="K2459">
        <v>1</v>
      </c>
    </row>
    <row r="2460" spans="1:11" x14ac:dyDescent="0.25">
      <c r="A2460" t="str">
        <f>"3137"</f>
        <v>3137</v>
      </c>
      <c r="B2460" t="str">
        <f t="shared" si="153"/>
        <v>1</v>
      </c>
      <c r="C2460" t="str">
        <f t="shared" si="155"/>
        <v>131</v>
      </c>
      <c r="D2460" t="str">
        <f>"9"</f>
        <v>9</v>
      </c>
      <c r="E2460" t="str">
        <f>"1-131-9"</f>
        <v>1-131-9</v>
      </c>
      <c r="F2460" t="s">
        <v>15</v>
      </c>
      <c r="G2460" t="s">
        <v>20</v>
      </c>
      <c r="H2460" t="s">
        <v>21</v>
      </c>
      <c r="I2460">
        <v>0</v>
      </c>
      <c r="J2460">
        <v>0</v>
      </c>
      <c r="K2460">
        <v>1</v>
      </c>
    </row>
    <row r="2461" spans="1:11" x14ac:dyDescent="0.25">
      <c r="A2461" t="str">
        <f>"3138"</f>
        <v>3138</v>
      </c>
      <c r="B2461" t="str">
        <f t="shared" si="153"/>
        <v>1</v>
      </c>
      <c r="C2461" t="str">
        <f t="shared" si="155"/>
        <v>131</v>
      </c>
      <c r="D2461" t="str">
        <f>"5"</f>
        <v>5</v>
      </c>
      <c r="E2461" t="str">
        <f>"1-131-5"</f>
        <v>1-131-5</v>
      </c>
      <c r="F2461" t="s">
        <v>15</v>
      </c>
      <c r="G2461" t="s">
        <v>20</v>
      </c>
      <c r="H2461" t="s">
        <v>21</v>
      </c>
      <c r="I2461">
        <v>0</v>
      </c>
      <c r="J2461">
        <v>1</v>
      </c>
      <c r="K2461">
        <v>0</v>
      </c>
    </row>
    <row r="2462" spans="1:11" x14ac:dyDescent="0.25">
      <c r="A2462" t="str">
        <f>"3139"</f>
        <v>3139</v>
      </c>
      <c r="B2462" t="str">
        <f t="shared" si="153"/>
        <v>1</v>
      </c>
      <c r="C2462" t="str">
        <f t="shared" si="155"/>
        <v>131</v>
      </c>
      <c r="D2462" t="str">
        <f>"12"</f>
        <v>12</v>
      </c>
      <c r="E2462" t="str">
        <f>"1-131-12"</f>
        <v>1-131-12</v>
      </c>
      <c r="F2462" t="s">
        <v>15</v>
      </c>
      <c r="G2462" t="s">
        <v>20</v>
      </c>
      <c r="H2462" t="s">
        <v>21</v>
      </c>
      <c r="I2462">
        <v>1</v>
      </c>
      <c r="J2462">
        <v>0</v>
      </c>
      <c r="K2462">
        <v>0</v>
      </c>
    </row>
    <row r="2463" spans="1:11" x14ac:dyDescent="0.25">
      <c r="A2463" t="str">
        <f>"3140"</f>
        <v>3140</v>
      </c>
      <c r="B2463" t="str">
        <f t="shared" si="153"/>
        <v>1</v>
      </c>
      <c r="C2463" t="str">
        <f t="shared" si="155"/>
        <v>131</v>
      </c>
      <c r="D2463" t="str">
        <f>"8"</f>
        <v>8</v>
      </c>
      <c r="E2463" t="str">
        <f>"1-131-8"</f>
        <v>1-131-8</v>
      </c>
      <c r="F2463" t="s">
        <v>15</v>
      </c>
      <c r="G2463" t="s">
        <v>20</v>
      </c>
      <c r="H2463" t="s">
        <v>21</v>
      </c>
      <c r="I2463">
        <v>0</v>
      </c>
      <c r="J2463">
        <v>0</v>
      </c>
      <c r="K2463">
        <v>1</v>
      </c>
    </row>
    <row r="2464" spans="1:11" x14ac:dyDescent="0.25">
      <c r="A2464" t="str">
        <f>"3141"</f>
        <v>3141</v>
      </c>
      <c r="B2464" t="str">
        <f t="shared" si="153"/>
        <v>1</v>
      </c>
      <c r="C2464" t="str">
        <f t="shared" si="155"/>
        <v>131</v>
      </c>
      <c r="D2464" t="str">
        <f>"1"</f>
        <v>1</v>
      </c>
      <c r="E2464" t="str">
        <f>"1-131-1"</f>
        <v>1-131-1</v>
      </c>
      <c r="F2464" t="s">
        <v>15</v>
      </c>
      <c r="G2464" t="s">
        <v>20</v>
      </c>
      <c r="H2464" t="s">
        <v>21</v>
      </c>
      <c r="I2464">
        <v>0</v>
      </c>
      <c r="J2464">
        <v>1</v>
      </c>
      <c r="K2464">
        <v>0</v>
      </c>
    </row>
    <row r="2465" spans="1:11" x14ac:dyDescent="0.25">
      <c r="A2465" t="str">
        <f>"3142"</f>
        <v>3142</v>
      </c>
      <c r="B2465" t="str">
        <f t="shared" si="153"/>
        <v>1</v>
      </c>
      <c r="C2465" t="str">
        <f t="shared" si="155"/>
        <v>131</v>
      </c>
      <c r="D2465" t="str">
        <f>"11"</f>
        <v>11</v>
      </c>
      <c r="E2465" t="str">
        <f>"1-131-11"</f>
        <v>1-131-11</v>
      </c>
      <c r="F2465" t="s">
        <v>15</v>
      </c>
      <c r="G2465" t="s">
        <v>20</v>
      </c>
      <c r="H2465" t="s">
        <v>21</v>
      </c>
      <c r="I2465">
        <v>0</v>
      </c>
      <c r="J2465">
        <v>1</v>
      </c>
      <c r="K2465">
        <v>0</v>
      </c>
    </row>
    <row r="2466" spans="1:11" x14ac:dyDescent="0.25">
      <c r="A2466" t="str">
        <f>"3143"</f>
        <v>3143</v>
      </c>
      <c r="B2466" t="str">
        <f t="shared" si="153"/>
        <v>1</v>
      </c>
      <c r="C2466" t="str">
        <f t="shared" si="155"/>
        <v>131</v>
      </c>
      <c r="D2466" t="str">
        <f>"7"</f>
        <v>7</v>
      </c>
      <c r="E2466" t="str">
        <f>"1-131-7"</f>
        <v>1-131-7</v>
      </c>
      <c r="F2466" t="s">
        <v>15</v>
      </c>
      <c r="G2466" t="s">
        <v>20</v>
      </c>
      <c r="H2466" t="s">
        <v>21</v>
      </c>
      <c r="I2466">
        <v>0</v>
      </c>
      <c r="J2466">
        <v>0</v>
      </c>
      <c r="K2466">
        <v>0</v>
      </c>
    </row>
    <row r="2467" spans="1:11" x14ac:dyDescent="0.25">
      <c r="A2467" t="str">
        <f>"3144"</f>
        <v>3144</v>
      </c>
      <c r="B2467" t="str">
        <f t="shared" si="153"/>
        <v>1</v>
      </c>
      <c r="C2467" t="str">
        <f t="shared" si="155"/>
        <v>131</v>
      </c>
      <c r="D2467" t="str">
        <f>"6"</f>
        <v>6</v>
      </c>
      <c r="E2467" t="str">
        <f>"1-131-6"</f>
        <v>1-131-6</v>
      </c>
      <c r="F2467" t="s">
        <v>15</v>
      </c>
      <c r="G2467" t="s">
        <v>20</v>
      </c>
      <c r="H2467" t="s">
        <v>21</v>
      </c>
      <c r="I2467">
        <v>0</v>
      </c>
      <c r="J2467">
        <v>0</v>
      </c>
      <c r="K2467">
        <v>0</v>
      </c>
    </row>
    <row r="2468" spans="1:11" x14ac:dyDescent="0.25">
      <c r="A2468" t="str">
        <f>"3145"</f>
        <v>3145</v>
      </c>
      <c r="B2468" t="str">
        <f t="shared" si="153"/>
        <v>1</v>
      </c>
      <c r="C2468" t="str">
        <f t="shared" si="155"/>
        <v>131</v>
      </c>
      <c r="D2468" t="str">
        <f>"14"</f>
        <v>14</v>
      </c>
      <c r="E2468" t="str">
        <f>"1-131-14"</f>
        <v>1-131-14</v>
      </c>
      <c r="F2468" t="s">
        <v>15</v>
      </c>
      <c r="G2468" t="s">
        <v>20</v>
      </c>
      <c r="H2468" t="s">
        <v>21</v>
      </c>
      <c r="I2468">
        <v>1</v>
      </c>
      <c r="J2468">
        <v>0</v>
      </c>
      <c r="K2468">
        <v>0</v>
      </c>
    </row>
    <row r="2469" spans="1:11" x14ac:dyDescent="0.25">
      <c r="A2469" t="str">
        <f>"3146"</f>
        <v>3146</v>
      </c>
      <c r="B2469" t="str">
        <f t="shared" si="153"/>
        <v>1</v>
      </c>
      <c r="C2469" t="str">
        <f t="shared" ref="C2469:C2486" si="156">"132"</f>
        <v>132</v>
      </c>
      <c r="D2469" t="str">
        <f>"17"</f>
        <v>17</v>
      </c>
      <c r="E2469" t="str">
        <f>"1-132-17"</f>
        <v>1-132-17</v>
      </c>
      <c r="F2469" t="s">
        <v>15</v>
      </c>
      <c r="G2469" t="s">
        <v>16</v>
      </c>
      <c r="H2469" t="s">
        <v>17</v>
      </c>
      <c r="I2469">
        <v>0</v>
      </c>
      <c r="J2469">
        <v>0</v>
      </c>
      <c r="K2469">
        <v>1</v>
      </c>
    </row>
    <row r="2470" spans="1:11" x14ac:dyDescent="0.25">
      <c r="A2470" t="str">
        <f>"3147"</f>
        <v>3147</v>
      </c>
      <c r="B2470" t="str">
        <f t="shared" si="153"/>
        <v>1</v>
      </c>
      <c r="C2470" t="str">
        <f t="shared" si="156"/>
        <v>132</v>
      </c>
      <c r="D2470" t="str">
        <f>"15"</f>
        <v>15</v>
      </c>
      <c r="E2470" t="str">
        <f>"1-132-15"</f>
        <v>1-132-15</v>
      </c>
      <c r="F2470" t="s">
        <v>15</v>
      </c>
      <c r="G2470" t="s">
        <v>16</v>
      </c>
      <c r="H2470" t="s">
        <v>17</v>
      </c>
      <c r="I2470">
        <v>0</v>
      </c>
      <c r="J2470">
        <v>0</v>
      </c>
      <c r="K2470">
        <v>1</v>
      </c>
    </row>
    <row r="2471" spans="1:11" x14ac:dyDescent="0.25">
      <c r="A2471" t="str">
        <f>"3149"</f>
        <v>3149</v>
      </c>
      <c r="B2471" t="str">
        <f t="shared" si="153"/>
        <v>1</v>
      </c>
      <c r="C2471" t="str">
        <f t="shared" si="156"/>
        <v>132</v>
      </c>
      <c r="D2471" t="str">
        <f>"16"</f>
        <v>16</v>
      </c>
      <c r="E2471" t="str">
        <f>"1-132-16"</f>
        <v>1-132-16</v>
      </c>
      <c r="F2471" t="s">
        <v>15</v>
      </c>
      <c r="G2471" t="s">
        <v>16</v>
      </c>
      <c r="H2471" t="s">
        <v>17</v>
      </c>
      <c r="I2471">
        <v>0</v>
      </c>
      <c r="J2471">
        <v>0</v>
      </c>
      <c r="K2471">
        <v>1</v>
      </c>
    </row>
    <row r="2472" spans="1:11" x14ac:dyDescent="0.25">
      <c r="A2472" t="str">
        <f>"3150"</f>
        <v>3150</v>
      </c>
      <c r="B2472" t="str">
        <f t="shared" si="153"/>
        <v>1</v>
      </c>
      <c r="C2472" t="str">
        <f t="shared" si="156"/>
        <v>132</v>
      </c>
      <c r="D2472" t="str">
        <f>"19"</f>
        <v>19</v>
      </c>
      <c r="E2472" t="str">
        <f>"1-132-19"</f>
        <v>1-132-19</v>
      </c>
      <c r="F2472" t="s">
        <v>15</v>
      </c>
      <c r="G2472" t="s">
        <v>18</v>
      </c>
      <c r="H2472" t="s">
        <v>19</v>
      </c>
      <c r="I2472">
        <v>0</v>
      </c>
      <c r="J2472">
        <v>0</v>
      </c>
      <c r="K2472">
        <v>1</v>
      </c>
    </row>
    <row r="2473" spans="1:11" x14ac:dyDescent="0.25">
      <c r="A2473" t="str">
        <f>"3151"</f>
        <v>3151</v>
      </c>
      <c r="B2473" t="str">
        <f t="shared" si="153"/>
        <v>1</v>
      </c>
      <c r="C2473" t="str">
        <f t="shared" si="156"/>
        <v>132</v>
      </c>
      <c r="D2473" t="str">
        <f>"11"</f>
        <v>11</v>
      </c>
      <c r="E2473" t="str">
        <f>"1-132-11"</f>
        <v>1-132-11</v>
      </c>
      <c r="F2473" t="s">
        <v>15</v>
      </c>
      <c r="G2473" t="s">
        <v>18</v>
      </c>
      <c r="H2473" t="s">
        <v>19</v>
      </c>
      <c r="I2473">
        <v>0</v>
      </c>
      <c r="J2473">
        <v>0</v>
      </c>
      <c r="K2473">
        <v>1</v>
      </c>
    </row>
    <row r="2474" spans="1:11" x14ac:dyDescent="0.25">
      <c r="A2474" t="str">
        <f>"3152"</f>
        <v>3152</v>
      </c>
      <c r="B2474" t="str">
        <f t="shared" si="153"/>
        <v>1</v>
      </c>
      <c r="C2474" t="str">
        <f t="shared" si="156"/>
        <v>132</v>
      </c>
      <c r="D2474" t="str">
        <f>"4"</f>
        <v>4</v>
      </c>
      <c r="E2474" t="str">
        <f>"1-132-4"</f>
        <v>1-132-4</v>
      </c>
      <c r="F2474" t="s">
        <v>15</v>
      </c>
      <c r="G2474" t="s">
        <v>16</v>
      </c>
      <c r="H2474" t="s">
        <v>17</v>
      </c>
      <c r="I2474">
        <v>0</v>
      </c>
      <c r="J2474">
        <v>0</v>
      </c>
      <c r="K2474">
        <v>1</v>
      </c>
    </row>
    <row r="2475" spans="1:11" x14ac:dyDescent="0.25">
      <c r="A2475" t="str">
        <f>"3153"</f>
        <v>3153</v>
      </c>
      <c r="B2475" t="str">
        <f t="shared" si="153"/>
        <v>1</v>
      </c>
      <c r="C2475" t="str">
        <f t="shared" si="156"/>
        <v>132</v>
      </c>
      <c r="D2475" t="str">
        <f>"8"</f>
        <v>8</v>
      </c>
      <c r="E2475" t="str">
        <f>"1-132-8"</f>
        <v>1-132-8</v>
      </c>
      <c r="F2475" t="s">
        <v>15</v>
      </c>
      <c r="G2475" t="s">
        <v>16</v>
      </c>
      <c r="H2475" t="s">
        <v>17</v>
      </c>
      <c r="I2475">
        <v>0</v>
      </c>
      <c r="J2475">
        <v>1</v>
      </c>
      <c r="K2475">
        <v>0</v>
      </c>
    </row>
    <row r="2476" spans="1:11" x14ac:dyDescent="0.25">
      <c r="A2476" t="str">
        <f>"3154"</f>
        <v>3154</v>
      </c>
      <c r="B2476" t="str">
        <f t="shared" si="153"/>
        <v>1</v>
      </c>
      <c r="C2476" t="str">
        <f t="shared" si="156"/>
        <v>132</v>
      </c>
      <c r="D2476" t="str">
        <f>"1"</f>
        <v>1</v>
      </c>
      <c r="E2476" t="str">
        <f>"1-132-1"</f>
        <v>1-132-1</v>
      </c>
      <c r="F2476" t="s">
        <v>15</v>
      </c>
      <c r="G2476" t="s">
        <v>16</v>
      </c>
      <c r="H2476" t="s">
        <v>17</v>
      </c>
      <c r="I2476">
        <v>1</v>
      </c>
      <c r="J2476">
        <v>0</v>
      </c>
      <c r="K2476">
        <v>0</v>
      </c>
    </row>
    <row r="2477" spans="1:11" x14ac:dyDescent="0.25">
      <c r="A2477" t="str">
        <f>"3155"</f>
        <v>3155</v>
      </c>
      <c r="B2477" t="str">
        <f t="shared" si="153"/>
        <v>1</v>
      </c>
      <c r="C2477" t="str">
        <f t="shared" si="156"/>
        <v>132</v>
      </c>
      <c r="D2477" t="str">
        <f>"7"</f>
        <v>7</v>
      </c>
      <c r="E2477" t="str">
        <f>"1-132-7"</f>
        <v>1-132-7</v>
      </c>
      <c r="F2477" t="s">
        <v>15</v>
      </c>
      <c r="G2477" t="s">
        <v>16</v>
      </c>
      <c r="H2477" t="s">
        <v>17</v>
      </c>
      <c r="I2477">
        <v>1</v>
      </c>
      <c r="J2477">
        <v>0</v>
      </c>
      <c r="K2477">
        <v>0</v>
      </c>
    </row>
    <row r="2478" spans="1:11" x14ac:dyDescent="0.25">
      <c r="A2478" t="str">
        <f>"3156"</f>
        <v>3156</v>
      </c>
      <c r="B2478" t="str">
        <f t="shared" si="153"/>
        <v>1</v>
      </c>
      <c r="C2478" t="str">
        <f t="shared" si="156"/>
        <v>132</v>
      </c>
      <c r="D2478" t="str">
        <f>"5"</f>
        <v>5</v>
      </c>
      <c r="E2478" t="str">
        <f>"1-132-5"</f>
        <v>1-132-5</v>
      </c>
      <c r="F2478" t="s">
        <v>15</v>
      </c>
      <c r="G2478" t="s">
        <v>16</v>
      </c>
      <c r="H2478" t="s">
        <v>17</v>
      </c>
      <c r="I2478">
        <v>0</v>
      </c>
      <c r="J2478">
        <v>0</v>
      </c>
      <c r="K2478">
        <v>1</v>
      </c>
    </row>
    <row r="2479" spans="1:11" x14ac:dyDescent="0.25">
      <c r="A2479" t="str">
        <f>"3157"</f>
        <v>3157</v>
      </c>
      <c r="B2479" t="str">
        <f t="shared" si="153"/>
        <v>1</v>
      </c>
      <c r="C2479" t="str">
        <f t="shared" si="156"/>
        <v>132</v>
      </c>
      <c r="D2479" t="str">
        <f>"14"</f>
        <v>14</v>
      </c>
      <c r="E2479" t="str">
        <f>"1-132-14"</f>
        <v>1-132-14</v>
      </c>
      <c r="F2479" t="s">
        <v>15</v>
      </c>
      <c r="G2479" t="s">
        <v>16</v>
      </c>
      <c r="H2479" t="s">
        <v>17</v>
      </c>
      <c r="I2479">
        <v>0</v>
      </c>
      <c r="J2479">
        <v>0</v>
      </c>
      <c r="K2479">
        <v>1</v>
      </c>
    </row>
    <row r="2480" spans="1:11" x14ac:dyDescent="0.25">
      <c r="A2480" t="str">
        <f>"3158"</f>
        <v>3158</v>
      </c>
      <c r="B2480" t="str">
        <f t="shared" si="153"/>
        <v>1</v>
      </c>
      <c r="C2480" t="str">
        <f t="shared" si="156"/>
        <v>132</v>
      </c>
      <c r="D2480" t="str">
        <f>"9"</f>
        <v>9</v>
      </c>
      <c r="E2480" t="str">
        <f>"1-132-9"</f>
        <v>1-132-9</v>
      </c>
      <c r="F2480" t="s">
        <v>15</v>
      </c>
      <c r="G2480" t="s">
        <v>20</v>
      </c>
      <c r="H2480" t="s">
        <v>21</v>
      </c>
      <c r="I2480">
        <v>1</v>
      </c>
      <c r="J2480">
        <v>0</v>
      </c>
      <c r="K2480">
        <v>0</v>
      </c>
    </row>
    <row r="2481" spans="1:11" x14ac:dyDescent="0.25">
      <c r="A2481" t="str">
        <f>"3159"</f>
        <v>3159</v>
      </c>
      <c r="B2481" t="str">
        <f t="shared" si="153"/>
        <v>1</v>
      </c>
      <c r="C2481" t="str">
        <f t="shared" si="156"/>
        <v>132</v>
      </c>
      <c r="D2481" t="str">
        <f>"6"</f>
        <v>6</v>
      </c>
      <c r="E2481" t="str">
        <f>"1-132-6"</f>
        <v>1-132-6</v>
      </c>
      <c r="F2481" t="s">
        <v>15</v>
      </c>
      <c r="G2481" t="s">
        <v>16</v>
      </c>
      <c r="H2481" t="s">
        <v>17</v>
      </c>
      <c r="I2481">
        <v>0</v>
      </c>
      <c r="J2481">
        <v>1</v>
      </c>
      <c r="K2481">
        <v>0</v>
      </c>
    </row>
    <row r="2482" spans="1:11" x14ac:dyDescent="0.25">
      <c r="A2482" t="str">
        <f>"3160"</f>
        <v>3160</v>
      </c>
      <c r="B2482" t="str">
        <f t="shared" si="153"/>
        <v>1</v>
      </c>
      <c r="C2482" t="str">
        <f t="shared" si="156"/>
        <v>132</v>
      </c>
      <c r="D2482" t="str">
        <f>"18"</f>
        <v>18</v>
      </c>
      <c r="E2482" t="str">
        <f>"1-132-18"</f>
        <v>1-132-18</v>
      </c>
      <c r="F2482" t="s">
        <v>15</v>
      </c>
      <c r="G2482" t="s">
        <v>16</v>
      </c>
      <c r="H2482" t="s">
        <v>17</v>
      </c>
      <c r="I2482">
        <v>0</v>
      </c>
      <c r="J2482">
        <v>0</v>
      </c>
      <c r="K2482">
        <v>0</v>
      </c>
    </row>
    <row r="2483" spans="1:11" x14ac:dyDescent="0.25">
      <c r="A2483" t="str">
        <f>"3161"</f>
        <v>3161</v>
      </c>
      <c r="B2483" t="str">
        <f t="shared" si="153"/>
        <v>1</v>
      </c>
      <c r="C2483" t="str">
        <f t="shared" si="156"/>
        <v>132</v>
      </c>
      <c r="D2483" t="str">
        <f>"2"</f>
        <v>2</v>
      </c>
      <c r="E2483" t="str">
        <f>"1-132-2"</f>
        <v>1-132-2</v>
      </c>
      <c r="F2483" t="s">
        <v>15</v>
      </c>
      <c r="G2483" t="s">
        <v>20</v>
      </c>
      <c r="H2483" t="s">
        <v>21</v>
      </c>
      <c r="I2483">
        <v>1</v>
      </c>
      <c r="J2483">
        <v>0</v>
      </c>
      <c r="K2483">
        <v>0</v>
      </c>
    </row>
    <row r="2484" spans="1:11" x14ac:dyDescent="0.25">
      <c r="A2484" t="str">
        <f>"3162"</f>
        <v>3162</v>
      </c>
      <c r="B2484" t="str">
        <f t="shared" ref="B2484:B2535" si="157">"1"</f>
        <v>1</v>
      </c>
      <c r="C2484" t="str">
        <f t="shared" si="156"/>
        <v>132</v>
      </c>
      <c r="D2484" t="str">
        <f>"10"</f>
        <v>10</v>
      </c>
      <c r="E2484" t="str">
        <f>"1-132-10"</f>
        <v>1-132-10</v>
      </c>
      <c r="F2484" t="s">
        <v>15</v>
      </c>
      <c r="G2484" t="s">
        <v>16</v>
      </c>
      <c r="H2484" t="s">
        <v>17</v>
      </c>
      <c r="I2484">
        <v>0</v>
      </c>
      <c r="J2484">
        <v>0</v>
      </c>
      <c r="K2484">
        <v>0</v>
      </c>
    </row>
    <row r="2485" spans="1:11" x14ac:dyDescent="0.25">
      <c r="A2485" t="str">
        <f>"3163"</f>
        <v>3163</v>
      </c>
      <c r="B2485" t="str">
        <f t="shared" si="157"/>
        <v>1</v>
      </c>
      <c r="C2485" t="str">
        <f t="shared" si="156"/>
        <v>132</v>
      </c>
      <c r="D2485" t="str">
        <f>"12"</f>
        <v>12</v>
      </c>
      <c r="E2485" t="str">
        <f>"1-132-12"</f>
        <v>1-132-12</v>
      </c>
      <c r="F2485" t="s">
        <v>15</v>
      </c>
      <c r="G2485" t="s">
        <v>18</v>
      </c>
      <c r="H2485" t="s">
        <v>19</v>
      </c>
      <c r="I2485">
        <v>0</v>
      </c>
      <c r="J2485">
        <v>0</v>
      </c>
      <c r="K2485">
        <v>0</v>
      </c>
    </row>
    <row r="2486" spans="1:11" x14ac:dyDescent="0.25">
      <c r="A2486" t="str">
        <f>"3164"</f>
        <v>3164</v>
      </c>
      <c r="B2486" t="str">
        <f t="shared" si="157"/>
        <v>1</v>
      </c>
      <c r="C2486" t="str">
        <f t="shared" si="156"/>
        <v>132</v>
      </c>
      <c r="D2486" t="str">
        <f>"13"</f>
        <v>13</v>
      </c>
      <c r="E2486" t="str">
        <f>"1-132-13"</f>
        <v>1-132-13</v>
      </c>
      <c r="F2486" t="s">
        <v>15</v>
      </c>
      <c r="G2486" t="s">
        <v>18</v>
      </c>
      <c r="H2486" t="s">
        <v>19</v>
      </c>
      <c r="I2486">
        <v>0</v>
      </c>
      <c r="J2486">
        <v>0</v>
      </c>
      <c r="K2486">
        <v>0</v>
      </c>
    </row>
    <row r="2487" spans="1:11" x14ac:dyDescent="0.25">
      <c r="A2487" t="str">
        <f>"3165"</f>
        <v>3165</v>
      </c>
      <c r="B2487" t="str">
        <f t="shared" si="157"/>
        <v>1</v>
      </c>
      <c r="C2487" t="str">
        <f t="shared" ref="C2487:C2505" si="158">"133"</f>
        <v>133</v>
      </c>
      <c r="D2487" t="str">
        <f>"22"</f>
        <v>22</v>
      </c>
      <c r="E2487" t="str">
        <f>"1-133-22"</f>
        <v>1-133-22</v>
      </c>
      <c r="F2487" t="s">
        <v>15</v>
      </c>
      <c r="G2487" t="s">
        <v>18</v>
      </c>
      <c r="H2487" t="s">
        <v>19</v>
      </c>
      <c r="I2487">
        <v>0</v>
      </c>
      <c r="J2487">
        <v>0</v>
      </c>
      <c r="K2487">
        <v>1</v>
      </c>
    </row>
    <row r="2488" spans="1:11" x14ac:dyDescent="0.25">
      <c r="A2488" t="str">
        <f>"3166"</f>
        <v>3166</v>
      </c>
      <c r="B2488" t="str">
        <f t="shared" si="157"/>
        <v>1</v>
      </c>
      <c r="C2488" t="str">
        <f t="shared" si="158"/>
        <v>133</v>
      </c>
      <c r="D2488" t="str">
        <f>"1"</f>
        <v>1</v>
      </c>
      <c r="E2488" t="str">
        <f>"1-133-1"</f>
        <v>1-133-1</v>
      </c>
      <c r="F2488" t="s">
        <v>15</v>
      </c>
      <c r="G2488" t="s">
        <v>18</v>
      </c>
      <c r="H2488" t="s">
        <v>19</v>
      </c>
      <c r="I2488">
        <v>0</v>
      </c>
      <c r="J2488">
        <v>1</v>
      </c>
      <c r="K2488">
        <v>0</v>
      </c>
    </row>
    <row r="2489" spans="1:11" x14ac:dyDescent="0.25">
      <c r="A2489" t="str">
        <f>"3167"</f>
        <v>3167</v>
      </c>
      <c r="B2489" t="str">
        <f t="shared" si="157"/>
        <v>1</v>
      </c>
      <c r="C2489" t="str">
        <f t="shared" si="158"/>
        <v>133</v>
      </c>
      <c r="D2489" t="str">
        <f>"2"</f>
        <v>2</v>
      </c>
      <c r="E2489" t="str">
        <f>"1-133-2"</f>
        <v>1-133-2</v>
      </c>
      <c r="F2489" t="s">
        <v>15</v>
      </c>
      <c r="G2489" t="s">
        <v>18</v>
      </c>
      <c r="H2489" t="s">
        <v>19</v>
      </c>
      <c r="I2489">
        <v>0</v>
      </c>
      <c r="J2489">
        <v>0</v>
      </c>
      <c r="K2489">
        <v>1</v>
      </c>
    </row>
    <row r="2490" spans="1:11" x14ac:dyDescent="0.25">
      <c r="A2490" t="str">
        <f>"3169"</f>
        <v>3169</v>
      </c>
      <c r="B2490" t="str">
        <f t="shared" si="157"/>
        <v>1</v>
      </c>
      <c r="C2490" t="str">
        <f t="shared" si="158"/>
        <v>133</v>
      </c>
      <c r="D2490" t="str">
        <f>"18"</f>
        <v>18</v>
      </c>
      <c r="E2490" t="str">
        <f>"1-133-18"</f>
        <v>1-133-18</v>
      </c>
      <c r="F2490" t="s">
        <v>15</v>
      </c>
      <c r="G2490" t="s">
        <v>16</v>
      </c>
      <c r="H2490" t="s">
        <v>17</v>
      </c>
      <c r="I2490">
        <v>1</v>
      </c>
      <c r="J2490">
        <v>0</v>
      </c>
      <c r="K2490">
        <v>0</v>
      </c>
    </row>
    <row r="2491" spans="1:11" x14ac:dyDescent="0.25">
      <c r="A2491" t="str">
        <f>"3171"</f>
        <v>3171</v>
      </c>
      <c r="B2491" t="str">
        <f t="shared" si="157"/>
        <v>1</v>
      </c>
      <c r="C2491" t="str">
        <f t="shared" si="158"/>
        <v>133</v>
      </c>
      <c r="D2491" t="str">
        <f>"19"</f>
        <v>19</v>
      </c>
      <c r="E2491" t="str">
        <f>"1-133-19"</f>
        <v>1-133-19</v>
      </c>
      <c r="F2491" t="s">
        <v>15</v>
      </c>
      <c r="G2491" t="s">
        <v>16</v>
      </c>
      <c r="H2491" t="s">
        <v>17</v>
      </c>
      <c r="I2491">
        <v>1</v>
      </c>
      <c r="J2491">
        <v>0</v>
      </c>
      <c r="K2491">
        <v>0</v>
      </c>
    </row>
    <row r="2492" spans="1:11" x14ac:dyDescent="0.25">
      <c r="A2492" t="str">
        <f>"3174"</f>
        <v>3174</v>
      </c>
      <c r="B2492" t="str">
        <f t="shared" si="157"/>
        <v>1</v>
      </c>
      <c r="C2492" t="str">
        <f t="shared" si="158"/>
        <v>133</v>
      </c>
      <c r="D2492" t="str">
        <f>"21"</f>
        <v>21</v>
      </c>
      <c r="E2492" t="str">
        <f>"1-133-21"</f>
        <v>1-133-21</v>
      </c>
      <c r="F2492" t="s">
        <v>15</v>
      </c>
      <c r="G2492" t="s">
        <v>18</v>
      </c>
      <c r="H2492" t="s">
        <v>19</v>
      </c>
      <c r="I2492">
        <v>0</v>
      </c>
      <c r="J2492">
        <v>1</v>
      </c>
      <c r="K2492">
        <v>0</v>
      </c>
    </row>
    <row r="2493" spans="1:11" x14ac:dyDescent="0.25">
      <c r="A2493" t="str">
        <f>"3175"</f>
        <v>3175</v>
      </c>
      <c r="B2493" t="str">
        <f t="shared" si="157"/>
        <v>1</v>
      </c>
      <c r="C2493" t="str">
        <f t="shared" si="158"/>
        <v>133</v>
      </c>
      <c r="D2493" t="str">
        <f>"8"</f>
        <v>8</v>
      </c>
      <c r="E2493" t="str">
        <f>"1-133-8"</f>
        <v>1-133-8</v>
      </c>
      <c r="F2493" t="s">
        <v>15</v>
      </c>
      <c r="G2493" t="s">
        <v>18</v>
      </c>
      <c r="H2493" t="s">
        <v>19</v>
      </c>
      <c r="I2493">
        <v>1</v>
      </c>
      <c r="J2493">
        <v>0</v>
      </c>
      <c r="K2493">
        <v>0</v>
      </c>
    </row>
    <row r="2494" spans="1:11" x14ac:dyDescent="0.25">
      <c r="A2494" t="str">
        <f>"3176"</f>
        <v>3176</v>
      </c>
      <c r="B2494" t="str">
        <f t="shared" si="157"/>
        <v>1</v>
      </c>
      <c r="C2494" t="str">
        <f t="shared" si="158"/>
        <v>133</v>
      </c>
      <c r="D2494" t="str">
        <f>"23"</f>
        <v>23</v>
      </c>
      <c r="E2494" t="str">
        <f>"1-133-23"</f>
        <v>1-133-23</v>
      </c>
      <c r="F2494" t="s">
        <v>15</v>
      </c>
      <c r="G2494" t="s">
        <v>18</v>
      </c>
      <c r="H2494" t="s">
        <v>19</v>
      </c>
      <c r="I2494">
        <v>1</v>
      </c>
      <c r="J2494">
        <v>0</v>
      </c>
      <c r="K2494">
        <v>0</v>
      </c>
    </row>
    <row r="2495" spans="1:11" x14ac:dyDescent="0.25">
      <c r="A2495" t="str">
        <f>"3177"</f>
        <v>3177</v>
      </c>
      <c r="B2495" t="str">
        <f t="shared" si="157"/>
        <v>1</v>
      </c>
      <c r="C2495" t="str">
        <f t="shared" si="158"/>
        <v>133</v>
      </c>
      <c r="D2495" t="str">
        <f>"10"</f>
        <v>10</v>
      </c>
      <c r="E2495" t="str">
        <f>"1-133-10"</f>
        <v>1-133-10</v>
      </c>
      <c r="F2495" t="s">
        <v>15</v>
      </c>
      <c r="G2495" t="s">
        <v>18</v>
      </c>
      <c r="H2495" t="s">
        <v>19</v>
      </c>
      <c r="I2495">
        <v>0</v>
      </c>
      <c r="J2495">
        <v>0</v>
      </c>
      <c r="K2495">
        <v>1</v>
      </c>
    </row>
    <row r="2496" spans="1:11" x14ac:dyDescent="0.25">
      <c r="A2496" t="str">
        <f>"3179"</f>
        <v>3179</v>
      </c>
      <c r="B2496" t="str">
        <f t="shared" si="157"/>
        <v>1</v>
      </c>
      <c r="C2496" t="str">
        <f t="shared" si="158"/>
        <v>133</v>
      </c>
      <c r="D2496" t="str">
        <f>"14"</f>
        <v>14</v>
      </c>
      <c r="E2496" t="str">
        <f>"1-133-14"</f>
        <v>1-133-14</v>
      </c>
      <c r="F2496" t="s">
        <v>15</v>
      </c>
      <c r="G2496" t="s">
        <v>18</v>
      </c>
      <c r="H2496" t="s">
        <v>19</v>
      </c>
      <c r="I2496">
        <v>1</v>
      </c>
      <c r="J2496">
        <v>0</v>
      </c>
      <c r="K2496">
        <v>0</v>
      </c>
    </row>
    <row r="2497" spans="1:11" x14ac:dyDescent="0.25">
      <c r="A2497" t="str">
        <f>"3180"</f>
        <v>3180</v>
      </c>
      <c r="B2497" t="str">
        <f t="shared" si="157"/>
        <v>1</v>
      </c>
      <c r="C2497" t="str">
        <f t="shared" si="158"/>
        <v>133</v>
      </c>
      <c r="D2497" t="str">
        <f>"6"</f>
        <v>6</v>
      </c>
      <c r="E2497" t="str">
        <f>"1-133-6"</f>
        <v>1-133-6</v>
      </c>
      <c r="F2497" t="s">
        <v>15</v>
      </c>
      <c r="G2497" t="s">
        <v>18</v>
      </c>
      <c r="H2497" t="s">
        <v>19</v>
      </c>
      <c r="I2497">
        <v>0</v>
      </c>
      <c r="J2497">
        <v>0</v>
      </c>
      <c r="K2497">
        <v>1</v>
      </c>
    </row>
    <row r="2498" spans="1:11" x14ac:dyDescent="0.25">
      <c r="A2498" t="str">
        <f>"3181"</f>
        <v>3181</v>
      </c>
      <c r="B2498" t="str">
        <f t="shared" si="157"/>
        <v>1</v>
      </c>
      <c r="C2498" t="str">
        <f t="shared" si="158"/>
        <v>133</v>
      </c>
      <c r="D2498" t="str">
        <f>"7"</f>
        <v>7</v>
      </c>
      <c r="E2498" t="str">
        <f>"1-133-7"</f>
        <v>1-133-7</v>
      </c>
      <c r="F2498" t="s">
        <v>15</v>
      </c>
      <c r="G2498" t="s">
        <v>18</v>
      </c>
      <c r="H2498" t="s">
        <v>19</v>
      </c>
      <c r="I2498">
        <v>1</v>
      </c>
      <c r="J2498">
        <v>0</v>
      </c>
      <c r="K2498">
        <v>0</v>
      </c>
    </row>
    <row r="2499" spans="1:11" x14ac:dyDescent="0.25">
      <c r="A2499" t="str">
        <f>"3182"</f>
        <v>3182</v>
      </c>
      <c r="B2499" t="str">
        <f t="shared" si="157"/>
        <v>1</v>
      </c>
      <c r="C2499" t="str">
        <f t="shared" si="158"/>
        <v>133</v>
      </c>
      <c r="D2499" t="str">
        <f>"4"</f>
        <v>4</v>
      </c>
      <c r="E2499" t="str">
        <f>"1-133-4"</f>
        <v>1-133-4</v>
      </c>
      <c r="F2499" t="s">
        <v>15</v>
      </c>
      <c r="G2499" t="s">
        <v>18</v>
      </c>
      <c r="H2499" t="s">
        <v>19</v>
      </c>
      <c r="I2499">
        <v>0</v>
      </c>
      <c r="J2499">
        <v>0</v>
      </c>
      <c r="K2499">
        <v>1</v>
      </c>
    </row>
    <row r="2500" spans="1:11" x14ac:dyDescent="0.25">
      <c r="A2500" t="str">
        <f>"3183"</f>
        <v>3183</v>
      </c>
      <c r="B2500" t="str">
        <f t="shared" si="157"/>
        <v>1</v>
      </c>
      <c r="C2500" t="str">
        <f t="shared" si="158"/>
        <v>133</v>
      </c>
      <c r="D2500" t="str">
        <f>"3"</f>
        <v>3</v>
      </c>
      <c r="E2500" t="str">
        <f>"1-133-3"</f>
        <v>1-133-3</v>
      </c>
      <c r="F2500" t="s">
        <v>15</v>
      </c>
      <c r="G2500" t="s">
        <v>18</v>
      </c>
      <c r="H2500" t="s">
        <v>19</v>
      </c>
      <c r="I2500">
        <v>0</v>
      </c>
      <c r="J2500">
        <v>0</v>
      </c>
      <c r="K2500">
        <v>1</v>
      </c>
    </row>
    <row r="2501" spans="1:11" x14ac:dyDescent="0.25">
      <c r="A2501" t="str">
        <f>"3184"</f>
        <v>3184</v>
      </c>
      <c r="B2501" t="str">
        <f t="shared" si="157"/>
        <v>1</v>
      </c>
      <c r="C2501" t="str">
        <f t="shared" si="158"/>
        <v>133</v>
      </c>
      <c r="D2501" t="str">
        <f>"9"</f>
        <v>9</v>
      </c>
      <c r="E2501" t="str">
        <f>"1-133-9"</f>
        <v>1-133-9</v>
      </c>
      <c r="F2501" t="s">
        <v>15</v>
      </c>
      <c r="G2501" t="s">
        <v>18</v>
      </c>
      <c r="H2501" t="s">
        <v>19</v>
      </c>
      <c r="I2501">
        <v>0</v>
      </c>
      <c r="J2501">
        <v>0</v>
      </c>
      <c r="K2501">
        <v>1</v>
      </c>
    </row>
    <row r="2502" spans="1:11" x14ac:dyDescent="0.25">
      <c r="A2502" t="str">
        <f>"3185"</f>
        <v>3185</v>
      </c>
      <c r="B2502" t="str">
        <f t="shared" si="157"/>
        <v>1</v>
      </c>
      <c r="C2502" t="str">
        <f t="shared" si="158"/>
        <v>133</v>
      </c>
      <c r="D2502" t="str">
        <f>"15"</f>
        <v>15</v>
      </c>
      <c r="E2502" t="str">
        <f>"1-133-15"</f>
        <v>1-133-15</v>
      </c>
      <c r="F2502" t="s">
        <v>15</v>
      </c>
      <c r="G2502" t="s">
        <v>18</v>
      </c>
      <c r="H2502" t="s">
        <v>19</v>
      </c>
      <c r="I2502">
        <v>0</v>
      </c>
      <c r="J2502">
        <v>0</v>
      </c>
      <c r="K2502">
        <v>0</v>
      </c>
    </row>
    <row r="2503" spans="1:11" x14ac:dyDescent="0.25">
      <c r="A2503" t="str">
        <f>"3186"</f>
        <v>3186</v>
      </c>
      <c r="B2503" t="str">
        <f t="shared" si="157"/>
        <v>1</v>
      </c>
      <c r="C2503" t="str">
        <f t="shared" si="158"/>
        <v>133</v>
      </c>
      <c r="D2503" t="str">
        <f>"20"</f>
        <v>20</v>
      </c>
      <c r="E2503" t="str">
        <f>"1-133-20"</f>
        <v>1-133-20</v>
      </c>
      <c r="F2503" t="s">
        <v>15</v>
      </c>
      <c r="G2503" t="s">
        <v>18</v>
      </c>
      <c r="H2503" t="s">
        <v>19</v>
      </c>
      <c r="I2503">
        <v>0</v>
      </c>
      <c r="J2503">
        <v>0</v>
      </c>
      <c r="K2503">
        <v>0</v>
      </c>
    </row>
    <row r="2504" spans="1:11" x14ac:dyDescent="0.25">
      <c r="A2504" t="str">
        <f>"3187"</f>
        <v>3187</v>
      </c>
      <c r="B2504" t="str">
        <f t="shared" si="157"/>
        <v>1</v>
      </c>
      <c r="C2504" t="str">
        <f t="shared" si="158"/>
        <v>133</v>
      </c>
      <c r="D2504" t="str">
        <f>"17"</f>
        <v>17</v>
      </c>
      <c r="E2504" t="str">
        <f>"1-133-17"</f>
        <v>1-133-17</v>
      </c>
      <c r="F2504" t="s">
        <v>15</v>
      </c>
      <c r="G2504" t="s">
        <v>18</v>
      </c>
      <c r="H2504" t="s">
        <v>19</v>
      </c>
      <c r="I2504">
        <v>0</v>
      </c>
      <c r="J2504">
        <v>0</v>
      </c>
      <c r="K2504">
        <v>0</v>
      </c>
    </row>
    <row r="2505" spans="1:11" x14ac:dyDescent="0.25">
      <c r="A2505" t="str">
        <f>"3188"</f>
        <v>3188</v>
      </c>
      <c r="B2505" t="str">
        <f t="shared" si="157"/>
        <v>1</v>
      </c>
      <c r="C2505" t="str">
        <f t="shared" si="158"/>
        <v>133</v>
      </c>
      <c r="D2505" t="str">
        <f>"16"</f>
        <v>16</v>
      </c>
      <c r="E2505" t="str">
        <f>"1-133-16"</f>
        <v>1-133-16</v>
      </c>
      <c r="F2505" t="s">
        <v>15</v>
      </c>
      <c r="G2505" t="s">
        <v>18</v>
      </c>
      <c r="H2505" t="s">
        <v>19</v>
      </c>
      <c r="I2505">
        <v>0</v>
      </c>
      <c r="J2505">
        <v>0</v>
      </c>
      <c r="K2505">
        <v>0</v>
      </c>
    </row>
    <row r="2506" spans="1:11" x14ac:dyDescent="0.25">
      <c r="A2506" t="str">
        <f>"3189"</f>
        <v>3189</v>
      </c>
      <c r="B2506" t="str">
        <f t="shared" si="157"/>
        <v>1</v>
      </c>
      <c r="C2506" t="str">
        <f t="shared" ref="C2506:C2526" si="159">"134"</f>
        <v>134</v>
      </c>
      <c r="D2506" t="str">
        <f>"20"</f>
        <v>20</v>
      </c>
      <c r="E2506" t="str">
        <f>"1-134-20"</f>
        <v>1-134-20</v>
      </c>
      <c r="F2506" t="s">
        <v>15</v>
      </c>
      <c r="G2506" t="s">
        <v>16</v>
      </c>
      <c r="H2506" t="s">
        <v>17</v>
      </c>
      <c r="I2506">
        <v>1</v>
      </c>
      <c r="J2506">
        <v>0</v>
      </c>
      <c r="K2506">
        <v>0</v>
      </c>
    </row>
    <row r="2507" spans="1:11" x14ac:dyDescent="0.25">
      <c r="A2507" t="str">
        <f>"3190"</f>
        <v>3190</v>
      </c>
      <c r="B2507" t="str">
        <f t="shared" si="157"/>
        <v>1</v>
      </c>
      <c r="C2507" t="str">
        <f t="shared" si="159"/>
        <v>134</v>
      </c>
      <c r="D2507" t="str">
        <f>"15"</f>
        <v>15</v>
      </c>
      <c r="E2507" t="str">
        <f>"1-134-15"</f>
        <v>1-134-15</v>
      </c>
      <c r="F2507" t="s">
        <v>15</v>
      </c>
      <c r="G2507" t="s">
        <v>16</v>
      </c>
      <c r="H2507" t="s">
        <v>17</v>
      </c>
      <c r="I2507">
        <v>1</v>
      </c>
      <c r="J2507">
        <v>0</v>
      </c>
      <c r="K2507">
        <v>0</v>
      </c>
    </row>
    <row r="2508" spans="1:11" x14ac:dyDescent="0.25">
      <c r="A2508" t="str">
        <f>"3192"</f>
        <v>3192</v>
      </c>
      <c r="B2508" t="str">
        <f t="shared" si="157"/>
        <v>1</v>
      </c>
      <c r="C2508" t="str">
        <f t="shared" si="159"/>
        <v>134</v>
      </c>
      <c r="D2508" t="str">
        <f>"21"</f>
        <v>21</v>
      </c>
      <c r="E2508" t="str">
        <f>"1-134-21"</f>
        <v>1-134-21</v>
      </c>
      <c r="F2508" t="s">
        <v>15</v>
      </c>
      <c r="G2508" t="s">
        <v>16</v>
      </c>
      <c r="H2508" t="s">
        <v>17</v>
      </c>
      <c r="I2508">
        <v>0</v>
      </c>
      <c r="J2508">
        <v>0</v>
      </c>
      <c r="K2508">
        <v>1</v>
      </c>
    </row>
    <row r="2509" spans="1:11" x14ac:dyDescent="0.25">
      <c r="A2509" t="str">
        <f>"3193"</f>
        <v>3193</v>
      </c>
      <c r="B2509" t="str">
        <f t="shared" si="157"/>
        <v>1</v>
      </c>
      <c r="C2509" t="str">
        <f t="shared" si="159"/>
        <v>134</v>
      </c>
      <c r="D2509" t="str">
        <f>"16"</f>
        <v>16</v>
      </c>
      <c r="E2509" t="str">
        <f>"1-134-16"</f>
        <v>1-134-16</v>
      </c>
      <c r="F2509" t="s">
        <v>15</v>
      </c>
      <c r="G2509" t="s">
        <v>16</v>
      </c>
      <c r="H2509" t="s">
        <v>17</v>
      </c>
      <c r="I2509">
        <v>0</v>
      </c>
      <c r="J2509">
        <v>0</v>
      </c>
      <c r="K2509">
        <v>1</v>
      </c>
    </row>
    <row r="2510" spans="1:11" x14ac:dyDescent="0.25">
      <c r="A2510" t="str">
        <f>"3194"</f>
        <v>3194</v>
      </c>
      <c r="B2510" t="str">
        <f t="shared" si="157"/>
        <v>1</v>
      </c>
      <c r="C2510" t="str">
        <f t="shared" si="159"/>
        <v>134</v>
      </c>
      <c r="D2510" t="str">
        <f>"17"</f>
        <v>17</v>
      </c>
      <c r="E2510" t="str">
        <f>"1-134-17"</f>
        <v>1-134-17</v>
      </c>
      <c r="F2510" t="s">
        <v>15</v>
      </c>
      <c r="G2510" t="s">
        <v>16</v>
      </c>
      <c r="H2510" t="s">
        <v>17</v>
      </c>
      <c r="I2510">
        <v>1</v>
      </c>
      <c r="J2510">
        <v>0</v>
      </c>
      <c r="K2510">
        <v>0</v>
      </c>
    </row>
    <row r="2511" spans="1:11" x14ac:dyDescent="0.25">
      <c r="A2511" t="str">
        <f>"3196"</f>
        <v>3196</v>
      </c>
      <c r="B2511" t="str">
        <f t="shared" si="157"/>
        <v>1</v>
      </c>
      <c r="C2511" t="str">
        <f t="shared" si="159"/>
        <v>134</v>
      </c>
      <c r="D2511" t="str">
        <f>"18"</f>
        <v>18</v>
      </c>
      <c r="E2511" t="str">
        <f>"1-134-18"</f>
        <v>1-134-18</v>
      </c>
      <c r="F2511" t="s">
        <v>15</v>
      </c>
      <c r="G2511" t="s">
        <v>16</v>
      </c>
      <c r="H2511" t="s">
        <v>17</v>
      </c>
      <c r="I2511">
        <v>0</v>
      </c>
      <c r="J2511">
        <v>1</v>
      </c>
      <c r="K2511">
        <v>0</v>
      </c>
    </row>
    <row r="2512" spans="1:11" x14ac:dyDescent="0.25">
      <c r="A2512" t="str">
        <f>"3199"</f>
        <v>3199</v>
      </c>
      <c r="B2512" t="str">
        <f t="shared" si="157"/>
        <v>1</v>
      </c>
      <c r="C2512" t="str">
        <f t="shared" si="159"/>
        <v>134</v>
      </c>
      <c r="D2512" t="str">
        <f>"22"</f>
        <v>22</v>
      </c>
      <c r="E2512" t="str">
        <f>"1-134-22"</f>
        <v>1-134-22</v>
      </c>
      <c r="F2512" t="s">
        <v>15</v>
      </c>
      <c r="G2512" t="s">
        <v>16</v>
      </c>
      <c r="H2512" t="s">
        <v>17</v>
      </c>
      <c r="I2512">
        <v>0</v>
      </c>
      <c r="J2512">
        <v>0</v>
      </c>
      <c r="K2512">
        <v>1</v>
      </c>
    </row>
    <row r="2513" spans="1:11" x14ac:dyDescent="0.25">
      <c r="A2513" t="str">
        <f>"3200"</f>
        <v>3200</v>
      </c>
      <c r="B2513" t="str">
        <f t="shared" si="157"/>
        <v>1</v>
      </c>
      <c r="C2513" t="str">
        <f t="shared" si="159"/>
        <v>134</v>
      </c>
      <c r="D2513" t="str">
        <f>"9"</f>
        <v>9</v>
      </c>
      <c r="E2513" t="str">
        <f>"1-134-9"</f>
        <v>1-134-9</v>
      </c>
      <c r="F2513" t="s">
        <v>15</v>
      </c>
      <c r="G2513" t="s">
        <v>16</v>
      </c>
      <c r="H2513" t="s">
        <v>17</v>
      </c>
      <c r="I2513">
        <v>1</v>
      </c>
      <c r="J2513">
        <v>0</v>
      </c>
      <c r="K2513">
        <v>0</v>
      </c>
    </row>
    <row r="2514" spans="1:11" x14ac:dyDescent="0.25">
      <c r="A2514" t="str">
        <f>"3201"</f>
        <v>3201</v>
      </c>
      <c r="B2514" t="str">
        <f t="shared" si="157"/>
        <v>1</v>
      </c>
      <c r="C2514" t="str">
        <f t="shared" si="159"/>
        <v>134</v>
      </c>
      <c r="D2514" t="str">
        <f>"23"</f>
        <v>23</v>
      </c>
      <c r="E2514" t="str">
        <f>"1-134-23"</f>
        <v>1-134-23</v>
      </c>
      <c r="F2514" t="s">
        <v>15</v>
      </c>
      <c r="G2514" t="s">
        <v>16</v>
      </c>
      <c r="H2514" t="s">
        <v>17</v>
      </c>
      <c r="I2514">
        <v>0</v>
      </c>
      <c r="J2514">
        <v>1</v>
      </c>
      <c r="K2514">
        <v>0</v>
      </c>
    </row>
    <row r="2515" spans="1:11" x14ac:dyDescent="0.25">
      <c r="A2515" t="str">
        <f>"3202"</f>
        <v>3202</v>
      </c>
      <c r="B2515" t="str">
        <f t="shared" si="157"/>
        <v>1</v>
      </c>
      <c r="C2515" t="str">
        <f t="shared" si="159"/>
        <v>134</v>
      </c>
      <c r="D2515" t="str">
        <f>"3"</f>
        <v>3</v>
      </c>
      <c r="E2515" t="str">
        <f>"1-134-3"</f>
        <v>1-134-3</v>
      </c>
      <c r="F2515" t="s">
        <v>15</v>
      </c>
      <c r="G2515" t="s">
        <v>16</v>
      </c>
      <c r="H2515" t="s">
        <v>17</v>
      </c>
      <c r="I2515">
        <v>0</v>
      </c>
      <c r="J2515">
        <v>0</v>
      </c>
      <c r="K2515">
        <v>1</v>
      </c>
    </row>
    <row r="2516" spans="1:11" x14ac:dyDescent="0.25">
      <c r="A2516" t="str">
        <f>"3203"</f>
        <v>3203</v>
      </c>
      <c r="B2516" t="str">
        <f t="shared" si="157"/>
        <v>1</v>
      </c>
      <c r="C2516" t="str">
        <f t="shared" si="159"/>
        <v>134</v>
      </c>
      <c r="D2516" t="str">
        <f>"13"</f>
        <v>13</v>
      </c>
      <c r="E2516" t="str">
        <f>"1-134-13"</f>
        <v>1-134-13</v>
      </c>
      <c r="F2516" t="s">
        <v>15</v>
      </c>
      <c r="G2516" t="s">
        <v>16</v>
      </c>
      <c r="H2516" t="s">
        <v>17</v>
      </c>
      <c r="I2516">
        <v>0</v>
      </c>
      <c r="J2516">
        <v>1</v>
      </c>
      <c r="K2516">
        <v>0</v>
      </c>
    </row>
    <row r="2517" spans="1:11" x14ac:dyDescent="0.25">
      <c r="A2517" t="str">
        <f>"3204"</f>
        <v>3204</v>
      </c>
      <c r="B2517" t="str">
        <f t="shared" si="157"/>
        <v>1</v>
      </c>
      <c r="C2517" t="str">
        <f t="shared" si="159"/>
        <v>134</v>
      </c>
      <c r="D2517" t="str">
        <f>"14"</f>
        <v>14</v>
      </c>
      <c r="E2517" t="str">
        <f>"1-134-14"</f>
        <v>1-134-14</v>
      </c>
      <c r="F2517" t="s">
        <v>15</v>
      </c>
      <c r="G2517" t="s">
        <v>16</v>
      </c>
      <c r="H2517" t="s">
        <v>17</v>
      </c>
      <c r="I2517">
        <v>1</v>
      </c>
      <c r="J2517">
        <v>0</v>
      </c>
      <c r="K2517">
        <v>0</v>
      </c>
    </row>
    <row r="2518" spans="1:11" x14ac:dyDescent="0.25">
      <c r="A2518" t="str">
        <f>"3205"</f>
        <v>3205</v>
      </c>
      <c r="B2518" t="str">
        <f t="shared" si="157"/>
        <v>1</v>
      </c>
      <c r="C2518" t="str">
        <f t="shared" si="159"/>
        <v>134</v>
      </c>
      <c r="D2518" t="str">
        <f>"6"</f>
        <v>6</v>
      </c>
      <c r="E2518" t="str">
        <f>"1-134-6"</f>
        <v>1-134-6</v>
      </c>
      <c r="F2518" t="s">
        <v>15</v>
      </c>
      <c r="G2518" t="s">
        <v>18</v>
      </c>
      <c r="H2518" t="s">
        <v>19</v>
      </c>
      <c r="I2518">
        <v>0</v>
      </c>
      <c r="J2518">
        <v>1</v>
      </c>
      <c r="K2518">
        <v>0</v>
      </c>
    </row>
    <row r="2519" spans="1:11" x14ac:dyDescent="0.25">
      <c r="A2519" t="str">
        <f>"3206"</f>
        <v>3206</v>
      </c>
      <c r="B2519" t="str">
        <f t="shared" si="157"/>
        <v>1</v>
      </c>
      <c r="C2519" t="str">
        <f t="shared" si="159"/>
        <v>134</v>
      </c>
      <c r="D2519" t="str">
        <f>"4"</f>
        <v>4</v>
      </c>
      <c r="E2519" t="str">
        <f>"1-134-4"</f>
        <v>1-134-4</v>
      </c>
      <c r="F2519" t="s">
        <v>15</v>
      </c>
      <c r="G2519" t="s">
        <v>16</v>
      </c>
      <c r="H2519" t="s">
        <v>17</v>
      </c>
      <c r="I2519">
        <v>0</v>
      </c>
      <c r="J2519">
        <v>0</v>
      </c>
      <c r="K2519">
        <v>1</v>
      </c>
    </row>
    <row r="2520" spans="1:11" x14ac:dyDescent="0.25">
      <c r="A2520" t="str">
        <f>"3207"</f>
        <v>3207</v>
      </c>
      <c r="B2520" t="str">
        <f t="shared" si="157"/>
        <v>1</v>
      </c>
      <c r="C2520" t="str">
        <f t="shared" si="159"/>
        <v>134</v>
      </c>
      <c r="D2520" t="str">
        <f>"12"</f>
        <v>12</v>
      </c>
      <c r="E2520" t="str">
        <f>"1-134-12"</f>
        <v>1-134-12</v>
      </c>
      <c r="F2520" t="s">
        <v>15</v>
      </c>
      <c r="G2520" t="s">
        <v>16</v>
      </c>
      <c r="H2520" t="s">
        <v>17</v>
      </c>
      <c r="I2520">
        <v>0</v>
      </c>
      <c r="J2520">
        <v>1</v>
      </c>
      <c r="K2520">
        <v>0</v>
      </c>
    </row>
    <row r="2521" spans="1:11" x14ac:dyDescent="0.25">
      <c r="A2521" t="str">
        <f>"3208"</f>
        <v>3208</v>
      </c>
      <c r="B2521" t="str">
        <f t="shared" si="157"/>
        <v>1</v>
      </c>
      <c r="C2521" t="str">
        <f t="shared" si="159"/>
        <v>134</v>
      </c>
      <c r="D2521" t="str">
        <f>"11"</f>
        <v>11</v>
      </c>
      <c r="E2521" t="str">
        <f>"1-134-11"</f>
        <v>1-134-11</v>
      </c>
      <c r="F2521" t="s">
        <v>15</v>
      </c>
      <c r="G2521" t="s">
        <v>16</v>
      </c>
      <c r="H2521" t="s">
        <v>17</v>
      </c>
      <c r="I2521">
        <v>0</v>
      </c>
      <c r="J2521">
        <v>0</v>
      </c>
      <c r="K2521">
        <v>1</v>
      </c>
    </row>
    <row r="2522" spans="1:11" x14ac:dyDescent="0.25">
      <c r="A2522" t="str">
        <f>"3209"</f>
        <v>3209</v>
      </c>
      <c r="B2522" t="str">
        <f t="shared" si="157"/>
        <v>1</v>
      </c>
      <c r="C2522" t="str">
        <f t="shared" si="159"/>
        <v>134</v>
      </c>
      <c r="D2522" t="str">
        <f>"2"</f>
        <v>2</v>
      </c>
      <c r="E2522" t="str">
        <f>"1-134-2"</f>
        <v>1-134-2</v>
      </c>
      <c r="F2522" t="s">
        <v>15</v>
      </c>
      <c r="G2522" t="s">
        <v>16</v>
      </c>
      <c r="H2522" t="s">
        <v>17</v>
      </c>
      <c r="I2522">
        <v>0</v>
      </c>
      <c r="J2522">
        <v>0</v>
      </c>
      <c r="K2522">
        <v>1</v>
      </c>
    </row>
    <row r="2523" spans="1:11" x14ac:dyDescent="0.25">
      <c r="A2523" t="str">
        <f>"3210"</f>
        <v>3210</v>
      </c>
      <c r="B2523" t="str">
        <f t="shared" si="157"/>
        <v>1</v>
      </c>
      <c r="C2523" t="str">
        <f t="shared" si="159"/>
        <v>134</v>
      </c>
      <c r="D2523" t="str">
        <f>"19"</f>
        <v>19</v>
      </c>
      <c r="E2523" t="str">
        <f>"1-134-19"</f>
        <v>1-134-19</v>
      </c>
      <c r="F2523" t="s">
        <v>15</v>
      </c>
      <c r="G2523" t="s">
        <v>16</v>
      </c>
      <c r="H2523" t="s">
        <v>17</v>
      </c>
      <c r="I2523">
        <v>0</v>
      </c>
      <c r="J2523">
        <v>0</v>
      </c>
      <c r="K2523">
        <v>0</v>
      </c>
    </row>
    <row r="2524" spans="1:11" x14ac:dyDescent="0.25">
      <c r="A2524" t="str">
        <f>"3211"</f>
        <v>3211</v>
      </c>
      <c r="B2524" t="str">
        <f t="shared" si="157"/>
        <v>1</v>
      </c>
      <c r="C2524" t="str">
        <f t="shared" si="159"/>
        <v>134</v>
      </c>
      <c r="D2524" t="str">
        <f>"5"</f>
        <v>5</v>
      </c>
      <c r="E2524" t="str">
        <f>"1-134-5"</f>
        <v>1-134-5</v>
      </c>
      <c r="F2524" t="s">
        <v>15</v>
      </c>
      <c r="G2524" t="s">
        <v>18</v>
      </c>
      <c r="H2524" t="s">
        <v>19</v>
      </c>
      <c r="I2524">
        <v>0</v>
      </c>
      <c r="J2524">
        <v>0</v>
      </c>
      <c r="K2524">
        <v>0</v>
      </c>
    </row>
    <row r="2525" spans="1:11" x14ac:dyDescent="0.25">
      <c r="A2525" t="str">
        <f>"3212"</f>
        <v>3212</v>
      </c>
      <c r="B2525" t="str">
        <f t="shared" si="157"/>
        <v>1</v>
      </c>
      <c r="C2525" t="str">
        <f t="shared" si="159"/>
        <v>134</v>
      </c>
      <c r="D2525" t="str">
        <f>"24"</f>
        <v>24</v>
      </c>
      <c r="E2525" t="str">
        <f>"1-134-24"</f>
        <v>1-134-24</v>
      </c>
      <c r="F2525" t="s">
        <v>15</v>
      </c>
      <c r="G2525" t="s">
        <v>16</v>
      </c>
      <c r="H2525" t="s">
        <v>17</v>
      </c>
      <c r="I2525">
        <v>0</v>
      </c>
      <c r="J2525">
        <v>0</v>
      </c>
      <c r="K2525">
        <v>0</v>
      </c>
    </row>
    <row r="2526" spans="1:11" x14ac:dyDescent="0.25">
      <c r="A2526" t="str">
        <f>"3213"</f>
        <v>3213</v>
      </c>
      <c r="B2526" t="str">
        <f t="shared" si="157"/>
        <v>1</v>
      </c>
      <c r="C2526" t="str">
        <f t="shared" si="159"/>
        <v>134</v>
      </c>
      <c r="D2526" t="str">
        <f>"25"</f>
        <v>25</v>
      </c>
      <c r="E2526" t="str">
        <f>"1-134-25"</f>
        <v>1-134-25</v>
      </c>
      <c r="F2526" t="s">
        <v>15</v>
      </c>
      <c r="G2526" t="s">
        <v>16</v>
      </c>
      <c r="H2526" t="s">
        <v>17</v>
      </c>
      <c r="I2526">
        <v>0</v>
      </c>
      <c r="J2526">
        <v>0</v>
      </c>
      <c r="K2526">
        <v>0</v>
      </c>
    </row>
    <row r="2527" spans="1:11" x14ac:dyDescent="0.25">
      <c r="A2527" t="str">
        <f>"3214"</f>
        <v>3214</v>
      </c>
      <c r="B2527" t="str">
        <f t="shared" si="157"/>
        <v>1</v>
      </c>
      <c r="C2527" t="str">
        <f t="shared" ref="C2527:C2543" si="160">"135"</f>
        <v>135</v>
      </c>
      <c r="D2527" t="str">
        <f>"15"</f>
        <v>15</v>
      </c>
      <c r="E2527" t="str">
        <f>"1-135-15"</f>
        <v>1-135-15</v>
      </c>
      <c r="F2527" t="s">
        <v>15</v>
      </c>
      <c r="G2527" t="s">
        <v>20</v>
      </c>
      <c r="H2527" t="s">
        <v>21</v>
      </c>
      <c r="I2527">
        <v>0</v>
      </c>
      <c r="J2527">
        <v>0</v>
      </c>
      <c r="K2527">
        <v>1</v>
      </c>
    </row>
    <row r="2528" spans="1:11" x14ac:dyDescent="0.25">
      <c r="A2528" t="str">
        <f>"3215"</f>
        <v>3215</v>
      </c>
      <c r="B2528" t="str">
        <f t="shared" si="157"/>
        <v>1</v>
      </c>
      <c r="C2528" t="str">
        <f t="shared" si="160"/>
        <v>135</v>
      </c>
      <c r="D2528" t="str">
        <f>"16"</f>
        <v>16</v>
      </c>
      <c r="E2528" t="str">
        <f>"1-135-16"</f>
        <v>1-135-16</v>
      </c>
      <c r="F2528" t="s">
        <v>15</v>
      </c>
      <c r="G2528" t="s">
        <v>20</v>
      </c>
      <c r="H2528" t="s">
        <v>21</v>
      </c>
      <c r="I2528">
        <v>0</v>
      </c>
      <c r="J2528">
        <v>0</v>
      </c>
      <c r="K2528">
        <v>1</v>
      </c>
    </row>
    <row r="2529" spans="1:11" x14ac:dyDescent="0.25">
      <c r="A2529" t="str">
        <f>"3216"</f>
        <v>3216</v>
      </c>
      <c r="B2529" t="str">
        <f t="shared" si="157"/>
        <v>1</v>
      </c>
      <c r="C2529" t="str">
        <f t="shared" si="160"/>
        <v>135</v>
      </c>
      <c r="D2529" t="str">
        <f>"6"</f>
        <v>6</v>
      </c>
      <c r="E2529" t="str">
        <f>"1-135-6"</f>
        <v>1-135-6</v>
      </c>
      <c r="F2529" t="s">
        <v>15</v>
      </c>
      <c r="G2529" t="s">
        <v>20</v>
      </c>
      <c r="H2529" t="s">
        <v>21</v>
      </c>
      <c r="I2529">
        <v>1</v>
      </c>
      <c r="J2529">
        <v>0</v>
      </c>
      <c r="K2529">
        <v>0</v>
      </c>
    </row>
    <row r="2530" spans="1:11" x14ac:dyDescent="0.25">
      <c r="A2530" t="str">
        <f>"3217"</f>
        <v>3217</v>
      </c>
      <c r="B2530" t="str">
        <f t="shared" si="157"/>
        <v>1</v>
      </c>
      <c r="C2530" t="str">
        <f t="shared" si="160"/>
        <v>135</v>
      </c>
      <c r="D2530" t="str">
        <f>"17"</f>
        <v>17</v>
      </c>
      <c r="E2530" t="str">
        <f>"1-135-17"</f>
        <v>1-135-17</v>
      </c>
      <c r="F2530" t="s">
        <v>15</v>
      </c>
      <c r="G2530" t="s">
        <v>20</v>
      </c>
      <c r="H2530" t="s">
        <v>21</v>
      </c>
      <c r="I2530">
        <v>1</v>
      </c>
      <c r="J2530">
        <v>0</v>
      </c>
      <c r="K2530">
        <v>0</v>
      </c>
    </row>
    <row r="2531" spans="1:11" x14ac:dyDescent="0.25">
      <c r="A2531" t="str">
        <f>"3220"</f>
        <v>3220</v>
      </c>
      <c r="B2531" t="str">
        <f t="shared" si="157"/>
        <v>1</v>
      </c>
      <c r="C2531" t="str">
        <f t="shared" si="160"/>
        <v>135</v>
      </c>
      <c r="D2531" t="str">
        <f>"1"</f>
        <v>1</v>
      </c>
      <c r="E2531" t="str">
        <f>"1-135-1"</f>
        <v>1-135-1</v>
      </c>
      <c r="F2531" t="s">
        <v>15</v>
      </c>
      <c r="G2531" t="s">
        <v>20</v>
      </c>
      <c r="H2531" t="s">
        <v>21</v>
      </c>
      <c r="I2531">
        <v>1</v>
      </c>
      <c r="J2531">
        <v>0</v>
      </c>
      <c r="K2531">
        <v>0</v>
      </c>
    </row>
    <row r="2532" spans="1:11" x14ac:dyDescent="0.25">
      <c r="A2532" t="str">
        <f>"3222"</f>
        <v>3222</v>
      </c>
      <c r="B2532" t="str">
        <f t="shared" si="157"/>
        <v>1</v>
      </c>
      <c r="C2532" t="str">
        <f t="shared" si="160"/>
        <v>135</v>
      </c>
      <c r="D2532" t="str">
        <f>"5"</f>
        <v>5</v>
      </c>
      <c r="E2532" t="str">
        <f>"1-135-5"</f>
        <v>1-135-5</v>
      </c>
      <c r="F2532" t="s">
        <v>15</v>
      </c>
      <c r="G2532" t="s">
        <v>20</v>
      </c>
      <c r="H2532" t="s">
        <v>21</v>
      </c>
      <c r="I2532">
        <v>0</v>
      </c>
      <c r="J2532">
        <v>0</v>
      </c>
      <c r="K2532">
        <v>1</v>
      </c>
    </row>
    <row r="2533" spans="1:11" x14ac:dyDescent="0.25">
      <c r="A2533" t="str">
        <f>"3223"</f>
        <v>3223</v>
      </c>
      <c r="B2533" t="str">
        <f t="shared" si="157"/>
        <v>1</v>
      </c>
      <c r="C2533" t="str">
        <f t="shared" si="160"/>
        <v>135</v>
      </c>
      <c r="D2533" t="str">
        <f>"20"</f>
        <v>20</v>
      </c>
      <c r="E2533" t="str">
        <f>"1-135-20"</f>
        <v>1-135-20</v>
      </c>
      <c r="F2533" t="s">
        <v>15</v>
      </c>
      <c r="G2533" t="s">
        <v>20</v>
      </c>
      <c r="H2533" t="s">
        <v>21</v>
      </c>
      <c r="I2533">
        <v>1</v>
      </c>
      <c r="J2533">
        <v>0</v>
      </c>
      <c r="K2533">
        <v>0</v>
      </c>
    </row>
    <row r="2534" spans="1:11" x14ac:dyDescent="0.25">
      <c r="A2534" t="str">
        <f>"3224"</f>
        <v>3224</v>
      </c>
      <c r="B2534" t="str">
        <f t="shared" si="157"/>
        <v>1</v>
      </c>
      <c r="C2534" t="str">
        <f t="shared" si="160"/>
        <v>135</v>
      </c>
      <c r="D2534" t="str">
        <f>"13"</f>
        <v>13</v>
      </c>
      <c r="E2534" t="str">
        <f>"1-135-13"</f>
        <v>1-135-13</v>
      </c>
      <c r="F2534" t="s">
        <v>15</v>
      </c>
      <c r="G2534" t="s">
        <v>20</v>
      </c>
      <c r="H2534" t="s">
        <v>21</v>
      </c>
      <c r="I2534">
        <v>0</v>
      </c>
      <c r="J2534">
        <v>1</v>
      </c>
      <c r="K2534">
        <v>0</v>
      </c>
    </row>
    <row r="2535" spans="1:11" x14ac:dyDescent="0.25">
      <c r="A2535" t="str">
        <f>"3225"</f>
        <v>3225</v>
      </c>
      <c r="B2535" t="str">
        <f t="shared" si="157"/>
        <v>1</v>
      </c>
      <c r="C2535" t="str">
        <f t="shared" si="160"/>
        <v>135</v>
      </c>
      <c r="D2535" t="str">
        <f>"11"</f>
        <v>11</v>
      </c>
      <c r="E2535" t="str">
        <f>"1-135-11"</f>
        <v>1-135-11</v>
      </c>
      <c r="F2535" t="s">
        <v>15</v>
      </c>
      <c r="G2535" t="s">
        <v>20</v>
      </c>
      <c r="H2535" t="s">
        <v>21</v>
      </c>
      <c r="I2535">
        <v>0</v>
      </c>
      <c r="J2535">
        <v>1</v>
      </c>
      <c r="K2535">
        <v>0</v>
      </c>
    </row>
    <row r="2536" spans="1:11" x14ac:dyDescent="0.25">
      <c r="A2536" t="str">
        <f>"3226"</f>
        <v>3226</v>
      </c>
      <c r="B2536" t="str">
        <f t="shared" ref="B2536:B2591" si="161">"1"</f>
        <v>1</v>
      </c>
      <c r="C2536" t="str">
        <f t="shared" si="160"/>
        <v>135</v>
      </c>
      <c r="D2536" t="str">
        <f>"12"</f>
        <v>12</v>
      </c>
      <c r="E2536" t="str">
        <f>"1-135-12"</f>
        <v>1-135-12</v>
      </c>
      <c r="F2536" t="s">
        <v>15</v>
      </c>
      <c r="G2536" t="s">
        <v>20</v>
      </c>
      <c r="H2536" t="s">
        <v>21</v>
      </c>
      <c r="I2536">
        <v>1</v>
      </c>
      <c r="J2536">
        <v>0</v>
      </c>
      <c r="K2536">
        <v>0</v>
      </c>
    </row>
    <row r="2537" spans="1:11" x14ac:dyDescent="0.25">
      <c r="A2537" t="str">
        <f>"3227"</f>
        <v>3227</v>
      </c>
      <c r="B2537" t="str">
        <f t="shared" si="161"/>
        <v>1</v>
      </c>
      <c r="C2537" t="str">
        <f t="shared" si="160"/>
        <v>135</v>
      </c>
      <c r="D2537" t="str">
        <f>"9"</f>
        <v>9</v>
      </c>
      <c r="E2537" t="str">
        <f>"1-135-9"</f>
        <v>1-135-9</v>
      </c>
      <c r="F2537" t="s">
        <v>15</v>
      </c>
      <c r="G2537" t="s">
        <v>20</v>
      </c>
      <c r="H2537" t="s">
        <v>21</v>
      </c>
      <c r="I2537">
        <v>0</v>
      </c>
      <c r="J2537">
        <v>0</v>
      </c>
      <c r="K2537">
        <v>1</v>
      </c>
    </row>
    <row r="2538" spans="1:11" x14ac:dyDescent="0.25">
      <c r="A2538" t="str">
        <f>"3228"</f>
        <v>3228</v>
      </c>
      <c r="B2538" t="str">
        <f t="shared" si="161"/>
        <v>1</v>
      </c>
      <c r="C2538" t="str">
        <f t="shared" si="160"/>
        <v>135</v>
      </c>
      <c r="D2538" t="str">
        <f>"10"</f>
        <v>10</v>
      </c>
      <c r="E2538" t="str">
        <f>"1-135-10"</f>
        <v>1-135-10</v>
      </c>
      <c r="F2538" t="s">
        <v>15</v>
      </c>
      <c r="G2538" t="s">
        <v>20</v>
      </c>
      <c r="H2538" t="s">
        <v>21</v>
      </c>
      <c r="I2538">
        <v>0</v>
      </c>
      <c r="J2538">
        <v>0</v>
      </c>
      <c r="K2538">
        <v>1</v>
      </c>
    </row>
    <row r="2539" spans="1:11" x14ac:dyDescent="0.25">
      <c r="A2539" t="str">
        <f>"3229"</f>
        <v>3229</v>
      </c>
      <c r="B2539" t="str">
        <f t="shared" si="161"/>
        <v>1</v>
      </c>
      <c r="C2539" t="str">
        <f t="shared" si="160"/>
        <v>135</v>
      </c>
      <c r="D2539" t="str">
        <f>"8"</f>
        <v>8</v>
      </c>
      <c r="E2539" t="str">
        <f>"1-135-8"</f>
        <v>1-135-8</v>
      </c>
      <c r="F2539" t="s">
        <v>15</v>
      </c>
      <c r="G2539" t="s">
        <v>20</v>
      </c>
      <c r="H2539" t="s">
        <v>21</v>
      </c>
      <c r="I2539">
        <v>0</v>
      </c>
      <c r="J2539">
        <v>0</v>
      </c>
      <c r="K2539">
        <v>1</v>
      </c>
    </row>
    <row r="2540" spans="1:11" x14ac:dyDescent="0.25">
      <c r="A2540" t="str">
        <f>"3230"</f>
        <v>3230</v>
      </c>
      <c r="B2540" t="str">
        <f t="shared" si="161"/>
        <v>1</v>
      </c>
      <c r="C2540" t="str">
        <f t="shared" si="160"/>
        <v>135</v>
      </c>
      <c r="D2540" t="str">
        <f>"7"</f>
        <v>7</v>
      </c>
      <c r="E2540" t="str">
        <f>"1-135-7"</f>
        <v>1-135-7</v>
      </c>
      <c r="F2540" t="s">
        <v>15</v>
      </c>
      <c r="G2540" t="s">
        <v>20</v>
      </c>
      <c r="H2540" t="s">
        <v>21</v>
      </c>
      <c r="I2540">
        <v>1</v>
      </c>
      <c r="J2540">
        <v>0</v>
      </c>
      <c r="K2540">
        <v>0</v>
      </c>
    </row>
    <row r="2541" spans="1:11" x14ac:dyDescent="0.25">
      <c r="A2541" t="str">
        <f>"3231"</f>
        <v>3231</v>
      </c>
      <c r="B2541" t="str">
        <f t="shared" si="161"/>
        <v>1</v>
      </c>
      <c r="C2541" t="str">
        <f t="shared" si="160"/>
        <v>135</v>
      </c>
      <c r="D2541" t="str">
        <f>"2"</f>
        <v>2</v>
      </c>
      <c r="E2541" t="str">
        <f>"1-135-2"</f>
        <v>1-135-2</v>
      </c>
      <c r="F2541" t="s">
        <v>15</v>
      </c>
      <c r="G2541" t="s">
        <v>20</v>
      </c>
      <c r="H2541" t="s">
        <v>21</v>
      </c>
      <c r="I2541">
        <v>0</v>
      </c>
      <c r="J2541">
        <v>0</v>
      </c>
      <c r="K2541">
        <v>0</v>
      </c>
    </row>
    <row r="2542" spans="1:11" x14ac:dyDescent="0.25">
      <c r="A2542" t="str">
        <f>"3232"</f>
        <v>3232</v>
      </c>
      <c r="B2542" t="str">
        <f t="shared" si="161"/>
        <v>1</v>
      </c>
      <c r="C2542" t="str">
        <f t="shared" si="160"/>
        <v>135</v>
      </c>
      <c r="D2542" t="str">
        <f>"3"</f>
        <v>3</v>
      </c>
      <c r="E2542" t="str">
        <f>"1-135-3"</f>
        <v>1-135-3</v>
      </c>
      <c r="F2542" t="s">
        <v>15</v>
      </c>
      <c r="G2542" t="s">
        <v>20</v>
      </c>
      <c r="H2542" t="s">
        <v>21</v>
      </c>
      <c r="I2542">
        <v>0</v>
      </c>
      <c r="J2542">
        <v>0</v>
      </c>
      <c r="K2542">
        <v>0</v>
      </c>
    </row>
    <row r="2543" spans="1:11" x14ac:dyDescent="0.25">
      <c r="A2543" t="str">
        <f>"3233"</f>
        <v>3233</v>
      </c>
      <c r="B2543" t="str">
        <f t="shared" si="161"/>
        <v>1</v>
      </c>
      <c r="C2543" t="str">
        <f t="shared" si="160"/>
        <v>135</v>
      </c>
      <c r="D2543" t="str">
        <f>"14"</f>
        <v>14</v>
      </c>
      <c r="E2543" t="str">
        <f>"1-135-14"</f>
        <v>1-135-14</v>
      </c>
      <c r="F2543" t="s">
        <v>15</v>
      </c>
      <c r="G2543" t="s">
        <v>20</v>
      </c>
      <c r="H2543" t="s">
        <v>21</v>
      </c>
      <c r="I2543">
        <v>0</v>
      </c>
      <c r="J2543">
        <v>0</v>
      </c>
      <c r="K2543">
        <v>0</v>
      </c>
    </row>
    <row r="2544" spans="1:11" x14ac:dyDescent="0.25">
      <c r="A2544" t="str">
        <f>"3234"</f>
        <v>3234</v>
      </c>
      <c r="B2544" t="str">
        <f t="shared" si="161"/>
        <v>1</v>
      </c>
      <c r="C2544" t="str">
        <f t="shared" ref="C2544:C2559" si="162">"136"</f>
        <v>136</v>
      </c>
      <c r="D2544" t="str">
        <f>"17"</f>
        <v>17</v>
      </c>
      <c r="E2544" t="str">
        <f>"1-136-17"</f>
        <v>1-136-17</v>
      </c>
      <c r="F2544" t="s">
        <v>15</v>
      </c>
      <c r="G2544" t="s">
        <v>16</v>
      </c>
      <c r="H2544" t="s">
        <v>17</v>
      </c>
      <c r="I2544">
        <v>0</v>
      </c>
      <c r="J2544">
        <v>1</v>
      </c>
      <c r="K2544">
        <v>0</v>
      </c>
    </row>
    <row r="2545" spans="1:11" x14ac:dyDescent="0.25">
      <c r="A2545" t="str">
        <f>"3237"</f>
        <v>3237</v>
      </c>
      <c r="B2545" t="str">
        <f t="shared" si="161"/>
        <v>1</v>
      </c>
      <c r="C2545" t="str">
        <f t="shared" si="162"/>
        <v>136</v>
      </c>
      <c r="D2545" t="str">
        <f>"16"</f>
        <v>16</v>
      </c>
      <c r="E2545" t="str">
        <f>"1-136-16"</f>
        <v>1-136-16</v>
      </c>
      <c r="F2545" t="s">
        <v>15</v>
      </c>
      <c r="G2545" t="s">
        <v>16</v>
      </c>
      <c r="H2545" t="s">
        <v>17</v>
      </c>
      <c r="I2545">
        <v>0</v>
      </c>
      <c r="J2545">
        <v>0</v>
      </c>
      <c r="K2545">
        <v>1</v>
      </c>
    </row>
    <row r="2546" spans="1:11" x14ac:dyDescent="0.25">
      <c r="A2546" t="str">
        <f>"3238"</f>
        <v>3238</v>
      </c>
      <c r="B2546" t="str">
        <f t="shared" si="161"/>
        <v>1</v>
      </c>
      <c r="C2546" t="str">
        <f t="shared" si="162"/>
        <v>136</v>
      </c>
      <c r="D2546" t="str">
        <f>"5"</f>
        <v>5</v>
      </c>
      <c r="E2546" t="str">
        <f>"1-136-5"</f>
        <v>1-136-5</v>
      </c>
      <c r="F2546" t="s">
        <v>15</v>
      </c>
      <c r="G2546" t="s">
        <v>16</v>
      </c>
      <c r="H2546" t="s">
        <v>17</v>
      </c>
      <c r="I2546">
        <v>0</v>
      </c>
      <c r="J2546">
        <v>1</v>
      </c>
      <c r="K2546">
        <v>0</v>
      </c>
    </row>
    <row r="2547" spans="1:11" x14ac:dyDescent="0.25">
      <c r="A2547" t="str">
        <f>"3239"</f>
        <v>3239</v>
      </c>
      <c r="B2547" t="str">
        <f t="shared" si="161"/>
        <v>1</v>
      </c>
      <c r="C2547" t="str">
        <f t="shared" si="162"/>
        <v>136</v>
      </c>
      <c r="D2547" t="str">
        <f>"18"</f>
        <v>18</v>
      </c>
      <c r="E2547" t="str">
        <f>"1-136-18"</f>
        <v>1-136-18</v>
      </c>
      <c r="F2547" t="s">
        <v>15</v>
      </c>
      <c r="G2547" t="s">
        <v>16</v>
      </c>
      <c r="H2547" t="s">
        <v>17</v>
      </c>
      <c r="I2547">
        <v>0</v>
      </c>
      <c r="J2547">
        <v>0</v>
      </c>
      <c r="K2547">
        <v>1</v>
      </c>
    </row>
    <row r="2548" spans="1:11" x14ac:dyDescent="0.25">
      <c r="A2548" t="str">
        <f>"3240"</f>
        <v>3240</v>
      </c>
      <c r="B2548" t="str">
        <f t="shared" si="161"/>
        <v>1</v>
      </c>
      <c r="C2548" t="str">
        <f t="shared" si="162"/>
        <v>136</v>
      </c>
      <c r="D2548" t="str">
        <f>"13"</f>
        <v>13</v>
      </c>
      <c r="E2548" t="str">
        <f>"1-136-13"</f>
        <v>1-136-13</v>
      </c>
      <c r="F2548" t="s">
        <v>15</v>
      </c>
      <c r="G2548" t="s">
        <v>16</v>
      </c>
      <c r="H2548" t="s">
        <v>17</v>
      </c>
      <c r="I2548">
        <v>1</v>
      </c>
      <c r="J2548">
        <v>0</v>
      </c>
      <c r="K2548">
        <v>0</v>
      </c>
    </row>
    <row r="2549" spans="1:11" x14ac:dyDescent="0.25">
      <c r="A2549" t="str">
        <f>"3242"</f>
        <v>3242</v>
      </c>
      <c r="B2549" t="str">
        <f t="shared" si="161"/>
        <v>1</v>
      </c>
      <c r="C2549" t="str">
        <f t="shared" si="162"/>
        <v>136</v>
      </c>
      <c r="D2549" t="str">
        <f>"2"</f>
        <v>2</v>
      </c>
      <c r="E2549" t="str">
        <f>"1-136-2"</f>
        <v>1-136-2</v>
      </c>
      <c r="F2549" t="s">
        <v>15</v>
      </c>
      <c r="G2549" t="s">
        <v>16</v>
      </c>
      <c r="H2549" t="s">
        <v>17</v>
      </c>
      <c r="I2549">
        <v>0</v>
      </c>
      <c r="J2549">
        <v>1</v>
      </c>
      <c r="K2549">
        <v>0</v>
      </c>
    </row>
    <row r="2550" spans="1:11" x14ac:dyDescent="0.25">
      <c r="A2550" t="str">
        <f>"3243"</f>
        <v>3243</v>
      </c>
      <c r="B2550" t="str">
        <f t="shared" si="161"/>
        <v>1</v>
      </c>
      <c r="C2550" t="str">
        <f t="shared" si="162"/>
        <v>136</v>
      </c>
      <c r="D2550" t="str">
        <f>"8"</f>
        <v>8</v>
      </c>
      <c r="E2550" t="str">
        <f>"1-136-8"</f>
        <v>1-136-8</v>
      </c>
      <c r="F2550" t="s">
        <v>15</v>
      </c>
      <c r="G2550" t="s">
        <v>16</v>
      </c>
      <c r="H2550" t="s">
        <v>17</v>
      </c>
      <c r="I2550">
        <v>0</v>
      </c>
      <c r="J2550">
        <v>1</v>
      </c>
      <c r="K2550">
        <v>0</v>
      </c>
    </row>
    <row r="2551" spans="1:11" x14ac:dyDescent="0.25">
      <c r="A2551" t="str">
        <f>"3244"</f>
        <v>3244</v>
      </c>
      <c r="B2551" t="str">
        <f t="shared" si="161"/>
        <v>1</v>
      </c>
      <c r="C2551" t="str">
        <f t="shared" si="162"/>
        <v>136</v>
      </c>
      <c r="D2551" t="str">
        <f>"14"</f>
        <v>14</v>
      </c>
      <c r="E2551" t="str">
        <f>"1-136-14"</f>
        <v>1-136-14</v>
      </c>
      <c r="F2551" t="s">
        <v>15</v>
      </c>
      <c r="G2551" t="s">
        <v>16</v>
      </c>
      <c r="H2551" t="s">
        <v>17</v>
      </c>
      <c r="I2551">
        <v>1</v>
      </c>
      <c r="J2551">
        <v>0</v>
      </c>
      <c r="K2551">
        <v>0</v>
      </c>
    </row>
    <row r="2552" spans="1:11" x14ac:dyDescent="0.25">
      <c r="A2552" t="str">
        <f>"3245"</f>
        <v>3245</v>
      </c>
      <c r="B2552" t="str">
        <f t="shared" si="161"/>
        <v>1</v>
      </c>
      <c r="C2552" t="str">
        <f t="shared" si="162"/>
        <v>136</v>
      </c>
      <c r="D2552" t="str">
        <f>"10"</f>
        <v>10</v>
      </c>
      <c r="E2552" t="str">
        <f>"1-136-10"</f>
        <v>1-136-10</v>
      </c>
      <c r="F2552" t="s">
        <v>15</v>
      </c>
      <c r="G2552" t="s">
        <v>16</v>
      </c>
      <c r="H2552" t="s">
        <v>17</v>
      </c>
      <c r="I2552">
        <v>0</v>
      </c>
      <c r="J2552">
        <v>0</v>
      </c>
      <c r="K2552">
        <v>1</v>
      </c>
    </row>
    <row r="2553" spans="1:11" x14ac:dyDescent="0.25">
      <c r="A2553" t="str">
        <f>"3246"</f>
        <v>3246</v>
      </c>
      <c r="B2553" t="str">
        <f t="shared" si="161"/>
        <v>1</v>
      </c>
      <c r="C2553" t="str">
        <f t="shared" si="162"/>
        <v>136</v>
      </c>
      <c r="D2553" t="str">
        <f>"11"</f>
        <v>11</v>
      </c>
      <c r="E2553" t="str">
        <f>"1-136-11"</f>
        <v>1-136-11</v>
      </c>
      <c r="F2553" t="s">
        <v>15</v>
      </c>
      <c r="G2553" t="s">
        <v>16</v>
      </c>
      <c r="H2553" t="s">
        <v>17</v>
      </c>
      <c r="I2553">
        <v>1</v>
      </c>
      <c r="J2553">
        <v>0</v>
      </c>
      <c r="K2553">
        <v>0</v>
      </c>
    </row>
    <row r="2554" spans="1:11" x14ac:dyDescent="0.25">
      <c r="A2554" t="str">
        <f>"3247"</f>
        <v>3247</v>
      </c>
      <c r="B2554" t="str">
        <f t="shared" si="161"/>
        <v>1</v>
      </c>
      <c r="C2554" t="str">
        <f t="shared" si="162"/>
        <v>136</v>
      </c>
      <c r="D2554" t="str">
        <f>"9"</f>
        <v>9</v>
      </c>
      <c r="E2554" t="str">
        <f>"1-136-9"</f>
        <v>1-136-9</v>
      </c>
      <c r="F2554" t="s">
        <v>15</v>
      </c>
      <c r="G2554" t="s">
        <v>16</v>
      </c>
      <c r="H2554" t="s">
        <v>17</v>
      </c>
      <c r="I2554">
        <v>0</v>
      </c>
      <c r="J2554">
        <v>0</v>
      </c>
      <c r="K2554">
        <v>1</v>
      </c>
    </row>
    <row r="2555" spans="1:11" x14ac:dyDescent="0.25">
      <c r="A2555" t="str">
        <f>"3248"</f>
        <v>3248</v>
      </c>
      <c r="B2555" t="str">
        <f t="shared" si="161"/>
        <v>1</v>
      </c>
      <c r="C2555" t="str">
        <f t="shared" si="162"/>
        <v>136</v>
      </c>
      <c r="D2555" t="str">
        <f>"4"</f>
        <v>4</v>
      </c>
      <c r="E2555" t="str">
        <f>"1-136-4"</f>
        <v>1-136-4</v>
      </c>
      <c r="F2555" t="s">
        <v>15</v>
      </c>
      <c r="G2555" t="s">
        <v>16</v>
      </c>
      <c r="H2555" t="s">
        <v>17</v>
      </c>
      <c r="I2555">
        <v>0</v>
      </c>
      <c r="J2555">
        <v>1</v>
      </c>
      <c r="K2555">
        <v>0</v>
      </c>
    </row>
    <row r="2556" spans="1:11" x14ac:dyDescent="0.25">
      <c r="A2556" t="str">
        <f>"3249"</f>
        <v>3249</v>
      </c>
      <c r="B2556" t="str">
        <f t="shared" si="161"/>
        <v>1</v>
      </c>
      <c r="C2556" t="str">
        <f t="shared" si="162"/>
        <v>136</v>
      </c>
      <c r="D2556" t="str">
        <f>"12"</f>
        <v>12</v>
      </c>
      <c r="E2556" t="str">
        <f>"1-136-12"</f>
        <v>1-136-12</v>
      </c>
      <c r="F2556" t="s">
        <v>15</v>
      </c>
      <c r="G2556" t="s">
        <v>16</v>
      </c>
      <c r="H2556" t="s">
        <v>17</v>
      </c>
      <c r="I2556">
        <v>0</v>
      </c>
      <c r="J2556">
        <v>0</v>
      </c>
      <c r="K2556">
        <v>1</v>
      </c>
    </row>
    <row r="2557" spans="1:11" x14ac:dyDescent="0.25">
      <c r="A2557" t="str">
        <f>"3250"</f>
        <v>3250</v>
      </c>
      <c r="B2557" t="str">
        <f t="shared" si="161"/>
        <v>1</v>
      </c>
      <c r="C2557" t="str">
        <f t="shared" si="162"/>
        <v>136</v>
      </c>
      <c r="D2557" t="str">
        <f>"1"</f>
        <v>1</v>
      </c>
      <c r="E2557" t="str">
        <f>"1-136-1"</f>
        <v>1-136-1</v>
      </c>
      <c r="F2557" t="s">
        <v>15</v>
      </c>
      <c r="G2557" t="s">
        <v>16</v>
      </c>
      <c r="H2557" t="s">
        <v>17</v>
      </c>
      <c r="I2557">
        <v>0</v>
      </c>
      <c r="J2557">
        <v>0</v>
      </c>
      <c r="K2557">
        <v>1</v>
      </c>
    </row>
    <row r="2558" spans="1:11" x14ac:dyDescent="0.25">
      <c r="A2558" t="str">
        <f>"3251"</f>
        <v>3251</v>
      </c>
      <c r="B2558" t="str">
        <f t="shared" si="161"/>
        <v>1</v>
      </c>
      <c r="C2558" t="str">
        <f t="shared" si="162"/>
        <v>136</v>
      </c>
      <c r="D2558" t="str">
        <f>"7"</f>
        <v>7</v>
      </c>
      <c r="E2558" t="str">
        <f>"1-136-7"</f>
        <v>1-136-7</v>
      </c>
      <c r="F2558" t="s">
        <v>15</v>
      </c>
      <c r="G2558" t="s">
        <v>16</v>
      </c>
      <c r="H2558" t="s">
        <v>17</v>
      </c>
      <c r="I2558">
        <v>0</v>
      </c>
      <c r="J2558">
        <v>0</v>
      </c>
      <c r="K2558">
        <v>1</v>
      </c>
    </row>
    <row r="2559" spans="1:11" x14ac:dyDescent="0.25">
      <c r="A2559" t="str">
        <f>"3252"</f>
        <v>3252</v>
      </c>
      <c r="B2559" t="str">
        <f t="shared" si="161"/>
        <v>1</v>
      </c>
      <c r="C2559" t="str">
        <f t="shared" si="162"/>
        <v>136</v>
      </c>
      <c r="D2559" t="str">
        <f>"3"</f>
        <v>3</v>
      </c>
      <c r="E2559" t="str">
        <f>"1-136-3"</f>
        <v>1-136-3</v>
      </c>
      <c r="F2559" t="s">
        <v>15</v>
      </c>
      <c r="G2559" t="s">
        <v>16</v>
      </c>
      <c r="H2559" t="s">
        <v>17</v>
      </c>
      <c r="I2559">
        <v>0</v>
      </c>
      <c r="J2559">
        <v>0</v>
      </c>
      <c r="K2559">
        <v>1</v>
      </c>
    </row>
    <row r="2560" spans="1:11" x14ac:dyDescent="0.25">
      <c r="A2560" t="str">
        <f>"3253"</f>
        <v>3253</v>
      </c>
      <c r="B2560" t="str">
        <f t="shared" si="161"/>
        <v>1</v>
      </c>
      <c r="C2560" t="str">
        <f t="shared" ref="C2560:C2575" si="163">"137"</f>
        <v>137</v>
      </c>
      <c r="D2560" t="str">
        <f>"15"</f>
        <v>15</v>
      </c>
      <c r="E2560" t="str">
        <f>"1-137-15"</f>
        <v>1-137-15</v>
      </c>
      <c r="F2560" t="s">
        <v>15</v>
      </c>
      <c r="G2560" t="s">
        <v>16</v>
      </c>
      <c r="H2560" t="s">
        <v>17</v>
      </c>
      <c r="I2560">
        <v>1</v>
      </c>
      <c r="J2560">
        <v>0</v>
      </c>
      <c r="K2560">
        <v>0</v>
      </c>
    </row>
    <row r="2561" spans="1:11" x14ac:dyDescent="0.25">
      <c r="A2561" t="str">
        <f>"3254"</f>
        <v>3254</v>
      </c>
      <c r="B2561" t="str">
        <f t="shared" si="161"/>
        <v>1</v>
      </c>
      <c r="C2561" t="str">
        <f t="shared" si="163"/>
        <v>137</v>
      </c>
      <c r="D2561" t="str">
        <f>"16"</f>
        <v>16</v>
      </c>
      <c r="E2561" t="str">
        <f>"1-137-16"</f>
        <v>1-137-16</v>
      </c>
      <c r="F2561" t="s">
        <v>15</v>
      </c>
      <c r="G2561" t="s">
        <v>20</v>
      </c>
      <c r="H2561" t="s">
        <v>21</v>
      </c>
      <c r="I2561">
        <v>0</v>
      </c>
      <c r="J2561">
        <v>1</v>
      </c>
      <c r="K2561">
        <v>0</v>
      </c>
    </row>
    <row r="2562" spans="1:11" x14ac:dyDescent="0.25">
      <c r="A2562" t="str">
        <f>"3255"</f>
        <v>3255</v>
      </c>
      <c r="B2562" t="str">
        <f t="shared" si="161"/>
        <v>1</v>
      </c>
      <c r="C2562" t="str">
        <f t="shared" si="163"/>
        <v>137</v>
      </c>
      <c r="D2562" t="str">
        <f>"4"</f>
        <v>4</v>
      </c>
      <c r="E2562" t="str">
        <f>"1-137-4"</f>
        <v>1-137-4</v>
      </c>
      <c r="F2562" t="s">
        <v>15</v>
      </c>
      <c r="G2562" t="s">
        <v>16</v>
      </c>
      <c r="H2562" t="s">
        <v>17</v>
      </c>
      <c r="I2562">
        <v>0</v>
      </c>
      <c r="J2562">
        <v>1</v>
      </c>
      <c r="K2562">
        <v>0</v>
      </c>
    </row>
    <row r="2563" spans="1:11" x14ac:dyDescent="0.25">
      <c r="A2563" t="str">
        <f>"3256"</f>
        <v>3256</v>
      </c>
      <c r="B2563" t="str">
        <f t="shared" si="161"/>
        <v>1</v>
      </c>
      <c r="C2563" t="str">
        <f t="shared" si="163"/>
        <v>137</v>
      </c>
      <c r="D2563" t="str">
        <f>"17"</f>
        <v>17</v>
      </c>
      <c r="E2563" t="str">
        <f>"1-137-17"</f>
        <v>1-137-17</v>
      </c>
      <c r="F2563" t="s">
        <v>15</v>
      </c>
      <c r="G2563" t="s">
        <v>18</v>
      </c>
      <c r="H2563" t="s">
        <v>19</v>
      </c>
      <c r="I2563">
        <v>0</v>
      </c>
      <c r="J2563">
        <v>0</v>
      </c>
      <c r="K2563">
        <v>1</v>
      </c>
    </row>
    <row r="2564" spans="1:11" x14ac:dyDescent="0.25">
      <c r="A2564" t="str">
        <f>"3258"</f>
        <v>3258</v>
      </c>
      <c r="B2564" t="str">
        <f t="shared" si="161"/>
        <v>1</v>
      </c>
      <c r="C2564" t="str">
        <f t="shared" si="163"/>
        <v>137</v>
      </c>
      <c r="D2564" t="str">
        <f>"18"</f>
        <v>18</v>
      </c>
      <c r="E2564" t="str">
        <f>"1-137-18"</f>
        <v>1-137-18</v>
      </c>
      <c r="F2564" t="s">
        <v>15</v>
      </c>
      <c r="G2564" t="s">
        <v>20</v>
      </c>
      <c r="H2564" t="s">
        <v>21</v>
      </c>
      <c r="I2564">
        <v>1</v>
      </c>
      <c r="J2564">
        <v>0</v>
      </c>
      <c r="K2564">
        <v>0</v>
      </c>
    </row>
    <row r="2565" spans="1:11" x14ac:dyDescent="0.25">
      <c r="A2565" t="str">
        <f>"3260"</f>
        <v>3260</v>
      </c>
      <c r="B2565" t="str">
        <f t="shared" si="161"/>
        <v>1</v>
      </c>
      <c r="C2565" t="str">
        <f t="shared" si="163"/>
        <v>137</v>
      </c>
      <c r="D2565" t="str">
        <f>"19"</f>
        <v>19</v>
      </c>
      <c r="E2565" t="str">
        <f>"1-137-19"</f>
        <v>1-137-19</v>
      </c>
      <c r="F2565" t="s">
        <v>15</v>
      </c>
      <c r="G2565" t="s">
        <v>20</v>
      </c>
      <c r="H2565" t="s">
        <v>21</v>
      </c>
      <c r="I2565">
        <v>1</v>
      </c>
      <c r="J2565">
        <v>0</v>
      </c>
      <c r="K2565">
        <v>0</v>
      </c>
    </row>
    <row r="2566" spans="1:11" x14ac:dyDescent="0.25">
      <c r="A2566" t="str">
        <f>"3262"</f>
        <v>3262</v>
      </c>
      <c r="B2566" t="str">
        <f t="shared" si="161"/>
        <v>1</v>
      </c>
      <c r="C2566" t="str">
        <f t="shared" si="163"/>
        <v>137</v>
      </c>
      <c r="D2566" t="str">
        <f>"2"</f>
        <v>2</v>
      </c>
      <c r="E2566" t="str">
        <f>"1-137-2"</f>
        <v>1-137-2</v>
      </c>
      <c r="F2566" t="s">
        <v>15</v>
      </c>
      <c r="G2566" t="s">
        <v>20</v>
      </c>
      <c r="H2566" t="s">
        <v>21</v>
      </c>
      <c r="I2566">
        <v>0</v>
      </c>
      <c r="J2566">
        <v>1</v>
      </c>
      <c r="K2566">
        <v>0</v>
      </c>
    </row>
    <row r="2567" spans="1:11" x14ac:dyDescent="0.25">
      <c r="A2567" t="str">
        <f>"3263"</f>
        <v>3263</v>
      </c>
      <c r="B2567" t="str">
        <f t="shared" si="161"/>
        <v>1</v>
      </c>
      <c r="C2567" t="str">
        <f t="shared" si="163"/>
        <v>137</v>
      </c>
      <c r="D2567" t="str">
        <f>"7"</f>
        <v>7</v>
      </c>
      <c r="E2567" t="str">
        <f>"1-137-7"</f>
        <v>1-137-7</v>
      </c>
      <c r="F2567" t="s">
        <v>15</v>
      </c>
      <c r="G2567" t="s">
        <v>18</v>
      </c>
      <c r="H2567" t="s">
        <v>19</v>
      </c>
      <c r="I2567">
        <v>0</v>
      </c>
      <c r="J2567">
        <v>0</v>
      </c>
      <c r="K2567">
        <v>1</v>
      </c>
    </row>
    <row r="2568" spans="1:11" x14ac:dyDescent="0.25">
      <c r="A2568" t="str">
        <f>"3264"</f>
        <v>3264</v>
      </c>
      <c r="B2568" t="str">
        <f t="shared" si="161"/>
        <v>1</v>
      </c>
      <c r="C2568" t="str">
        <f t="shared" si="163"/>
        <v>137</v>
      </c>
      <c r="D2568" t="str">
        <f>"8"</f>
        <v>8</v>
      </c>
      <c r="E2568" t="str">
        <f>"1-137-8"</f>
        <v>1-137-8</v>
      </c>
      <c r="F2568" t="s">
        <v>15</v>
      </c>
      <c r="G2568" t="s">
        <v>20</v>
      </c>
      <c r="H2568" t="s">
        <v>21</v>
      </c>
      <c r="I2568">
        <v>0</v>
      </c>
      <c r="J2568">
        <v>1</v>
      </c>
      <c r="K2568">
        <v>0</v>
      </c>
    </row>
    <row r="2569" spans="1:11" x14ac:dyDescent="0.25">
      <c r="A2569" t="str">
        <f>"3265"</f>
        <v>3265</v>
      </c>
      <c r="B2569" t="str">
        <f t="shared" si="161"/>
        <v>1</v>
      </c>
      <c r="C2569" t="str">
        <f t="shared" si="163"/>
        <v>137</v>
      </c>
      <c r="D2569" t="str">
        <f>"5"</f>
        <v>5</v>
      </c>
      <c r="E2569" t="str">
        <f>"1-137-5"</f>
        <v>1-137-5</v>
      </c>
      <c r="F2569" t="s">
        <v>15</v>
      </c>
      <c r="G2569" t="s">
        <v>18</v>
      </c>
      <c r="H2569" t="s">
        <v>19</v>
      </c>
      <c r="I2569">
        <v>0</v>
      </c>
      <c r="J2569">
        <v>0</v>
      </c>
      <c r="K2569">
        <v>1</v>
      </c>
    </row>
    <row r="2570" spans="1:11" x14ac:dyDescent="0.25">
      <c r="A2570" t="str">
        <f>"3266"</f>
        <v>3266</v>
      </c>
      <c r="B2570" t="str">
        <f t="shared" si="161"/>
        <v>1</v>
      </c>
      <c r="C2570" t="str">
        <f t="shared" si="163"/>
        <v>137</v>
      </c>
      <c r="D2570" t="str">
        <f>"14"</f>
        <v>14</v>
      </c>
      <c r="E2570" t="str">
        <f>"1-137-14"</f>
        <v>1-137-14</v>
      </c>
      <c r="F2570" t="s">
        <v>15</v>
      </c>
      <c r="G2570" t="s">
        <v>16</v>
      </c>
      <c r="H2570" t="s">
        <v>17</v>
      </c>
      <c r="I2570">
        <v>0</v>
      </c>
      <c r="J2570">
        <v>1</v>
      </c>
      <c r="K2570">
        <v>0</v>
      </c>
    </row>
    <row r="2571" spans="1:11" x14ac:dyDescent="0.25">
      <c r="A2571" t="str">
        <f>"3267"</f>
        <v>3267</v>
      </c>
      <c r="B2571" t="str">
        <f t="shared" si="161"/>
        <v>1</v>
      </c>
      <c r="C2571" t="str">
        <f t="shared" si="163"/>
        <v>137</v>
      </c>
      <c r="D2571" t="str">
        <f>"10"</f>
        <v>10</v>
      </c>
      <c r="E2571" t="str">
        <f>"1-137-10"</f>
        <v>1-137-10</v>
      </c>
      <c r="F2571" t="s">
        <v>15</v>
      </c>
      <c r="G2571" t="s">
        <v>20</v>
      </c>
      <c r="H2571" t="s">
        <v>21</v>
      </c>
      <c r="I2571">
        <v>0</v>
      </c>
      <c r="J2571">
        <v>1</v>
      </c>
      <c r="K2571">
        <v>0</v>
      </c>
    </row>
    <row r="2572" spans="1:11" x14ac:dyDescent="0.25">
      <c r="A2572" t="str">
        <f>"3268"</f>
        <v>3268</v>
      </c>
      <c r="B2572" t="str">
        <f t="shared" si="161"/>
        <v>1</v>
      </c>
      <c r="C2572" t="str">
        <f t="shared" si="163"/>
        <v>137</v>
      </c>
      <c r="D2572" t="str">
        <f>"3"</f>
        <v>3</v>
      </c>
      <c r="E2572" t="str">
        <f>"1-137-3"</f>
        <v>1-137-3</v>
      </c>
      <c r="F2572" t="s">
        <v>15</v>
      </c>
      <c r="G2572" t="s">
        <v>20</v>
      </c>
      <c r="H2572" t="s">
        <v>21</v>
      </c>
      <c r="I2572">
        <v>0</v>
      </c>
      <c r="J2572">
        <v>0</v>
      </c>
      <c r="K2572">
        <v>1</v>
      </c>
    </row>
    <row r="2573" spans="1:11" x14ac:dyDescent="0.25">
      <c r="A2573" t="str">
        <f>"3269"</f>
        <v>3269</v>
      </c>
      <c r="B2573" t="str">
        <f t="shared" si="161"/>
        <v>1</v>
      </c>
      <c r="C2573" t="str">
        <f t="shared" si="163"/>
        <v>137</v>
      </c>
      <c r="D2573" t="str">
        <f>"9"</f>
        <v>9</v>
      </c>
      <c r="E2573" t="str">
        <f>"1-137-9"</f>
        <v>1-137-9</v>
      </c>
      <c r="F2573" t="s">
        <v>15</v>
      </c>
      <c r="G2573" t="s">
        <v>20</v>
      </c>
      <c r="H2573" t="s">
        <v>21</v>
      </c>
      <c r="I2573">
        <v>0</v>
      </c>
      <c r="J2573">
        <v>1</v>
      </c>
      <c r="K2573">
        <v>0</v>
      </c>
    </row>
    <row r="2574" spans="1:11" x14ac:dyDescent="0.25">
      <c r="A2574" t="str">
        <f>"3270"</f>
        <v>3270</v>
      </c>
      <c r="B2574" t="str">
        <f t="shared" si="161"/>
        <v>1</v>
      </c>
      <c r="C2574" t="str">
        <f t="shared" si="163"/>
        <v>137</v>
      </c>
      <c r="D2574" t="str">
        <f>"6"</f>
        <v>6</v>
      </c>
      <c r="E2574" t="str">
        <f>"1-137-6"</f>
        <v>1-137-6</v>
      </c>
      <c r="F2574" t="s">
        <v>15</v>
      </c>
      <c r="G2574" t="s">
        <v>20</v>
      </c>
      <c r="H2574" t="s">
        <v>21</v>
      </c>
      <c r="I2574">
        <v>1</v>
      </c>
      <c r="J2574">
        <v>0</v>
      </c>
      <c r="K2574">
        <v>0</v>
      </c>
    </row>
    <row r="2575" spans="1:11" x14ac:dyDescent="0.25">
      <c r="A2575" t="str">
        <f>"3271"</f>
        <v>3271</v>
      </c>
      <c r="B2575" t="str">
        <f t="shared" si="161"/>
        <v>1</v>
      </c>
      <c r="C2575" t="str">
        <f t="shared" si="163"/>
        <v>137</v>
      </c>
      <c r="D2575" t="str">
        <f>"1"</f>
        <v>1</v>
      </c>
      <c r="E2575" t="str">
        <f>"1-137-1"</f>
        <v>1-137-1</v>
      </c>
      <c r="F2575" t="s">
        <v>15</v>
      </c>
      <c r="G2575" t="s">
        <v>20</v>
      </c>
      <c r="H2575" t="s">
        <v>21</v>
      </c>
      <c r="I2575">
        <v>0</v>
      </c>
      <c r="J2575">
        <v>0</v>
      </c>
      <c r="K2575">
        <v>0</v>
      </c>
    </row>
    <row r="2576" spans="1:11" x14ac:dyDescent="0.25">
      <c r="A2576" t="str">
        <f>"3272"</f>
        <v>3272</v>
      </c>
      <c r="B2576" t="str">
        <f t="shared" si="161"/>
        <v>1</v>
      </c>
      <c r="C2576" t="str">
        <f t="shared" ref="C2576:C2591" si="164">"138"</f>
        <v>138</v>
      </c>
      <c r="D2576" t="str">
        <f>"15"</f>
        <v>15</v>
      </c>
      <c r="E2576" t="str">
        <f>"1-138-15"</f>
        <v>1-138-15</v>
      </c>
      <c r="F2576" t="s">
        <v>15</v>
      </c>
      <c r="G2576" t="s">
        <v>16</v>
      </c>
      <c r="H2576" t="s">
        <v>17</v>
      </c>
      <c r="I2576">
        <v>0</v>
      </c>
      <c r="J2576">
        <v>0</v>
      </c>
      <c r="K2576">
        <v>1</v>
      </c>
    </row>
    <row r="2577" spans="1:11" x14ac:dyDescent="0.25">
      <c r="A2577" t="str">
        <f>"3274"</f>
        <v>3274</v>
      </c>
      <c r="B2577" t="str">
        <f t="shared" si="161"/>
        <v>1</v>
      </c>
      <c r="C2577" t="str">
        <f t="shared" si="164"/>
        <v>138</v>
      </c>
      <c r="D2577" t="str">
        <f>"16"</f>
        <v>16</v>
      </c>
      <c r="E2577" t="str">
        <f>"1-138-16"</f>
        <v>1-138-16</v>
      </c>
      <c r="F2577" t="s">
        <v>15</v>
      </c>
      <c r="G2577" t="s">
        <v>16</v>
      </c>
      <c r="H2577" t="s">
        <v>17</v>
      </c>
      <c r="I2577">
        <v>0</v>
      </c>
      <c r="J2577">
        <v>0</v>
      </c>
      <c r="K2577">
        <v>1</v>
      </c>
    </row>
    <row r="2578" spans="1:11" x14ac:dyDescent="0.25">
      <c r="A2578" t="str">
        <f>"3275"</f>
        <v>3275</v>
      </c>
      <c r="B2578" t="str">
        <f t="shared" si="161"/>
        <v>1</v>
      </c>
      <c r="C2578" t="str">
        <f t="shared" si="164"/>
        <v>138</v>
      </c>
      <c r="D2578" t="str">
        <f>"4"</f>
        <v>4</v>
      </c>
      <c r="E2578" t="str">
        <f>"1-138-4"</f>
        <v>1-138-4</v>
      </c>
      <c r="F2578" t="s">
        <v>15</v>
      </c>
      <c r="G2578" t="s">
        <v>16</v>
      </c>
      <c r="H2578" t="s">
        <v>17</v>
      </c>
      <c r="I2578">
        <v>0</v>
      </c>
      <c r="J2578">
        <v>1</v>
      </c>
      <c r="K2578">
        <v>0</v>
      </c>
    </row>
    <row r="2579" spans="1:11" x14ac:dyDescent="0.25">
      <c r="A2579" t="str">
        <f>"3276"</f>
        <v>3276</v>
      </c>
      <c r="B2579" t="str">
        <f t="shared" si="161"/>
        <v>1</v>
      </c>
      <c r="C2579" t="str">
        <f t="shared" si="164"/>
        <v>138</v>
      </c>
      <c r="D2579" t="str">
        <f>"17"</f>
        <v>17</v>
      </c>
      <c r="E2579" t="str">
        <f>"1-138-17"</f>
        <v>1-138-17</v>
      </c>
      <c r="F2579" t="s">
        <v>15</v>
      </c>
      <c r="G2579" t="s">
        <v>16</v>
      </c>
      <c r="H2579" t="s">
        <v>17</v>
      </c>
      <c r="I2579">
        <v>0</v>
      </c>
      <c r="J2579">
        <v>0</v>
      </c>
      <c r="K2579">
        <v>1</v>
      </c>
    </row>
    <row r="2580" spans="1:11" x14ac:dyDescent="0.25">
      <c r="A2580" t="str">
        <f>"3278"</f>
        <v>3278</v>
      </c>
      <c r="B2580" t="str">
        <f t="shared" si="161"/>
        <v>1</v>
      </c>
      <c r="C2580" t="str">
        <f t="shared" si="164"/>
        <v>138</v>
      </c>
      <c r="D2580" t="str">
        <f>"18"</f>
        <v>18</v>
      </c>
      <c r="E2580" t="str">
        <f>"1-138-18"</f>
        <v>1-138-18</v>
      </c>
      <c r="F2580" t="s">
        <v>15</v>
      </c>
      <c r="G2580" t="s">
        <v>20</v>
      </c>
      <c r="H2580" t="s">
        <v>21</v>
      </c>
      <c r="I2580">
        <v>0</v>
      </c>
      <c r="J2580">
        <v>0</v>
      </c>
      <c r="K2580">
        <v>1</v>
      </c>
    </row>
    <row r="2581" spans="1:11" x14ac:dyDescent="0.25">
      <c r="A2581" t="str">
        <f>"3279"</f>
        <v>3279</v>
      </c>
      <c r="B2581" t="str">
        <f t="shared" si="161"/>
        <v>1</v>
      </c>
      <c r="C2581" t="str">
        <f t="shared" si="164"/>
        <v>138</v>
      </c>
      <c r="D2581" t="str">
        <f>"1"</f>
        <v>1</v>
      </c>
      <c r="E2581" t="str">
        <f>"1-138-1"</f>
        <v>1-138-1</v>
      </c>
      <c r="F2581" t="s">
        <v>15</v>
      </c>
      <c r="G2581" t="s">
        <v>16</v>
      </c>
      <c r="H2581" t="s">
        <v>17</v>
      </c>
      <c r="I2581">
        <v>1</v>
      </c>
      <c r="J2581">
        <v>0</v>
      </c>
      <c r="K2581">
        <v>0</v>
      </c>
    </row>
    <row r="2582" spans="1:11" x14ac:dyDescent="0.25">
      <c r="A2582" t="str">
        <f>"3280"</f>
        <v>3280</v>
      </c>
      <c r="B2582" t="str">
        <f t="shared" si="161"/>
        <v>1</v>
      </c>
      <c r="C2582" t="str">
        <f t="shared" si="164"/>
        <v>138</v>
      </c>
      <c r="D2582" t="str">
        <f>"9"</f>
        <v>9</v>
      </c>
      <c r="E2582" t="str">
        <f>"1-138-9"</f>
        <v>1-138-9</v>
      </c>
      <c r="F2582" t="s">
        <v>15</v>
      </c>
      <c r="G2582" t="s">
        <v>16</v>
      </c>
      <c r="H2582" t="s">
        <v>17</v>
      </c>
      <c r="I2582">
        <v>0</v>
      </c>
      <c r="J2582">
        <v>0</v>
      </c>
      <c r="K2582">
        <v>1</v>
      </c>
    </row>
    <row r="2583" spans="1:11" x14ac:dyDescent="0.25">
      <c r="A2583" t="str">
        <f>"3281"</f>
        <v>3281</v>
      </c>
      <c r="B2583" t="str">
        <f t="shared" si="161"/>
        <v>1</v>
      </c>
      <c r="C2583" t="str">
        <f t="shared" si="164"/>
        <v>138</v>
      </c>
      <c r="D2583" t="str">
        <f>"14"</f>
        <v>14</v>
      </c>
      <c r="E2583" t="str">
        <f>"1-138-14"</f>
        <v>1-138-14</v>
      </c>
      <c r="F2583" t="s">
        <v>15</v>
      </c>
      <c r="G2583" t="s">
        <v>16</v>
      </c>
      <c r="H2583" t="s">
        <v>17</v>
      </c>
      <c r="I2583">
        <v>0</v>
      </c>
      <c r="J2583">
        <v>0</v>
      </c>
      <c r="K2583">
        <v>1</v>
      </c>
    </row>
    <row r="2584" spans="1:11" x14ac:dyDescent="0.25">
      <c r="A2584" t="str">
        <f>"3282"</f>
        <v>3282</v>
      </c>
      <c r="B2584" t="str">
        <f t="shared" si="161"/>
        <v>1</v>
      </c>
      <c r="C2584" t="str">
        <f t="shared" si="164"/>
        <v>138</v>
      </c>
      <c r="D2584" t="str">
        <f>"10"</f>
        <v>10</v>
      </c>
      <c r="E2584" t="str">
        <f>"1-138-10"</f>
        <v>1-138-10</v>
      </c>
      <c r="F2584" t="s">
        <v>15</v>
      </c>
      <c r="G2584" t="s">
        <v>16</v>
      </c>
      <c r="H2584" t="s">
        <v>17</v>
      </c>
      <c r="I2584">
        <v>0</v>
      </c>
      <c r="J2584">
        <v>1</v>
      </c>
      <c r="K2584">
        <v>0</v>
      </c>
    </row>
    <row r="2585" spans="1:11" x14ac:dyDescent="0.25">
      <c r="A2585" t="str">
        <f>"3283"</f>
        <v>3283</v>
      </c>
      <c r="B2585" t="str">
        <f t="shared" si="161"/>
        <v>1</v>
      </c>
      <c r="C2585" t="str">
        <f t="shared" si="164"/>
        <v>138</v>
      </c>
      <c r="D2585" t="str">
        <f>"3"</f>
        <v>3</v>
      </c>
      <c r="E2585" t="str">
        <f>"1-138-3"</f>
        <v>1-138-3</v>
      </c>
      <c r="F2585" t="s">
        <v>15</v>
      </c>
      <c r="G2585" t="s">
        <v>20</v>
      </c>
      <c r="H2585" t="s">
        <v>21</v>
      </c>
      <c r="I2585">
        <v>0</v>
      </c>
      <c r="J2585">
        <v>1</v>
      </c>
      <c r="K2585">
        <v>0</v>
      </c>
    </row>
    <row r="2586" spans="1:11" x14ac:dyDescent="0.25">
      <c r="A2586" t="str">
        <f>"3284"</f>
        <v>3284</v>
      </c>
      <c r="B2586" t="str">
        <f t="shared" si="161"/>
        <v>1</v>
      </c>
      <c r="C2586" t="str">
        <f t="shared" si="164"/>
        <v>138</v>
      </c>
      <c r="D2586" t="str">
        <f>"13"</f>
        <v>13</v>
      </c>
      <c r="E2586" t="str">
        <f>"1-138-13"</f>
        <v>1-138-13</v>
      </c>
      <c r="F2586" t="s">
        <v>15</v>
      </c>
      <c r="G2586" t="s">
        <v>16</v>
      </c>
      <c r="H2586" t="s">
        <v>17</v>
      </c>
      <c r="I2586">
        <v>0</v>
      </c>
      <c r="J2586">
        <v>1</v>
      </c>
      <c r="K2586">
        <v>0</v>
      </c>
    </row>
    <row r="2587" spans="1:11" x14ac:dyDescent="0.25">
      <c r="A2587" t="str">
        <f>"3285"</f>
        <v>3285</v>
      </c>
      <c r="B2587" t="str">
        <f t="shared" si="161"/>
        <v>1</v>
      </c>
      <c r="C2587" t="str">
        <f t="shared" si="164"/>
        <v>138</v>
      </c>
      <c r="D2587" t="str">
        <f>"12"</f>
        <v>12</v>
      </c>
      <c r="E2587" t="str">
        <f>"1-138-12"</f>
        <v>1-138-12</v>
      </c>
      <c r="F2587" t="s">
        <v>15</v>
      </c>
      <c r="G2587" t="s">
        <v>16</v>
      </c>
      <c r="H2587" t="s">
        <v>17</v>
      </c>
      <c r="I2587">
        <v>1</v>
      </c>
      <c r="J2587">
        <v>0</v>
      </c>
      <c r="K2587">
        <v>0</v>
      </c>
    </row>
    <row r="2588" spans="1:11" x14ac:dyDescent="0.25">
      <c r="A2588" t="str">
        <f>"3286"</f>
        <v>3286</v>
      </c>
      <c r="B2588" t="str">
        <f t="shared" si="161"/>
        <v>1</v>
      </c>
      <c r="C2588" t="str">
        <f t="shared" si="164"/>
        <v>138</v>
      </c>
      <c r="D2588" t="str">
        <f>"7"</f>
        <v>7</v>
      </c>
      <c r="E2588" t="str">
        <f>"1-138-7"</f>
        <v>1-138-7</v>
      </c>
      <c r="F2588" t="s">
        <v>15</v>
      </c>
      <c r="G2588" t="s">
        <v>18</v>
      </c>
      <c r="H2588" t="s">
        <v>19</v>
      </c>
      <c r="I2588">
        <v>0</v>
      </c>
      <c r="J2588">
        <v>0</v>
      </c>
      <c r="K2588">
        <v>1</v>
      </c>
    </row>
    <row r="2589" spans="1:11" x14ac:dyDescent="0.25">
      <c r="A2589" t="str">
        <f>"3287"</f>
        <v>3287</v>
      </c>
      <c r="B2589" t="str">
        <f t="shared" si="161"/>
        <v>1</v>
      </c>
      <c r="C2589" t="str">
        <f t="shared" si="164"/>
        <v>138</v>
      </c>
      <c r="D2589" t="str">
        <f>"2"</f>
        <v>2</v>
      </c>
      <c r="E2589" t="str">
        <f>"1-138-2"</f>
        <v>1-138-2</v>
      </c>
      <c r="F2589" t="s">
        <v>15</v>
      </c>
      <c r="G2589" t="s">
        <v>16</v>
      </c>
      <c r="H2589" t="s">
        <v>17</v>
      </c>
      <c r="I2589">
        <v>0</v>
      </c>
      <c r="J2589">
        <v>0</v>
      </c>
      <c r="K2589">
        <v>1</v>
      </c>
    </row>
    <row r="2590" spans="1:11" x14ac:dyDescent="0.25">
      <c r="A2590" t="str">
        <f>"3288"</f>
        <v>3288</v>
      </c>
      <c r="B2590" t="str">
        <f t="shared" si="161"/>
        <v>1</v>
      </c>
      <c r="C2590" t="str">
        <f t="shared" si="164"/>
        <v>138</v>
      </c>
      <c r="D2590" t="str">
        <f>"5"</f>
        <v>5</v>
      </c>
      <c r="E2590" t="str">
        <f>"1-138-5"</f>
        <v>1-138-5</v>
      </c>
      <c r="F2590" t="s">
        <v>15</v>
      </c>
      <c r="G2590" t="s">
        <v>16</v>
      </c>
      <c r="H2590" t="s">
        <v>17</v>
      </c>
      <c r="I2590">
        <v>0</v>
      </c>
      <c r="J2590">
        <v>1</v>
      </c>
      <c r="K2590">
        <v>0</v>
      </c>
    </row>
    <row r="2591" spans="1:11" x14ac:dyDescent="0.25">
      <c r="A2591" t="str">
        <f>"3289"</f>
        <v>3289</v>
      </c>
      <c r="B2591" t="str">
        <f t="shared" si="161"/>
        <v>1</v>
      </c>
      <c r="C2591" t="str">
        <f t="shared" si="164"/>
        <v>138</v>
      </c>
      <c r="D2591" t="str">
        <f>"11"</f>
        <v>11</v>
      </c>
      <c r="E2591" t="str">
        <f>"1-138-11"</f>
        <v>1-138-11</v>
      </c>
      <c r="F2591" t="s">
        <v>15</v>
      </c>
      <c r="G2591" t="s">
        <v>18</v>
      </c>
      <c r="H2591" t="s">
        <v>19</v>
      </c>
      <c r="I2591">
        <v>0</v>
      </c>
      <c r="J2591">
        <v>1</v>
      </c>
      <c r="K2591">
        <v>0</v>
      </c>
    </row>
    <row r="2592" spans="1:11" x14ac:dyDescent="0.25">
      <c r="A2592" t="str">
        <f>"3291"</f>
        <v>3291</v>
      </c>
      <c r="B2592" t="str">
        <f t="shared" ref="B2592:B2647" si="165">"1"</f>
        <v>1</v>
      </c>
      <c r="C2592" t="str">
        <f t="shared" ref="C2592:C2611" si="166">"139"</f>
        <v>139</v>
      </c>
      <c r="D2592" t="str">
        <f>"15"</f>
        <v>15</v>
      </c>
      <c r="E2592" t="str">
        <f>"1-139-15"</f>
        <v>1-139-15</v>
      </c>
      <c r="F2592" t="s">
        <v>15</v>
      </c>
      <c r="G2592" t="s">
        <v>20</v>
      </c>
      <c r="H2592" t="s">
        <v>21</v>
      </c>
      <c r="I2592">
        <v>1</v>
      </c>
      <c r="J2592">
        <v>0</v>
      </c>
      <c r="K2592">
        <v>0</v>
      </c>
    </row>
    <row r="2593" spans="1:11" x14ac:dyDescent="0.25">
      <c r="A2593" t="str">
        <f>"3293"</f>
        <v>3293</v>
      </c>
      <c r="B2593" t="str">
        <f t="shared" si="165"/>
        <v>1</v>
      </c>
      <c r="C2593" t="str">
        <f t="shared" si="166"/>
        <v>139</v>
      </c>
      <c r="D2593" t="str">
        <f>"16"</f>
        <v>16</v>
      </c>
      <c r="E2593" t="str">
        <f>"1-139-16"</f>
        <v>1-139-16</v>
      </c>
      <c r="F2593" t="s">
        <v>15</v>
      </c>
      <c r="G2593" t="s">
        <v>20</v>
      </c>
      <c r="H2593" t="s">
        <v>21</v>
      </c>
      <c r="I2593">
        <v>0</v>
      </c>
      <c r="J2593">
        <v>0</v>
      </c>
      <c r="K2593">
        <v>1</v>
      </c>
    </row>
    <row r="2594" spans="1:11" x14ac:dyDescent="0.25">
      <c r="A2594" t="str">
        <f>"3294"</f>
        <v>3294</v>
      </c>
      <c r="B2594" t="str">
        <f t="shared" si="165"/>
        <v>1</v>
      </c>
      <c r="C2594" t="str">
        <f t="shared" si="166"/>
        <v>139</v>
      </c>
      <c r="D2594" t="str">
        <f>"4"</f>
        <v>4</v>
      </c>
      <c r="E2594" t="str">
        <f>"1-139-4"</f>
        <v>1-139-4</v>
      </c>
      <c r="F2594" t="s">
        <v>15</v>
      </c>
      <c r="G2594" t="s">
        <v>18</v>
      </c>
      <c r="H2594" t="s">
        <v>19</v>
      </c>
      <c r="I2594">
        <v>0</v>
      </c>
      <c r="J2594">
        <v>0</v>
      </c>
      <c r="K2594">
        <v>1</v>
      </c>
    </row>
    <row r="2595" spans="1:11" x14ac:dyDescent="0.25">
      <c r="A2595" t="str">
        <f>"3295"</f>
        <v>3295</v>
      </c>
      <c r="B2595" t="str">
        <f t="shared" si="165"/>
        <v>1</v>
      </c>
      <c r="C2595" t="str">
        <f t="shared" si="166"/>
        <v>139</v>
      </c>
      <c r="D2595" t="str">
        <f>"17"</f>
        <v>17</v>
      </c>
      <c r="E2595" t="str">
        <f>"1-139-17"</f>
        <v>1-139-17</v>
      </c>
      <c r="F2595" t="s">
        <v>15</v>
      </c>
      <c r="G2595" t="s">
        <v>16</v>
      </c>
      <c r="H2595" t="s">
        <v>17</v>
      </c>
      <c r="I2595">
        <v>0</v>
      </c>
      <c r="J2595">
        <v>1</v>
      </c>
      <c r="K2595">
        <v>0</v>
      </c>
    </row>
    <row r="2596" spans="1:11" x14ac:dyDescent="0.25">
      <c r="A2596" t="str">
        <f>"3298"</f>
        <v>3298</v>
      </c>
      <c r="B2596" t="str">
        <f t="shared" si="165"/>
        <v>1</v>
      </c>
      <c r="C2596" t="str">
        <f t="shared" si="166"/>
        <v>139</v>
      </c>
      <c r="D2596" t="str">
        <f>"19"</f>
        <v>19</v>
      </c>
      <c r="E2596" t="str">
        <f>"1-139-19"</f>
        <v>1-139-19</v>
      </c>
      <c r="F2596" t="s">
        <v>15</v>
      </c>
      <c r="G2596" t="s">
        <v>20</v>
      </c>
      <c r="H2596" t="s">
        <v>21</v>
      </c>
      <c r="I2596">
        <v>1</v>
      </c>
      <c r="J2596">
        <v>0</v>
      </c>
      <c r="K2596">
        <v>0</v>
      </c>
    </row>
    <row r="2597" spans="1:11" x14ac:dyDescent="0.25">
      <c r="A2597" t="str">
        <f>"3300"</f>
        <v>3300</v>
      </c>
      <c r="B2597" t="str">
        <f t="shared" si="165"/>
        <v>1</v>
      </c>
      <c r="C2597" t="str">
        <f t="shared" si="166"/>
        <v>139</v>
      </c>
      <c r="D2597" t="str">
        <f>"20"</f>
        <v>20</v>
      </c>
      <c r="E2597" t="str">
        <f>"1-139-20"</f>
        <v>1-139-20</v>
      </c>
      <c r="F2597" t="s">
        <v>15</v>
      </c>
      <c r="G2597" t="s">
        <v>16</v>
      </c>
      <c r="H2597" t="s">
        <v>17</v>
      </c>
      <c r="I2597">
        <v>0</v>
      </c>
      <c r="J2597">
        <v>1</v>
      </c>
      <c r="K2597">
        <v>0</v>
      </c>
    </row>
    <row r="2598" spans="1:11" x14ac:dyDescent="0.25">
      <c r="A2598" t="str">
        <f>"3301"</f>
        <v>3301</v>
      </c>
      <c r="B2598" t="str">
        <f t="shared" si="165"/>
        <v>1</v>
      </c>
      <c r="C2598" t="str">
        <f t="shared" si="166"/>
        <v>139</v>
      </c>
      <c r="D2598" t="str">
        <f>"1"</f>
        <v>1</v>
      </c>
      <c r="E2598" t="str">
        <f>"1-139-1"</f>
        <v>1-139-1</v>
      </c>
      <c r="F2598" t="s">
        <v>15</v>
      </c>
      <c r="G2598" t="s">
        <v>16</v>
      </c>
      <c r="H2598" t="s">
        <v>17</v>
      </c>
      <c r="I2598">
        <v>0</v>
      </c>
      <c r="J2598">
        <v>1</v>
      </c>
      <c r="K2598">
        <v>0</v>
      </c>
    </row>
    <row r="2599" spans="1:11" x14ac:dyDescent="0.25">
      <c r="A2599" t="str">
        <f>"3302"</f>
        <v>3302</v>
      </c>
      <c r="B2599" t="str">
        <f t="shared" si="165"/>
        <v>1</v>
      </c>
      <c r="C2599" t="str">
        <f t="shared" si="166"/>
        <v>139</v>
      </c>
      <c r="D2599" t="str">
        <f>"21"</f>
        <v>21</v>
      </c>
      <c r="E2599" t="str">
        <f>"1-139-21"</f>
        <v>1-139-21</v>
      </c>
      <c r="F2599" t="s">
        <v>15</v>
      </c>
      <c r="G2599" t="s">
        <v>20</v>
      </c>
      <c r="H2599" t="s">
        <v>21</v>
      </c>
      <c r="I2599">
        <v>0</v>
      </c>
      <c r="J2599">
        <v>1</v>
      </c>
      <c r="K2599">
        <v>0</v>
      </c>
    </row>
    <row r="2600" spans="1:11" x14ac:dyDescent="0.25">
      <c r="A2600" t="str">
        <f>"3303"</f>
        <v>3303</v>
      </c>
      <c r="B2600" t="str">
        <f t="shared" si="165"/>
        <v>1</v>
      </c>
      <c r="C2600" t="str">
        <f t="shared" si="166"/>
        <v>139</v>
      </c>
      <c r="D2600" t="str">
        <f>"10"</f>
        <v>10</v>
      </c>
      <c r="E2600" t="str">
        <f>"1-139-10"</f>
        <v>1-139-10</v>
      </c>
      <c r="F2600" t="s">
        <v>15</v>
      </c>
      <c r="G2600" t="s">
        <v>16</v>
      </c>
      <c r="H2600" t="s">
        <v>17</v>
      </c>
      <c r="I2600">
        <v>0</v>
      </c>
      <c r="J2600">
        <v>1</v>
      </c>
      <c r="K2600">
        <v>0</v>
      </c>
    </row>
    <row r="2601" spans="1:11" x14ac:dyDescent="0.25">
      <c r="A2601" t="str">
        <f>"3304"</f>
        <v>3304</v>
      </c>
      <c r="B2601" t="str">
        <f t="shared" si="165"/>
        <v>1</v>
      </c>
      <c r="C2601" t="str">
        <f t="shared" si="166"/>
        <v>139</v>
      </c>
      <c r="D2601" t="str">
        <f>"23"</f>
        <v>23</v>
      </c>
      <c r="E2601" t="str">
        <f>"1-139-23"</f>
        <v>1-139-23</v>
      </c>
      <c r="F2601" t="s">
        <v>15</v>
      </c>
      <c r="G2601" t="s">
        <v>16</v>
      </c>
      <c r="H2601" t="s">
        <v>17</v>
      </c>
      <c r="I2601">
        <v>0</v>
      </c>
      <c r="J2601">
        <v>0</v>
      </c>
      <c r="K2601">
        <v>1</v>
      </c>
    </row>
    <row r="2602" spans="1:11" x14ac:dyDescent="0.25">
      <c r="A2602" t="str">
        <f>"3305"</f>
        <v>3305</v>
      </c>
      <c r="B2602" t="str">
        <f t="shared" si="165"/>
        <v>1</v>
      </c>
      <c r="C2602" t="str">
        <f t="shared" si="166"/>
        <v>139</v>
      </c>
      <c r="D2602" t="str">
        <f>"7"</f>
        <v>7</v>
      </c>
      <c r="E2602" t="str">
        <f>"1-139-7"</f>
        <v>1-139-7</v>
      </c>
      <c r="F2602" t="s">
        <v>15</v>
      </c>
      <c r="G2602" t="s">
        <v>16</v>
      </c>
      <c r="H2602" t="s">
        <v>17</v>
      </c>
      <c r="I2602">
        <v>1</v>
      </c>
      <c r="J2602">
        <v>0</v>
      </c>
      <c r="K2602">
        <v>0</v>
      </c>
    </row>
    <row r="2603" spans="1:11" x14ac:dyDescent="0.25">
      <c r="A2603" t="str">
        <f>"3306"</f>
        <v>3306</v>
      </c>
      <c r="B2603" t="str">
        <f t="shared" si="165"/>
        <v>1</v>
      </c>
      <c r="C2603" t="str">
        <f t="shared" si="166"/>
        <v>139</v>
      </c>
      <c r="D2603" t="str">
        <f>"24"</f>
        <v>24</v>
      </c>
      <c r="E2603" t="str">
        <f>"1-139-24"</f>
        <v>1-139-24</v>
      </c>
      <c r="F2603" t="s">
        <v>15</v>
      </c>
      <c r="G2603" t="s">
        <v>16</v>
      </c>
      <c r="H2603" t="s">
        <v>17</v>
      </c>
      <c r="I2603">
        <v>0</v>
      </c>
      <c r="J2603">
        <v>1</v>
      </c>
      <c r="K2603">
        <v>0</v>
      </c>
    </row>
    <row r="2604" spans="1:11" x14ac:dyDescent="0.25">
      <c r="A2604" t="str">
        <f>"3307"</f>
        <v>3307</v>
      </c>
      <c r="B2604" t="str">
        <f t="shared" si="165"/>
        <v>1</v>
      </c>
      <c r="C2604" t="str">
        <f t="shared" si="166"/>
        <v>139</v>
      </c>
      <c r="D2604" t="str">
        <f>"3"</f>
        <v>3</v>
      </c>
      <c r="E2604" t="str">
        <f>"1-139-3"</f>
        <v>1-139-3</v>
      </c>
      <c r="F2604" t="s">
        <v>15</v>
      </c>
      <c r="G2604" t="s">
        <v>18</v>
      </c>
      <c r="H2604" t="s">
        <v>19</v>
      </c>
      <c r="I2604">
        <v>0</v>
      </c>
      <c r="J2604">
        <v>1</v>
      </c>
      <c r="K2604">
        <v>0</v>
      </c>
    </row>
    <row r="2605" spans="1:11" x14ac:dyDescent="0.25">
      <c r="A2605" t="str">
        <f>"3308"</f>
        <v>3308</v>
      </c>
      <c r="B2605" t="str">
        <f t="shared" si="165"/>
        <v>1</v>
      </c>
      <c r="C2605" t="str">
        <f t="shared" si="166"/>
        <v>139</v>
      </c>
      <c r="D2605" t="str">
        <f>"9"</f>
        <v>9</v>
      </c>
      <c r="E2605" t="str">
        <f>"1-139-9"</f>
        <v>1-139-9</v>
      </c>
      <c r="F2605" t="s">
        <v>15</v>
      </c>
      <c r="G2605" t="s">
        <v>16</v>
      </c>
      <c r="H2605" t="s">
        <v>17</v>
      </c>
      <c r="I2605">
        <v>1</v>
      </c>
      <c r="J2605">
        <v>0</v>
      </c>
      <c r="K2605">
        <v>0</v>
      </c>
    </row>
    <row r="2606" spans="1:11" x14ac:dyDescent="0.25">
      <c r="A2606" t="str">
        <f>"3309"</f>
        <v>3309</v>
      </c>
      <c r="B2606" t="str">
        <f t="shared" si="165"/>
        <v>1</v>
      </c>
      <c r="C2606" t="str">
        <f t="shared" si="166"/>
        <v>139</v>
      </c>
      <c r="D2606" t="str">
        <f>"12"</f>
        <v>12</v>
      </c>
      <c r="E2606" t="str">
        <f>"1-139-12"</f>
        <v>1-139-12</v>
      </c>
      <c r="F2606" t="s">
        <v>15</v>
      </c>
      <c r="G2606" t="s">
        <v>20</v>
      </c>
      <c r="H2606" t="s">
        <v>21</v>
      </c>
      <c r="I2606">
        <v>0</v>
      </c>
      <c r="J2606">
        <v>0</v>
      </c>
      <c r="K2606">
        <v>1</v>
      </c>
    </row>
    <row r="2607" spans="1:11" x14ac:dyDescent="0.25">
      <c r="A2607" t="str">
        <f>"3310"</f>
        <v>3310</v>
      </c>
      <c r="B2607" t="str">
        <f t="shared" si="165"/>
        <v>1</v>
      </c>
      <c r="C2607" t="str">
        <f t="shared" si="166"/>
        <v>139</v>
      </c>
      <c r="D2607" t="str">
        <f>"11"</f>
        <v>11</v>
      </c>
      <c r="E2607" t="str">
        <f>"1-139-11"</f>
        <v>1-139-11</v>
      </c>
      <c r="F2607" t="s">
        <v>15</v>
      </c>
      <c r="G2607" t="s">
        <v>16</v>
      </c>
      <c r="H2607" t="s">
        <v>17</v>
      </c>
      <c r="I2607">
        <v>0</v>
      </c>
      <c r="J2607">
        <v>0</v>
      </c>
      <c r="K2607">
        <v>0</v>
      </c>
    </row>
    <row r="2608" spans="1:11" x14ac:dyDescent="0.25">
      <c r="A2608" t="str">
        <f>"3311"</f>
        <v>3311</v>
      </c>
      <c r="B2608" t="str">
        <f t="shared" si="165"/>
        <v>1</v>
      </c>
      <c r="C2608" t="str">
        <f t="shared" si="166"/>
        <v>139</v>
      </c>
      <c r="D2608" t="str">
        <f>"13"</f>
        <v>13</v>
      </c>
      <c r="E2608" t="str">
        <f>"1-139-13"</f>
        <v>1-139-13</v>
      </c>
      <c r="F2608" t="s">
        <v>15</v>
      </c>
      <c r="G2608" t="s">
        <v>16</v>
      </c>
      <c r="H2608" t="s">
        <v>17</v>
      </c>
      <c r="I2608">
        <v>0</v>
      </c>
      <c r="J2608">
        <v>0</v>
      </c>
      <c r="K2608">
        <v>0</v>
      </c>
    </row>
    <row r="2609" spans="1:11" x14ac:dyDescent="0.25">
      <c r="A2609" t="str">
        <f>"3312"</f>
        <v>3312</v>
      </c>
      <c r="B2609" t="str">
        <f t="shared" si="165"/>
        <v>1</v>
      </c>
      <c r="C2609" t="str">
        <f t="shared" si="166"/>
        <v>139</v>
      </c>
      <c r="D2609" t="str">
        <f>"18"</f>
        <v>18</v>
      </c>
      <c r="E2609" t="str">
        <f>"1-139-18"</f>
        <v>1-139-18</v>
      </c>
      <c r="F2609" t="s">
        <v>15</v>
      </c>
      <c r="G2609" t="s">
        <v>20</v>
      </c>
      <c r="H2609" t="s">
        <v>21</v>
      </c>
      <c r="I2609">
        <v>0</v>
      </c>
      <c r="J2609">
        <v>0</v>
      </c>
      <c r="K2609">
        <v>0</v>
      </c>
    </row>
    <row r="2610" spans="1:11" x14ac:dyDescent="0.25">
      <c r="A2610" t="str">
        <f>"3313"</f>
        <v>3313</v>
      </c>
      <c r="B2610" t="str">
        <f t="shared" si="165"/>
        <v>1</v>
      </c>
      <c r="C2610" t="str">
        <f t="shared" si="166"/>
        <v>139</v>
      </c>
      <c r="D2610" t="str">
        <f>"14"</f>
        <v>14</v>
      </c>
      <c r="E2610" t="str">
        <f>"1-139-14"</f>
        <v>1-139-14</v>
      </c>
      <c r="F2610" t="s">
        <v>15</v>
      </c>
      <c r="G2610" t="s">
        <v>20</v>
      </c>
      <c r="H2610" t="s">
        <v>21</v>
      </c>
      <c r="I2610">
        <v>0</v>
      </c>
      <c r="J2610">
        <v>0</v>
      </c>
      <c r="K2610">
        <v>0</v>
      </c>
    </row>
    <row r="2611" spans="1:11" x14ac:dyDescent="0.25">
      <c r="A2611" t="str">
        <f>"3314"</f>
        <v>3314</v>
      </c>
      <c r="B2611" t="str">
        <f t="shared" si="165"/>
        <v>1</v>
      </c>
      <c r="C2611" t="str">
        <f t="shared" si="166"/>
        <v>139</v>
      </c>
      <c r="D2611" t="str">
        <f>"22"</f>
        <v>22</v>
      </c>
      <c r="E2611" t="str">
        <f>"1-139-22"</f>
        <v>1-139-22</v>
      </c>
      <c r="F2611" t="s">
        <v>15</v>
      </c>
      <c r="G2611" t="s">
        <v>20</v>
      </c>
      <c r="H2611" t="s">
        <v>21</v>
      </c>
      <c r="I2611">
        <v>0</v>
      </c>
      <c r="J2611">
        <v>0</v>
      </c>
      <c r="K2611">
        <v>0</v>
      </c>
    </row>
    <row r="2612" spans="1:11" x14ac:dyDescent="0.25">
      <c r="A2612" t="str">
        <f>"3315"</f>
        <v>3315</v>
      </c>
      <c r="B2612" t="str">
        <f t="shared" si="165"/>
        <v>1</v>
      </c>
      <c r="C2612" t="str">
        <f t="shared" ref="C2612:C2635" si="167">"140"</f>
        <v>140</v>
      </c>
      <c r="D2612" t="str">
        <f>"22"</f>
        <v>22</v>
      </c>
      <c r="E2612" t="str">
        <f>"1-140-22"</f>
        <v>1-140-22</v>
      </c>
      <c r="F2612" t="s">
        <v>15</v>
      </c>
      <c r="G2612" t="s">
        <v>20</v>
      </c>
      <c r="H2612" t="s">
        <v>21</v>
      </c>
      <c r="I2612">
        <v>0</v>
      </c>
      <c r="J2612">
        <v>0</v>
      </c>
      <c r="K2612">
        <v>1</v>
      </c>
    </row>
    <row r="2613" spans="1:11" x14ac:dyDescent="0.25">
      <c r="A2613" t="str">
        <f>"3316"</f>
        <v>3316</v>
      </c>
      <c r="B2613" t="str">
        <f t="shared" si="165"/>
        <v>1</v>
      </c>
      <c r="C2613" t="str">
        <f t="shared" si="167"/>
        <v>140</v>
      </c>
      <c r="D2613" t="str">
        <f>"17"</f>
        <v>17</v>
      </c>
      <c r="E2613" t="str">
        <f>"1-140-17"</f>
        <v>1-140-17</v>
      </c>
      <c r="F2613" t="s">
        <v>15</v>
      </c>
      <c r="G2613" t="s">
        <v>20</v>
      </c>
      <c r="H2613" t="s">
        <v>21</v>
      </c>
      <c r="I2613">
        <v>1</v>
      </c>
      <c r="J2613">
        <v>0</v>
      </c>
      <c r="K2613">
        <v>0</v>
      </c>
    </row>
    <row r="2614" spans="1:11" x14ac:dyDescent="0.25">
      <c r="A2614" t="str">
        <f>"3317"</f>
        <v>3317</v>
      </c>
      <c r="B2614" t="str">
        <f t="shared" si="165"/>
        <v>1</v>
      </c>
      <c r="C2614" t="str">
        <f t="shared" si="167"/>
        <v>140</v>
      </c>
      <c r="D2614" t="str">
        <f>"25"</f>
        <v>25</v>
      </c>
      <c r="E2614" t="str">
        <f>"1-140-25"</f>
        <v>1-140-25</v>
      </c>
      <c r="F2614" t="s">
        <v>15</v>
      </c>
      <c r="G2614" t="s">
        <v>20</v>
      </c>
      <c r="H2614" t="s">
        <v>21</v>
      </c>
      <c r="I2614">
        <v>0</v>
      </c>
      <c r="J2614">
        <v>0</v>
      </c>
      <c r="K2614">
        <v>1</v>
      </c>
    </row>
    <row r="2615" spans="1:11" x14ac:dyDescent="0.25">
      <c r="A2615" t="str">
        <f>"3318"</f>
        <v>3318</v>
      </c>
      <c r="B2615" t="str">
        <f t="shared" si="165"/>
        <v>1</v>
      </c>
      <c r="C2615" t="str">
        <f t="shared" si="167"/>
        <v>140</v>
      </c>
      <c r="D2615" t="str">
        <f>"16"</f>
        <v>16</v>
      </c>
      <c r="E2615" t="str">
        <f>"1-140-16"</f>
        <v>1-140-16</v>
      </c>
      <c r="F2615" t="s">
        <v>15</v>
      </c>
      <c r="G2615" t="s">
        <v>20</v>
      </c>
      <c r="H2615" t="s">
        <v>21</v>
      </c>
      <c r="I2615">
        <v>1</v>
      </c>
      <c r="J2615">
        <v>0</v>
      </c>
      <c r="K2615">
        <v>0</v>
      </c>
    </row>
    <row r="2616" spans="1:11" x14ac:dyDescent="0.25">
      <c r="A2616" t="str">
        <f>"3320"</f>
        <v>3320</v>
      </c>
      <c r="B2616" t="str">
        <f t="shared" si="165"/>
        <v>1</v>
      </c>
      <c r="C2616" t="str">
        <f t="shared" si="167"/>
        <v>140</v>
      </c>
      <c r="D2616" t="str">
        <f>"18"</f>
        <v>18</v>
      </c>
      <c r="E2616" t="str">
        <f>"1-140-18"</f>
        <v>1-140-18</v>
      </c>
      <c r="F2616" t="s">
        <v>15</v>
      </c>
      <c r="G2616" t="s">
        <v>20</v>
      </c>
      <c r="H2616" t="s">
        <v>21</v>
      </c>
      <c r="I2616">
        <v>0</v>
      </c>
      <c r="J2616">
        <v>0</v>
      </c>
      <c r="K2616">
        <v>1</v>
      </c>
    </row>
    <row r="2617" spans="1:11" x14ac:dyDescent="0.25">
      <c r="A2617" t="str">
        <f>"3321"</f>
        <v>3321</v>
      </c>
      <c r="B2617" t="str">
        <f t="shared" si="165"/>
        <v>1</v>
      </c>
      <c r="C2617" t="str">
        <f t="shared" si="167"/>
        <v>140</v>
      </c>
      <c r="D2617" t="str">
        <f>"13"</f>
        <v>13</v>
      </c>
      <c r="E2617" t="str">
        <f>"1-140-13"</f>
        <v>1-140-13</v>
      </c>
      <c r="F2617" t="s">
        <v>15</v>
      </c>
      <c r="G2617" t="s">
        <v>20</v>
      </c>
      <c r="H2617" t="s">
        <v>21</v>
      </c>
      <c r="I2617">
        <v>0</v>
      </c>
      <c r="J2617">
        <v>1</v>
      </c>
      <c r="K2617">
        <v>0</v>
      </c>
    </row>
    <row r="2618" spans="1:11" x14ac:dyDescent="0.25">
      <c r="A2618" t="str">
        <f>"3322"</f>
        <v>3322</v>
      </c>
      <c r="B2618" t="str">
        <f t="shared" si="165"/>
        <v>1</v>
      </c>
      <c r="C2618" t="str">
        <f t="shared" si="167"/>
        <v>140</v>
      </c>
      <c r="D2618" t="str">
        <f>"19"</f>
        <v>19</v>
      </c>
      <c r="E2618" t="str">
        <f>"1-140-19"</f>
        <v>1-140-19</v>
      </c>
      <c r="F2618" t="s">
        <v>15</v>
      </c>
      <c r="G2618" t="s">
        <v>20</v>
      </c>
      <c r="H2618" t="s">
        <v>21</v>
      </c>
      <c r="I2618">
        <v>0</v>
      </c>
      <c r="J2618">
        <v>0</v>
      </c>
      <c r="K2618">
        <v>1</v>
      </c>
    </row>
    <row r="2619" spans="1:11" x14ac:dyDescent="0.25">
      <c r="A2619" t="str">
        <f>"3323"</f>
        <v>3323</v>
      </c>
      <c r="B2619" t="str">
        <f t="shared" si="165"/>
        <v>1</v>
      </c>
      <c r="C2619" t="str">
        <f t="shared" si="167"/>
        <v>140</v>
      </c>
      <c r="D2619" t="str">
        <f>"4"</f>
        <v>4</v>
      </c>
      <c r="E2619" t="str">
        <f>"1-140-4"</f>
        <v>1-140-4</v>
      </c>
      <c r="F2619" t="s">
        <v>15</v>
      </c>
      <c r="G2619" t="s">
        <v>20</v>
      </c>
      <c r="H2619" t="s">
        <v>21</v>
      </c>
      <c r="I2619">
        <v>0</v>
      </c>
      <c r="J2619">
        <v>0</v>
      </c>
      <c r="K2619">
        <v>1</v>
      </c>
    </row>
    <row r="2620" spans="1:11" x14ac:dyDescent="0.25">
      <c r="A2620" t="str">
        <f>"3324"</f>
        <v>3324</v>
      </c>
      <c r="B2620" t="str">
        <f t="shared" si="165"/>
        <v>1</v>
      </c>
      <c r="C2620" t="str">
        <f t="shared" si="167"/>
        <v>140</v>
      </c>
      <c r="D2620" t="str">
        <f>"20"</f>
        <v>20</v>
      </c>
      <c r="E2620" t="str">
        <f>"1-140-20"</f>
        <v>1-140-20</v>
      </c>
      <c r="F2620" t="s">
        <v>15</v>
      </c>
      <c r="G2620" t="s">
        <v>20</v>
      </c>
      <c r="H2620" t="s">
        <v>21</v>
      </c>
      <c r="I2620">
        <v>1</v>
      </c>
      <c r="J2620">
        <v>0</v>
      </c>
      <c r="K2620">
        <v>0</v>
      </c>
    </row>
    <row r="2621" spans="1:11" x14ac:dyDescent="0.25">
      <c r="A2621" t="str">
        <f>"3325"</f>
        <v>3325</v>
      </c>
      <c r="B2621" t="str">
        <f t="shared" si="165"/>
        <v>1</v>
      </c>
      <c r="C2621" t="str">
        <f t="shared" si="167"/>
        <v>140</v>
      </c>
      <c r="D2621" t="str">
        <f>"7"</f>
        <v>7</v>
      </c>
      <c r="E2621" t="str">
        <f>"1-140-7"</f>
        <v>1-140-7</v>
      </c>
      <c r="F2621" t="s">
        <v>15</v>
      </c>
      <c r="G2621" t="s">
        <v>20</v>
      </c>
      <c r="H2621" t="s">
        <v>21</v>
      </c>
      <c r="I2621">
        <v>0</v>
      </c>
      <c r="J2621">
        <v>0</v>
      </c>
      <c r="K2621">
        <v>1</v>
      </c>
    </row>
    <row r="2622" spans="1:11" x14ac:dyDescent="0.25">
      <c r="A2622" t="str">
        <f>"3326"</f>
        <v>3326</v>
      </c>
      <c r="B2622" t="str">
        <f t="shared" si="165"/>
        <v>1</v>
      </c>
      <c r="C2622" t="str">
        <f t="shared" si="167"/>
        <v>140</v>
      </c>
      <c r="D2622" t="str">
        <f>"8"</f>
        <v>8</v>
      </c>
      <c r="E2622" t="str">
        <f>"1-140-8"</f>
        <v>1-140-8</v>
      </c>
      <c r="F2622" t="s">
        <v>15</v>
      </c>
      <c r="G2622" t="s">
        <v>20</v>
      </c>
      <c r="H2622" t="s">
        <v>21</v>
      </c>
      <c r="I2622">
        <v>0</v>
      </c>
      <c r="J2622">
        <v>0</v>
      </c>
      <c r="K2622">
        <v>1</v>
      </c>
    </row>
    <row r="2623" spans="1:11" x14ac:dyDescent="0.25">
      <c r="A2623" t="str">
        <f>"3327"</f>
        <v>3327</v>
      </c>
      <c r="B2623" t="str">
        <f t="shared" si="165"/>
        <v>1</v>
      </c>
      <c r="C2623" t="str">
        <f t="shared" si="167"/>
        <v>140</v>
      </c>
      <c r="D2623" t="str">
        <f>"24"</f>
        <v>24</v>
      </c>
      <c r="E2623" t="str">
        <f>"1-140-24"</f>
        <v>1-140-24</v>
      </c>
      <c r="F2623" t="s">
        <v>15</v>
      </c>
      <c r="G2623" t="s">
        <v>20</v>
      </c>
      <c r="H2623" t="s">
        <v>21</v>
      </c>
      <c r="I2623">
        <v>0</v>
      </c>
      <c r="J2623">
        <v>0</v>
      </c>
      <c r="K2623">
        <v>1</v>
      </c>
    </row>
    <row r="2624" spans="1:11" x14ac:dyDescent="0.25">
      <c r="A2624" t="str">
        <f>"3328"</f>
        <v>3328</v>
      </c>
      <c r="B2624" t="str">
        <f t="shared" si="165"/>
        <v>1</v>
      </c>
      <c r="C2624" t="str">
        <f t="shared" si="167"/>
        <v>140</v>
      </c>
      <c r="D2624" t="str">
        <f>"5"</f>
        <v>5</v>
      </c>
      <c r="E2624" t="str">
        <f>"1-140-5"</f>
        <v>1-140-5</v>
      </c>
      <c r="F2624" t="s">
        <v>15</v>
      </c>
      <c r="G2624" t="s">
        <v>20</v>
      </c>
      <c r="H2624" t="s">
        <v>21</v>
      </c>
      <c r="I2624">
        <v>0</v>
      </c>
      <c r="J2624">
        <v>0</v>
      </c>
      <c r="K2624">
        <v>1</v>
      </c>
    </row>
    <row r="2625" spans="1:11" x14ac:dyDescent="0.25">
      <c r="A2625" t="str">
        <f>"3329"</f>
        <v>3329</v>
      </c>
      <c r="B2625" t="str">
        <f t="shared" si="165"/>
        <v>1</v>
      </c>
      <c r="C2625" t="str">
        <f t="shared" si="167"/>
        <v>140</v>
      </c>
      <c r="D2625" t="str">
        <f>"14"</f>
        <v>14</v>
      </c>
      <c r="E2625" t="str">
        <f>"1-140-14"</f>
        <v>1-140-14</v>
      </c>
      <c r="F2625" t="s">
        <v>15</v>
      </c>
      <c r="G2625" t="s">
        <v>20</v>
      </c>
      <c r="H2625" t="s">
        <v>21</v>
      </c>
      <c r="I2625">
        <v>1</v>
      </c>
      <c r="J2625">
        <v>0</v>
      </c>
      <c r="K2625">
        <v>0</v>
      </c>
    </row>
    <row r="2626" spans="1:11" x14ac:dyDescent="0.25">
      <c r="A2626" t="str">
        <f>"3330"</f>
        <v>3330</v>
      </c>
      <c r="B2626" t="str">
        <f t="shared" si="165"/>
        <v>1</v>
      </c>
      <c r="C2626" t="str">
        <f t="shared" si="167"/>
        <v>140</v>
      </c>
      <c r="D2626" t="str">
        <f>"2"</f>
        <v>2</v>
      </c>
      <c r="E2626" t="str">
        <f>"1-140-2"</f>
        <v>1-140-2</v>
      </c>
      <c r="F2626" t="s">
        <v>15</v>
      </c>
      <c r="G2626" t="s">
        <v>20</v>
      </c>
      <c r="H2626" t="s">
        <v>21</v>
      </c>
      <c r="I2626">
        <v>0</v>
      </c>
      <c r="J2626">
        <v>1</v>
      </c>
      <c r="K2626">
        <v>0</v>
      </c>
    </row>
    <row r="2627" spans="1:11" x14ac:dyDescent="0.25">
      <c r="A2627" t="str">
        <f>"3331"</f>
        <v>3331</v>
      </c>
      <c r="B2627" t="str">
        <f t="shared" si="165"/>
        <v>1</v>
      </c>
      <c r="C2627" t="str">
        <f t="shared" si="167"/>
        <v>140</v>
      </c>
      <c r="D2627" t="str">
        <f>"11"</f>
        <v>11</v>
      </c>
      <c r="E2627" t="str">
        <f>"1-140-11"</f>
        <v>1-140-11</v>
      </c>
      <c r="F2627" t="s">
        <v>15</v>
      </c>
      <c r="G2627" t="s">
        <v>20</v>
      </c>
      <c r="H2627" t="s">
        <v>21</v>
      </c>
      <c r="I2627">
        <v>1</v>
      </c>
      <c r="J2627">
        <v>0</v>
      </c>
      <c r="K2627">
        <v>0</v>
      </c>
    </row>
    <row r="2628" spans="1:11" x14ac:dyDescent="0.25">
      <c r="A2628" t="str">
        <f>"3332"</f>
        <v>3332</v>
      </c>
      <c r="B2628" t="str">
        <f t="shared" si="165"/>
        <v>1</v>
      </c>
      <c r="C2628" t="str">
        <f t="shared" si="167"/>
        <v>140</v>
      </c>
      <c r="D2628" t="str">
        <f>"10"</f>
        <v>10</v>
      </c>
      <c r="E2628" t="str">
        <f>"1-140-10"</f>
        <v>1-140-10</v>
      </c>
      <c r="F2628" t="s">
        <v>15</v>
      </c>
      <c r="G2628" t="s">
        <v>20</v>
      </c>
      <c r="H2628" t="s">
        <v>21</v>
      </c>
      <c r="I2628">
        <v>0</v>
      </c>
      <c r="J2628">
        <v>0</v>
      </c>
      <c r="K2628">
        <v>1</v>
      </c>
    </row>
    <row r="2629" spans="1:11" x14ac:dyDescent="0.25">
      <c r="A2629" t="str">
        <f>"3333"</f>
        <v>3333</v>
      </c>
      <c r="B2629" t="str">
        <f t="shared" si="165"/>
        <v>1</v>
      </c>
      <c r="C2629" t="str">
        <f t="shared" si="167"/>
        <v>140</v>
      </c>
      <c r="D2629" t="str">
        <f>"9"</f>
        <v>9</v>
      </c>
      <c r="E2629" t="str">
        <f>"1-140-9"</f>
        <v>1-140-9</v>
      </c>
      <c r="F2629" t="s">
        <v>15</v>
      </c>
      <c r="G2629" t="s">
        <v>20</v>
      </c>
      <c r="H2629" t="s">
        <v>21</v>
      </c>
      <c r="I2629">
        <v>0</v>
      </c>
      <c r="J2629">
        <v>1</v>
      </c>
      <c r="K2629">
        <v>0</v>
      </c>
    </row>
    <row r="2630" spans="1:11" x14ac:dyDescent="0.25">
      <c r="A2630" t="str">
        <f>"3334"</f>
        <v>3334</v>
      </c>
      <c r="B2630" t="str">
        <f t="shared" si="165"/>
        <v>1</v>
      </c>
      <c r="C2630" t="str">
        <f t="shared" si="167"/>
        <v>140</v>
      </c>
      <c r="D2630" t="str">
        <f>"12"</f>
        <v>12</v>
      </c>
      <c r="E2630" t="str">
        <f>"1-140-12"</f>
        <v>1-140-12</v>
      </c>
      <c r="F2630" t="s">
        <v>15</v>
      </c>
      <c r="G2630" t="s">
        <v>20</v>
      </c>
      <c r="H2630" t="s">
        <v>21</v>
      </c>
      <c r="I2630">
        <v>0</v>
      </c>
      <c r="J2630">
        <v>0</v>
      </c>
      <c r="K2630">
        <v>1</v>
      </c>
    </row>
    <row r="2631" spans="1:11" x14ac:dyDescent="0.25">
      <c r="A2631" t="str">
        <f>"3335"</f>
        <v>3335</v>
      </c>
      <c r="B2631" t="str">
        <f t="shared" si="165"/>
        <v>1</v>
      </c>
      <c r="C2631" t="str">
        <f t="shared" si="167"/>
        <v>140</v>
      </c>
      <c r="D2631" t="str">
        <f>"1"</f>
        <v>1</v>
      </c>
      <c r="E2631" t="str">
        <f>"1-140-1"</f>
        <v>1-140-1</v>
      </c>
      <c r="F2631" t="s">
        <v>15</v>
      </c>
      <c r="G2631" t="s">
        <v>20</v>
      </c>
      <c r="H2631" t="s">
        <v>21</v>
      </c>
      <c r="I2631">
        <v>0</v>
      </c>
      <c r="J2631">
        <v>0</v>
      </c>
      <c r="K2631">
        <v>0</v>
      </c>
    </row>
    <row r="2632" spans="1:11" x14ac:dyDescent="0.25">
      <c r="A2632" t="str">
        <f>"3336"</f>
        <v>3336</v>
      </c>
      <c r="B2632" t="str">
        <f t="shared" si="165"/>
        <v>1</v>
      </c>
      <c r="C2632" t="str">
        <f t="shared" si="167"/>
        <v>140</v>
      </c>
      <c r="D2632" t="str">
        <f>"3"</f>
        <v>3</v>
      </c>
      <c r="E2632" t="str">
        <f>"1-140-3"</f>
        <v>1-140-3</v>
      </c>
      <c r="F2632" t="s">
        <v>15</v>
      </c>
      <c r="G2632" t="s">
        <v>20</v>
      </c>
      <c r="H2632" t="s">
        <v>21</v>
      </c>
      <c r="I2632">
        <v>0</v>
      </c>
      <c r="J2632">
        <v>0</v>
      </c>
      <c r="K2632">
        <v>0</v>
      </c>
    </row>
    <row r="2633" spans="1:11" x14ac:dyDescent="0.25">
      <c r="A2633" t="str">
        <f>"3337"</f>
        <v>3337</v>
      </c>
      <c r="B2633" t="str">
        <f t="shared" si="165"/>
        <v>1</v>
      </c>
      <c r="C2633" t="str">
        <f t="shared" si="167"/>
        <v>140</v>
      </c>
      <c r="D2633" t="str">
        <f>"15"</f>
        <v>15</v>
      </c>
      <c r="E2633" t="str">
        <f>"1-140-15"</f>
        <v>1-140-15</v>
      </c>
      <c r="F2633" t="s">
        <v>15</v>
      </c>
      <c r="G2633" t="s">
        <v>20</v>
      </c>
      <c r="H2633" t="s">
        <v>21</v>
      </c>
      <c r="I2633">
        <v>0</v>
      </c>
      <c r="J2633">
        <v>0</v>
      </c>
      <c r="K2633">
        <v>0</v>
      </c>
    </row>
    <row r="2634" spans="1:11" x14ac:dyDescent="0.25">
      <c r="A2634" t="str">
        <f>"3338"</f>
        <v>3338</v>
      </c>
      <c r="B2634" t="str">
        <f t="shared" si="165"/>
        <v>1</v>
      </c>
      <c r="C2634" t="str">
        <f t="shared" si="167"/>
        <v>140</v>
      </c>
      <c r="D2634" t="str">
        <f>"21"</f>
        <v>21</v>
      </c>
      <c r="E2634" t="str">
        <f>"1-140-21"</f>
        <v>1-140-21</v>
      </c>
      <c r="F2634" t="s">
        <v>15</v>
      </c>
      <c r="G2634" t="s">
        <v>20</v>
      </c>
      <c r="H2634" t="s">
        <v>21</v>
      </c>
      <c r="I2634">
        <v>0</v>
      </c>
      <c r="J2634">
        <v>0</v>
      </c>
      <c r="K2634">
        <v>1</v>
      </c>
    </row>
    <row r="2635" spans="1:11" x14ac:dyDescent="0.25">
      <c r="A2635" t="str">
        <f>"3339"</f>
        <v>3339</v>
      </c>
      <c r="B2635" t="str">
        <f t="shared" si="165"/>
        <v>1</v>
      </c>
      <c r="C2635" t="str">
        <f t="shared" si="167"/>
        <v>140</v>
      </c>
      <c r="D2635" t="str">
        <f>"23"</f>
        <v>23</v>
      </c>
      <c r="E2635" t="str">
        <f>"1-140-23"</f>
        <v>1-140-23</v>
      </c>
      <c r="F2635" t="s">
        <v>15</v>
      </c>
      <c r="G2635" t="s">
        <v>20</v>
      </c>
      <c r="H2635" t="s">
        <v>21</v>
      </c>
      <c r="I2635">
        <v>0</v>
      </c>
      <c r="J2635">
        <v>0</v>
      </c>
      <c r="K2635">
        <v>0</v>
      </c>
    </row>
    <row r="2636" spans="1:11" x14ac:dyDescent="0.25">
      <c r="A2636" t="str">
        <f>"3340"</f>
        <v>3340</v>
      </c>
      <c r="B2636" t="str">
        <f t="shared" si="165"/>
        <v>1</v>
      </c>
      <c r="C2636" t="str">
        <f t="shared" ref="C2636:C2662" si="168">"141"</f>
        <v>141</v>
      </c>
      <c r="D2636" t="str">
        <f>"16"</f>
        <v>16</v>
      </c>
      <c r="E2636" t="str">
        <f>"1-141-16"</f>
        <v>1-141-16</v>
      </c>
      <c r="F2636" t="s">
        <v>15</v>
      </c>
      <c r="G2636" t="s">
        <v>16</v>
      </c>
      <c r="H2636" t="s">
        <v>17</v>
      </c>
      <c r="I2636">
        <v>1</v>
      </c>
      <c r="J2636">
        <v>0</v>
      </c>
      <c r="K2636">
        <v>0</v>
      </c>
    </row>
    <row r="2637" spans="1:11" x14ac:dyDescent="0.25">
      <c r="A2637" t="str">
        <f>"3341"</f>
        <v>3341</v>
      </c>
      <c r="B2637" t="str">
        <f t="shared" si="165"/>
        <v>1</v>
      </c>
      <c r="C2637" t="str">
        <f t="shared" si="168"/>
        <v>141</v>
      </c>
      <c r="D2637" t="str">
        <f>"9"</f>
        <v>9</v>
      </c>
      <c r="E2637" t="str">
        <f>"1-141-9"</f>
        <v>1-141-9</v>
      </c>
      <c r="F2637" t="s">
        <v>15</v>
      </c>
      <c r="G2637" t="s">
        <v>16</v>
      </c>
      <c r="H2637" t="s">
        <v>17</v>
      </c>
      <c r="I2637">
        <v>0</v>
      </c>
      <c r="J2637">
        <v>1</v>
      </c>
      <c r="K2637">
        <v>0</v>
      </c>
    </row>
    <row r="2638" spans="1:11" x14ac:dyDescent="0.25">
      <c r="A2638" t="str">
        <f>"3342"</f>
        <v>3342</v>
      </c>
      <c r="B2638" t="str">
        <f t="shared" si="165"/>
        <v>1</v>
      </c>
      <c r="C2638" t="str">
        <f t="shared" si="168"/>
        <v>141</v>
      </c>
      <c r="D2638" t="str">
        <f>"1"</f>
        <v>1</v>
      </c>
      <c r="E2638" t="str">
        <f>"1-141-1"</f>
        <v>1-141-1</v>
      </c>
      <c r="F2638" t="s">
        <v>15</v>
      </c>
      <c r="G2638" t="s">
        <v>16</v>
      </c>
      <c r="H2638" t="s">
        <v>17</v>
      </c>
      <c r="I2638">
        <v>0</v>
      </c>
      <c r="J2638">
        <v>0</v>
      </c>
      <c r="K2638">
        <v>1</v>
      </c>
    </row>
    <row r="2639" spans="1:11" x14ac:dyDescent="0.25">
      <c r="A2639" t="str">
        <f>"3344"</f>
        <v>3344</v>
      </c>
      <c r="B2639" t="str">
        <f t="shared" si="165"/>
        <v>1</v>
      </c>
      <c r="C2639" t="str">
        <f t="shared" si="168"/>
        <v>141</v>
      </c>
      <c r="D2639" t="str">
        <f>"11"</f>
        <v>11</v>
      </c>
      <c r="E2639" t="str">
        <f>"1-141-11"</f>
        <v>1-141-11</v>
      </c>
      <c r="F2639" t="s">
        <v>15</v>
      </c>
      <c r="G2639" t="s">
        <v>16</v>
      </c>
      <c r="H2639" t="s">
        <v>17</v>
      </c>
      <c r="I2639">
        <v>0</v>
      </c>
      <c r="J2639">
        <v>1</v>
      </c>
      <c r="K2639">
        <v>0</v>
      </c>
    </row>
    <row r="2640" spans="1:11" x14ac:dyDescent="0.25">
      <c r="A2640" t="str">
        <f>"3345"</f>
        <v>3345</v>
      </c>
      <c r="B2640" t="str">
        <f t="shared" si="165"/>
        <v>1</v>
      </c>
      <c r="C2640" t="str">
        <f t="shared" si="168"/>
        <v>141</v>
      </c>
      <c r="D2640" t="str">
        <f>"19"</f>
        <v>19</v>
      </c>
      <c r="E2640" t="str">
        <f>"1-141-19"</f>
        <v>1-141-19</v>
      </c>
      <c r="F2640" t="s">
        <v>15</v>
      </c>
      <c r="G2640" t="s">
        <v>16</v>
      </c>
      <c r="H2640" t="s">
        <v>17</v>
      </c>
      <c r="I2640">
        <v>0</v>
      </c>
      <c r="J2640">
        <v>1</v>
      </c>
      <c r="K2640">
        <v>0</v>
      </c>
    </row>
    <row r="2641" spans="1:11" x14ac:dyDescent="0.25">
      <c r="A2641" t="str">
        <f>"3347"</f>
        <v>3347</v>
      </c>
      <c r="B2641" t="str">
        <f t="shared" si="165"/>
        <v>1</v>
      </c>
      <c r="C2641" t="str">
        <f t="shared" si="168"/>
        <v>141</v>
      </c>
      <c r="D2641" t="str">
        <f>"20"</f>
        <v>20</v>
      </c>
      <c r="E2641" t="str">
        <f>"1-141-20"</f>
        <v>1-141-20</v>
      </c>
      <c r="F2641" t="s">
        <v>15</v>
      </c>
      <c r="G2641" t="s">
        <v>20</v>
      </c>
      <c r="H2641" t="s">
        <v>21</v>
      </c>
      <c r="I2641">
        <v>0</v>
      </c>
      <c r="J2641">
        <v>1</v>
      </c>
      <c r="K2641">
        <v>0</v>
      </c>
    </row>
    <row r="2642" spans="1:11" x14ac:dyDescent="0.25">
      <c r="A2642" t="str">
        <f>"3348"</f>
        <v>3348</v>
      </c>
      <c r="B2642" t="str">
        <f t="shared" si="165"/>
        <v>1</v>
      </c>
      <c r="C2642" t="str">
        <f t="shared" si="168"/>
        <v>141</v>
      </c>
      <c r="D2642" t="str">
        <f>"10"</f>
        <v>10</v>
      </c>
      <c r="E2642" t="str">
        <f>"1-141-10"</f>
        <v>1-141-10</v>
      </c>
      <c r="F2642" t="s">
        <v>15</v>
      </c>
      <c r="G2642" t="s">
        <v>16</v>
      </c>
      <c r="H2642" t="s">
        <v>17</v>
      </c>
      <c r="I2642">
        <v>0</v>
      </c>
      <c r="J2642">
        <v>1</v>
      </c>
      <c r="K2642">
        <v>0</v>
      </c>
    </row>
    <row r="2643" spans="1:11" x14ac:dyDescent="0.25">
      <c r="A2643" t="str">
        <f>"3349"</f>
        <v>3349</v>
      </c>
      <c r="B2643" t="str">
        <f t="shared" si="165"/>
        <v>1</v>
      </c>
      <c r="C2643" t="str">
        <f t="shared" si="168"/>
        <v>141</v>
      </c>
      <c r="D2643" t="str">
        <f>"21"</f>
        <v>21</v>
      </c>
      <c r="E2643" t="str">
        <f>"1-141-21"</f>
        <v>1-141-21</v>
      </c>
      <c r="F2643" t="s">
        <v>15</v>
      </c>
      <c r="G2643" t="s">
        <v>16</v>
      </c>
      <c r="H2643" t="s">
        <v>17</v>
      </c>
      <c r="I2643">
        <v>0</v>
      </c>
      <c r="J2643">
        <v>1</v>
      </c>
      <c r="K2643">
        <v>0</v>
      </c>
    </row>
    <row r="2644" spans="1:11" x14ac:dyDescent="0.25">
      <c r="A2644" t="str">
        <f>"3350"</f>
        <v>3350</v>
      </c>
      <c r="B2644" t="str">
        <f t="shared" si="165"/>
        <v>1</v>
      </c>
      <c r="C2644" t="str">
        <f t="shared" si="168"/>
        <v>141</v>
      </c>
      <c r="D2644" t="str">
        <f>"8"</f>
        <v>8</v>
      </c>
      <c r="E2644" t="str">
        <f>"1-141-8"</f>
        <v>1-141-8</v>
      </c>
      <c r="F2644" t="s">
        <v>15</v>
      </c>
      <c r="G2644" t="s">
        <v>16</v>
      </c>
      <c r="H2644" t="s">
        <v>17</v>
      </c>
      <c r="I2644">
        <v>0</v>
      </c>
      <c r="J2644">
        <v>1</v>
      </c>
      <c r="K2644">
        <v>0</v>
      </c>
    </row>
    <row r="2645" spans="1:11" x14ac:dyDescent="0.25">
      <c r="A2645" t="str">
        <f>"3351"</f>
        <v>3351</v>
      </c>
      <c r="B2645" t="str">
        <f t="shared" si="165"/>
        <v>1</v>
      </c>
      <c r="C2645" t="str">
        <f t="shared" si="168"/>
        <v>141</v>
      </c>
      <c r="D2645" t="str">
        <f>"23"</f>
        <v>23</v>
      </c>
      <c r="E2645" t="str">
        <f>"1-141-23"</f>
        <v>1-141-23</v>
      </c>
      <c r="F2645" t="s">
        <v>15</v>
      </c>
      <c r="G2645" t="s">
        <v>16</v>
      </c>
      <c r="H2645" t="s">
        <v>17</v>
      </c>
      <c r="I2645">
        <v>1</v>
      </c>
      <c r="J2645">
        <v>0</v>
      </c>
      <c r="K2645">
        <v>0</v>
      </c>
    </row>
    <row r="2646" spans="1:11" x14ac:dyDescent="0.25">
      <c r="A2646" t="str">
        <f>"3352"</f>
        <v>3352</v>
      </c>
      <c r="B2646" t="str">
        <f t="shared" si="165"/>
        <v>1</v>
      </c>
      <c r="C2646" t="str">
        <f t="shared" si="168"/>
        <v>141</v>
      </c>
      <c r="D2646" t="str">
        <f>"3"</f>
        <v>3</v>
      </c>
      <c r="E2646" t="str">
        <f>"1-141-3"</f>
        <v>1-141-3</v>
      </c>
      <c r="F2646" t="s">
        <v>15</v>
      </c>
      <c r="G2646" t="s">
        <v>16</v>
      </c>
      <c r="H2646" t="s">
        <v>17</v>
      </c>
      <c r="I2646">
        <v>0</v>
      </c>
      <c r="J2646">
        <v>0</v>
      </c>
      <c r="K2646">
        <v>1</v>
      </c>
    </row>
    <row r="2647" spans="1:11" x14ac:dyDescent="0.25">
      <c r="A2647" t="str">
        <f>"3353"</f>
        <v>3353</v>
      </c>
      <c r="B2647" t="str">
        <f t="shared" si="165"/>
        <v>1</v>
      </c>
      <c r="C2647" t="str">
        <f t="shared" si="168"/>
        <v>141</v>
      </c>
      <c r="D2647" t="str">
        <f>"24"</f>
        <v>24</v>
      </c>
      <c r="E2647" t="str">
        <f>"1-141-24"</f>
        <v>1-141-24</v>
      </c>
      <c r="F2647" t="s">
        <v>15</v>
      </c>
      <c r="G2647" t="s">
        <v>16</v>
      </c>
      <c r="H2647" t="s">
        <v>17</v>
      </c>
      <c r="I2647">
        <v>1</v>
      </c>
      <c r="J2647">
        <v>0</v>
      </c>
      <c r="K2647">
        <v>0</v>
      </c>
    </row>
    <row r="2648" spans="1:11" x14ac:dyDescent="0.25">
      <c r="A2648" t="str">
        <f>"3354"</f>
        <v>3354</v>
      </c>
      <c r="B2648" t="str">
        <f t="shared" ref="B2648:B2701" si="169">"1"</f>
        <v>1</v>
      </c>
      <c r="C2648" t="str">
        <f t="shared" si="168"/>
        <v>141</v>
      </c>
      <c r="D2648" t="str">
        <f>"5"</f>
        <v>5</v>
      </c>
      <c r="E2648" t="str">
        <f>"1-141-5"</f>
        <v>1-141-5</v>
      </c>
      <c r="F2648" t="s">
        <v>15</v>
      </c>
      <c r="G2648" t="s">
        <v>16</v>
      </c>
      <c r="H2648" t="s">
        <v>17</v>
      </c>
      <c r="I2648">
        <v>0</v>
      </c>
      <c r="J2648">
        <v>0</v>
      </c>
      <c r="K2648">
        <v>1</v>
      </c>
    </row>
    <row r="2649" spans="1:11" x14ac:dyDescent="0.25">
      <c r="A2649" t="str">
        <f>"3355"</f>
        <v>3355</v>
      </c>
      <c r="B2649" t="str">
        <f t="shared" si="169"/>
        <v>1</v>
      </c>
      <c r="C2649" t="str">
        <f t="shared" si="168"/>
        <v>141</v>
      </c>
      <c r="D2649" t="str">
        <f>"25"</f>
        <v>25</v>
      </c>
      <c r="E2649" t="str">
        <f>"1-141-25"</f>
        <v>1-141-25</v>
      </c>
      <c r="F2649" t="s">
        <v>15</v>
      </c>
      <c r="G2649" t="s">
        <v>16</v>
      </c>
      <c r="H2649" t="s">
        <v>17</v>
      </c>
      <c r="I2649">
        <v>0</v>
      </c>
      <c r="J2649">
        <v>1</v>
      </c>
      <c r="K2649">
        <v>0</v>
      </c>
    </row>
    <row r="2650" spans="1:11" x14ac:dyDescent="0.25">
      <c r="A2650" t="str">
        <f>"3356"</f>
        <v>3356</v>
      </c>
      <c r="B2650" t="str">
        <f t="shared" si="169"/>
        <v>1</v>
      </c>
      <c r="C2650" t="str">
        <f t="shared" si="168"/>
        <v>141</v>
      </c>
      <c r="D2650" t="str">
        <f>"12"</f>
        <v>12</v>
      </c>
      <c r="E2650" t="str">
        <f>"1-141-12"</f>
        <v>1-141-12</v>
      </c>
      <c r="F2650" t="s">
        <v>15</v>
      </c>
      <c r="G2650" t="s">
        <v>18</v>
      </c>
      <c r="H2650" t="s">
        <v>19</v>
      </c>
      <c r="I2650">
        <v>0</v>
      </c>
      <c r="J2650">
        <v>1</v>
      </c>
      <c r="K2650">
        <v>0</v>
      </c>
    </row>
    <row r="2651" spans="1:11" x14ac:dyDescent="0.25">
      <c r="A2651" t="str">
        <f>"3357"</f>
        <v>3357</v>
      </c>
      <c r="B2651" t="str">
        <f t="shared" si="169"/>
        <v>1</v>
      </c>
      <c r="C2651" t="str">
        <f t="shared" si="168"/>
        <v>141</v>
      </c>
      <c r="D2651" t="str">
        <f>"26"</f>
        <v>26</v>
      </c>
      <c r="E2651" t="str">
        <f>"1-141-26"</f>
        <v>1-141-26</v>
      </c>
      <c r="F2651" t="s">
        <v>15</v>
      </c>
      <c r="G2651" t="s">
        <v>16</v>
      </c>
      <c r="H2651" t="s">
        <v>17</v>
      </c>
      <c r="I2651">
        <v>0</v>
      </c>
      <c r="J2651">
        <v>0</v>
      </c>
      <c r="K2651">
        <v>1</v>
      </c>
    </row>
    <row r="2652" spans="1:11" x14ac:dyDescent="0.25">
      <c r="A2652" t="str">
        <f>"3358"</f>
        <v>3358</v>
      </c>
      <c r="B2652" t="str">
        <f t="shared" si="169"/>
        <v>1</v>
      </c>
      <c r="C2652" t="str">
        <f t="shared" si="168"/>
        <v>141</v>
      </c>
      <c r="D2652" t="str">
        <f>"7"</f>
        <v>7</v>
      </c>
      <c r="E2652" t="str">
        <f>"1-141-7"</f>
        <v>1-141-7</v>
      </c>
      <c r="F2652" t="s">
        <v>15</v>
      </c>
      <c r="G2652" t="s">
        <v>16</v>
      </c>
      <c r="H2652" t="s">
        <v>17</v>
      </c>
      <c r="I2652">
        <v>0</v>
      </c>
      <c r="J2652">
        <v>0</v>
      </c>
      <c r="K2652">
        <v>1</v>
      </c>
    </row>
    <row r="2653" spans="1:11" x14ac:dyDescent="0.25">
      <c r="A2653" t="str">
        <f>"3359"</f>
        <v>3359</v>
      </c>
      <c r="B2653" t="str">
        <f t="shared" si="169"/>
        <v>1</v>
      </c>
      <c r="C2653" t="str">
        <f t="shared" si="168"/>
        <v>141</v>
      </c>
      <c r="D2653" t="str">
        <f>"28"</f>
        <v>28</v>
      </c>
      <c r="E2653" t="str">
        <f>"1-141-28"</f>
        <v>1-141-28</v>
      </c>
      <c r="F2653" t="s">
        <v>15</v>
      </c>
      <c r="G2653" t="s">
        <v>16</v>
      </c>
      <c r="H2653" t="s">
        <v>17</v>
      </c>
      <c r="I2653">
        <v>0</v>
      </c>
      <c r="J2653">
        <v>0</v>
      </c>
      <c r="K2653">
        <v>1</v>
      </c>
    </row>
    <row r="2654" spans="1:11" x14ac:dyDescent="0.25">
      <c r="A2654" t="str">
        <f>"3360"</f>
        <v>3360</v>
      </c>
      <c r="B2654" t="str">
        <f t="shared" si="169"/>
        <v>1</v>
      </c>
      <c r="C2654" t="str">
        <f t="shared" si="168"/>
        <v>141</v>
      </c>
      <c r="D2654" t="str">
        <f>"4"</f>
        <v>4</v>
      </c>
      <c r="E2654" t="str">
        <f>"1-141-4"</f>
        <v>1-141-4</v>
      </c>
      <c r="F2654" t="s">
        <v>15</v>
      </c>
      <c r="G2654" t="s">
        <v>16</v>
      </c>
      <c r="H2654" t="s">
        <v>17</v>
      </c>
      <c r="I2654">
        <v>0</v>
      </c>
      <c r="J2654">
        <v>0</v>
      </c>
      <c r="K2654">
        <v>1</v>
      </c>
    </row>
    <row r="2655" spans="1:11" x14ac:dyDescent="0.25">
      <c r="A2655" t="str">
        <f>"3361"</f>
        <v>3361</v>
      </c>
      <c r="B2655" t="str">
        <f t="shared" si="169"/>
        <v>1</v>
      </c>
      <c r="C2655" t="str">
        <f t="shared" si="168"/>
        <v>141</v>
      </c>
      <c r="D2655" t="str">
        <f>"29"</f>
        <v>29</v>
      </c>
      <c r="E2655" t="str">
        <f>"1-141-29"</f>
        <v>1-141-29</v>
      </c>
      <c r="F2655" t="s">
        <v>15</v>
      </c>
      <c r="G2655" t="s">
        <v>16</v>
      </c>
      <c r="H2655" t="s">
        <v>17</v>
      </c>
      <c r="I2655">
        <v>0</v>
      </c>
      <c r="J2655">
        <v>0</v>
      </c>
      <c r="K2655">
        <v>1</v>
      </c>
    </row>
    <row r="2656" spans="1:11" x14ac:dyDescent="0.25">
      <c r="A2656" t="str">
        <f>"3362"</f>
        <v>3362</v>
      </c>
      <c r="B2656" t="str">
        <f t="shared" si="169"/>
        <v>1</v>
      </c>
      <c r="C2656" t="str">
        <f t="shared" si="168"/>
        <v>141</v>
      </c>
      <c r="D2656" t="str">
        <f>"14"</f>
        <v>14</v>
      </c>
      <c r="E2656" t="str">
        <f>"1-141-14"</f>
        <v>1-141-14</v>
      </c>
      <c r="F2656" t="s">
        <v>15</v>
      </c>
      <c r="G2656" t="s">
        <v>16</v>
      </c>
      <c r="H2656" t="s">
        <v>17</v>
      </c>
      <c r="I2656">
        <v>0</v>
      </c>
      <c r="J2656">
        <v>0</v>
      </c>
      <c r="K2656">
        <v>1</v>
      </c>
    </row>
    <row r="2657" spans="1:11" x14ac:dyDescent="0.25">
      <c r="A2657" t="str">
        <f>"3363"</f>
        <v>3363</v>
      </c>
      <c r="B2657" t="str">
        <f t="shared" si="169"/>
        <v>1</v>
      </c>
      <c r="C2657" t="str">
        <f t="shared" si="168"/>
        <v>141</v>
      </c>
      <c r="D2657" t="str">
        <f>"13"</f>
        <v>13</v>
      </c>
      <c r="E2657" t="str">
        <f>"1-141-13"</f>
        <v>1-141-13</v>
      </c>
      <c r="F2657" t="s">
        <v>15</v>
      </c>
      <c r="G2657" t="s">
        <v>16</v>
      </c>
      <c r="H2657" t="s">
        <v>17</v>
      </c>
      <c r="I2657">
        <v>0</v>
      </c>
      <c r="J2657">
        <v>0</v>
      </c>
      <c r="K2657">
        <v>1</v>
      </c>
    </row>
    <row r="2658" spans="1:11" x14ac:dyDescent="0.25">
      <c r="A2658" t="str">
        <f>"3364"</f>
        <v>3364</v>
      </c>
      <c r="B2658" t="str">
        <f t="shared" si="169"/>
        <v>1</v>
      </c>
      <c r="C2658" t="str">
        <f t="shared" si="168"/>
        <v>141</v>
      </c>
      <c r="D2658" t="str">
        <f>"2"</f>
        <v>2</v>
      </c>
      <c r="E2658" t="str">
        <f>"1-141-2"</f>
        <v>1-141-2</v>
      </c>
      <c r="F2658" t="s">
        <v>15</v>
      </c>
      <c r="G2658" t="s">
        <v>16</v>
      </c>
      <c r="H2658" t="s">
        <v>17</v>
      </c>
      <c r="I2658">
        <v>0</v>
      </c>
      <c r="J2658">
        <v>0</v>
      </c>
      <c r="K2658">
        <v>0</v>
      </c>
    </row>
    <row r="2659" spans="1:11" x14ac:dyDescent="0.25">
      <c r="A2659" t="str">
        <f>"3365"</f>
        <v>3365</v>
      </c>
      <c r="B2659" t="str">
        <f t="shared" si="169"/>
        <v>1</v>
      </c>
      <c r="C2659" t="str">
        <f t="shared" si="168"/>
        <v>141</v>
      </c>
      <c r="D2659" t="str">
        <f>"17"</f>
        <v>17</v>
      </c>
      <c r="E2659" t="str">
        <f>"1-141-17"</f>
        <v>1-141-17</v>
      </c>
      <c r="F2659" t="s">
        <v>15</v>
      </c>
      <c r="G2659" t="s">
        <v>16</v>
      </c>
      <c r="H2659" t="s">
        <v>17</v>
      </c>
      <c r="I2659">
        <v>0</v>
      </c>
      <c r="J2659">
        <v>0</v>
      </c>
      <c r="K2659">
        <v>0</v>
      </c>
    </row>
    <row r="2660" spans="1:11" x14ac:dyDescent="0.25">
      <c r="A2660" t="str">
        <f>"3366"</f>
        <v>3366</v>
      </c>
      <c r="B2660" t="str">
        <f t="shared" si="169"/>
        <v>1</v>
      </c>
      <c r="C2660" t="str">
        <f t="shared" si="168"/>
        <v>141</v>
      </c>
      <c r="D2660" t="str">
        <f>"15"</f>
        <v>15</v>
      </c>
      <c r="E2660" t="str">
        <f>"1-141-15"</f>
        <v>1-141-15</v>
      </c>
      <c r="F2660" t="s">
        <v>15</v>
      </c>
      <c r="G2660" t="s">
        <v>16</v>
      </c>
      <c r="H2660" t="s">
        <v>17</v>
      </c>
      <c r="I2660">
        <v>0</v>
      </c>
      <c r="J2660">
        <v>0</v>
      </c>
      <c r="K2660">
        <v>0</v>
      </c>
    </row>
    <row r="2661" spans="1:11" x14ac:dyDescent="0.25">
      <c r="A2661" t="str">
        <f>"3367"</f>
        <v>3367</v>
      </c>
      <c r="B2661" t="str">
        <f t="shared" si="169"/>
        <v>1</v>
      </c>
      <c r="C2661" t="str">
        <f t="shared" si="168"/>
        <v>141</v>
      </c>
      <c r="D2661" t="str">
        <f>"22"</f>
        <v>22</v>
      </c>
      <c r="E2661" t="str">
        <f>"1-141-22"</f>
        <v>1-141-22</v>
      </c>
      <c r="F2661" t="s">
        <v>15</v>
      </c>
      <c r="G2661" t="s">
        <v>16</v>
      </c>
      <c r="H2661" t="s">
        <v>17</v>
      </c>
      <c r="I2661">
        <v>1</v>
      </c>
      <c r="J2661">
        <v>0</v>
      </c>
      <c r="K2661">
        <v>0</v>
      </c>
    </row>
    <row r="2662" spans="1:11" x14ac:dyDescent="0.25">
      <c r="A2662" t="str">
        <f>"3368"</f>
        <v>3368</v>
      </c>
      <c r="B2662" t="str">
        <f t="shared" si="169"/>
        <v>1</v>
      </c>
      <c r="C2662" t="str">
        <f t="shared" si="168"/>
        <v>141</v>
      </c>
      <c r="D2662" t="str">
        <f>"27"</f>
        <v>27</v>
      </c>
      <c r="E2662" t="str">
        <f>"1-141-27"</f>
        <v>1-141-27</v>
      </c>
      <c r="F2662" t="s">
        <v>15</v>
      </c>
      <c r="G2662" t="s">
        <v>16</v>
      </c>
      <c r="H2662" t="s">
        <v>17</v>
      </c>
      <c r="I2662">
        <v>0</v>
      </c>
      <c r="J2662">
        <v>0</v>
      </c>
      <c r="K2662">
        <v>0</v>
      </c>
    </row>
    <row r="2663" spans="1:11" x14ac:dyDescent="0.25">
      <c r="A2663" t="str">
        <f>"3369"</f>
        <v>3369</v>
      </c>
      <c r="B2663" t="str">
        <f t="shared" si="169"/>
        <v>1</v>
      </c>
      <c r="C2663" t="str">
        <f t="shared" ref="C2663:C2675" si="170">"142"</f>
        <v>142</v>
      </c>
      <c r="D2663" t="str">
        <f>"7"</f>
        <v>7</v>
      </c>
      <c r="E2663" t="str">
        <f>"1-142-7"</f>
        <v>1-142-7</v>
      </c>
      <c r="F2663" t="s">
        <v>15</v>
      </c>
      <c r="G2663" t="s">
        <v>16</v>
      </c>
      <c r="H2663" t="s">
        <v>17</v>
      </c>
      <c r="I2663">
        <v>1</v>
      </c>
      <c r="J2663">
        <v>0</v>
      </c>
      <c r="K2663">
        <v>0</v>
      </c>
    </row>
    <row r="2664" spans="1:11" x14ac:dyDescent="0.25">
      <c r="A2664" t="str">
        <f>"3370"</f>
        <v>3370</v>
      </c>
      <c r="B2664" t="str">
        <f t="shared" si="169"/>
        <v>1</v>
      </c>
      <c r="C2664" t="str">
        <f t="shared" si="170"/>
        <v>142</v>
      </c>
      <c r="D2664" t="str">
        <f>"9"</f>
        <v>9</v>
      </c>
      <c r="E2664" t="str">
        <f>"1-142-9"</f>
        <v>1-142-9</v>
      </c>
      <c r="F2664" t="s">
        <v>15</v>
      </c>
      <c r="G2664" t="s">
        <v>16</v>
      </c>
      <c r="H2664" t="s">
        <v>17</v>
      </c>
      <c r="I2664">
        <v>1</v>
      </c>
      <c r="J2664">
        <v>0</v>
      </c>
      <c r="K2664">
        <v>0</v>
      </c>
    </row>
    <row r="2665" spans="1:11" x14ac:dyDescent="0.25">
      <c r="A2665" t="str">
        <f>"3371"</f>
        <v>3371</v>
      </c>
      <c r="B2665" t="str">
        <f t="shared" si="169"/>
        <v>1</v>
      </c>
      <c r="C2665" t="str">
        <f t="shared" si="170"/>
        <v>142</v>
      </c>
      <c r="D2665" t="str">
        <f>"6"</f>
        <v>6</v>
      </c>
      <c r="E2665" t="str">
        <f>"1-142-6"</f>
        <v>1-142-6</v>
      </c>
      <c r="F2665" t="s">
        <v>15</v>
      </c>
      <c r="G2665" t="s">
        <v>18</v>
      </c>
      <c r="H2665" t="s">
        <v>19</v>
      </c>
      <c r="I2665">
        <v>0</v>
      </c>
      <c r="J2665">
        <v>0</v>
      </c>
      <c r="K2665">
        <v>1</v>
      </c>
    </row>
    <row r="2666" spans="1:11" x14ac:dyDescent="0.25">
      <c r="A2666" t="str">
        <f>"3372"</f>
        <v>3372</v>
      </c>
      <c r="B2666" t="str">
        <f t="shared" si="169"/>
        <v>1</v>
      </c>
      <c r="C2666" t="str">
        <f t="shared" si="170"/>
        <v>142</v>
      </c>
      <c r="D2666" t="str">
        <f>"1"</f>
        <v>1</v>
      </c>
      <c r="E2666" t="str">
        <f>"1-142-1"</f>
        <v>1-142-1</v>
      </c>
      <c r="F2666" t="s">
        <v>15</v>
      </c>
      <c r="G2666" t="s">
        <v>16</v>
      </c>
      <c r="H2666" t="s">
        <v>17</v>
      </c>
      <c r="I2666">
        <v>0</v>
      </c>
      <c r="J2666">
        <v>0</v>
      </c>
      <c r="K2666">
        <v>1</v>
      </c>
    </row>
    <row r="2667" spans="1:11" x14ac:dyDescent="0.25">
      <c r="A2667" t="str">
        <f>"3373"</f>
        <v>3373</v>
      </c>
      <c r="B2667" t="str">
        <f t="shared" si="169"/>
        <v>1</v>
      </c>
      <c r="C2667" t="str">
        <f t="shared" si="170"/>
        <v>142</v>
      </c>
      <c r="D2667" t="str">
        <f>"13"</f>
        <v>13</v>
      </c>
      <c r="E2667" t="str">
        <f>"1-142-13"</f>
        <v>1-142-13</v>
      </c>
      <c r="F2667" t="s">
        <v>15</v>
      </c>
      <c r="G2667" t="s">
        <v>16</v>
      </c>
      <c r="H2667" t="s">
        <v>17</v>
      </c>
      <c r="I2667">
        <v>0</v>
      </c>
      <c r="J2667">
        <v>0</v>
      </c>
      <c r="K2667">
        <v>1</v>
      </c>
    </row>
    <row r="2668" spans="1:11" x14ac:dyDescent="0.25">
      <c r="A2668" t="str">
        <f>"3374"</f>
        <v>3374</v>
      </c>
      <c r="B2668" t="str">
        <f t="shared" si="169"/>
        <v>1</v>
      </c>
      <c r="C2668" t="str">
        <f t="shared" si="170"/>
        <v>142</v>
      </c>
      <c r="D2668" t="str">
        <f>"8"</f>
        <v>8</v>
      </c>
      <c r="E2668" t="str">
        <f>"1-142-8"</f>
        <v>1-142-8</v>
      </c>
      <c r="F2668" t="s">
        <v>15</v>
      </c>
      <c r="G2668" t="s">
        <v>16</v>
      </c>
      <c r="H2668" t="s">
        <v>17</v>
      </c>
      <c r="I2668">
        <v>1</v>
      </c>
      <c r="J2668">
        <v>0</v>
      </c>
      <c r="K2668">
        <v>0</v>
      </c>
    </row>
    <row r="2669" spans="1:11" x14ac:dyDescent="0.25">
      <c r="A2669" t="str">
        <f>"3375"</f>
        <v>3375</v>
      </c>
      <c r="B2669" t="str">
        <f t="shared" si="169"/>
        <v>1</v>
      </c>
      <c r="C2669" t="str">
        <f t="shared" si="170"/>
        <v>142</v>
      </c>
      <c r="D2669" t="str">
        <f>"12"</f>
        <v>12</v>
      </c>
      <c r="E2669" t="str">
        <f>"1-142-12"</f>
        <v>1-142-12</v>
      </c>
      <c r="F2669" t="s">
        <v>15</v>
      </c>
      <c r="G2669" t="s">
        <v>16</v>
      </c>
      <c r="H2669" t="s">
        <v>17</v>
      </c>
      <c r="I2669">
        <v>1</v>
      </c>
      <c r="J2669">
        <v>0</v>
      </c>
      <c r="K2669">
        <v>0</v>
      </c>
    </row>
    <row r="2670" spans="1:11" x14ac:dyDescent="0.25">
      <c r="A2670" t="str">
        <f>"3376"</f>
        <v>3376</v>
      </c>
      <c r="B2670" t="str">
        <f t="shared" si="169"/>
        <v>1</v>
      </c>
      <c r="C2670" t="str">
        <f t="shared" si="170"/>
        <v>142</v>
      </c>
      <c r="D2670" t="str">
        <f>"5"</f>
        <v>5</v>
      </c>
      <c r="E2670" t="str">
        <f>"1-142-5"</f>
        <v>1-142-5</v>
      </c>
      <c r="F2670" t="s">
        <v>15</v>
      </c>
      <c r="G2670" t="s">
        <v>18</v>
      </c>
      <c r="H2670" t="s">
        <v>19</v>
      </c>
      <c r="I2670">
        <v>0</v>
      </c>
      <c r="J2670">
        <v>0</v>
      </c>
      <c r="K2670">
        <v>1</v>
      </c>
    </row>
    <row r="2671" spans="1:11" x14ac:dyDescent="0.25">
      <c r="A2671" t="str">
        <f>"3377"</f>
        <v>3377</v>
      </c>
      <c r="B2671" t="str">
        <f t="shared" si="169"/>
        <v>1</v>
      </c>
      <c r="C2671" t="str">
        <f t="shared" si="170"/>
        <v>142</v>
      </c>
      <c r="D2671" t="str">
        <f>"4"</f>
        <v>4</v>
      </c>
      <c r="E2671" t="str">
        <f>"1-142-4"</f>
        <v>1-142-4</v>
      </c>
      <c r="F2671" t="s">
        <v>15</v>
      </c>
      <c r="G2671" t="s">
        <v>20</v>
      </c>
      <c r="H2671" t="s">
        <v>21</v>
      </c>
      <c r="I2671">
        <v>1</v>
      </c>
      <c r="J2671">
        <v>0</v>
      </c>
      <c r="K2671">
        <v>0</v>
      </c>
    </row>
    <row r="2672" spans="1:11" x14ac:dyDescent="0.25">
      <c r="A2672" t="str">
        <f>"3378"</f>
        <v>3378</v>
      </c>
      <c r="B2672" t="str">
        <f t="shared" si="169"/>
        <v>1</v>
      </c>
      <c r="C2672" t="str">
        <f t="shared" si="170"/>
        <v>142</v>
      </c>
      <c r="D2672" t="str">
        <f>"3"</f>
        <v>3</v>
      </c>
      <c r="E2672" t="str">
        <f>"1-142-3"</f>
        <v>1-142-3</v>
      </c>
      <c r="F2672" t="s">
        <v>15</v>
      </c>
      <c r="G2672" t="s">
        <v>20</v>
      </c>
      <c r="H2672" t="s">
        <v>21</v>
      </c>
      <c r="I2672">
        <v>1</v>
      </c>
      <c r="J2672">
        <v>0</v>
      </c>
      <c r="K2672">
        <v>0</v>
      </c>
    </row>
    <row r="2673" spans="1:11" x14ac:dyDescent="0.25">
      <c r="A2673" t="str">
        <f>"3379"</f>
        <v>3379</v>
      </c>
      <c r="B2673" t="str">
        <f t="shared" si="169"/>
        <v>1</v>
      </c>
      <c r="C2673" t="str">
        <f t="shared" si="170"/>
        <v>142</v>
      </c>
      <c r="D2673" t="str">
        <f>"11"</f>
        <v>11</v>
      </c>
      <c r="E2673" t="str">
        <f>"1-142-11"</f>
        <v>1-142-11</v>
      </c>
      <c r="F2673" t="s">
        <v>15</v>
      </c>
      <c r="G2673" t="s">
        <v>16</v>
      </c>
      <c r="H2673" t="s">
        <v>17</v>
      </c>
      <c r="I2673">
        <v>1</v>
      </c>
      <c r="J2673">
        <v>0</v>
      </c>
      <c r="K2673">
        <v>0</v>
      </c>
    </row>
    <row r="2674" spans="1:11" x14ac:dyDescent="0.25">
      <c r="A2674" t="str">
        <f>"3380"</f>
        <v>3380</v>
      </c>
      <c r="B2674" t="str">
        <f t="shared" si="169"/>
        <v>1</v>
      </c>
      <c r="C2674" t="str">
        <f t="shared" si="170"/>
        <v>142</v>
      </c>
      <c r="D2674" t="str">
        <f>"10"</f>
        <v>10</v>
      </c>
      <c r="E2674" t="str">
        <f>"1-142-10"</f>
        <v>1-142-10</v>
      </c>
      <c r="F2674" t="s">
        <v>15</v>
      </c>
      <c r="G2674" t="s">
        <v>16</v>
      </c>
      <c r="H2674" t="s">
        <v>17</v>
      </c>
      <c r="I2674">
        <v>1</v>
      </c>
      <c r="J2674">
        <v>0</v>
      </c>
      <c r="K2674">
        <v>0</v>
      </c>
    </row>
    <row r="2675" spans="1:11" x14ac:dyDescent="0.25">
      <c r="A2675" t="str">
        <f>"3381"</f>
        <v>3381</v>
      </c>
      <c r="B2675" t="str">
        <f t="shared" si="169"/>
        <v>1</v>
      </c>
      <c r="C2675" t="str">
        <f t="shared" si="170"/>
        <v>142</v>
      </c>
      <c r="D2675" t="str">
        <f>"2"</f>
        <v>2</v>
      </c>
      <c r="E2675" t="str">
        <f>"1-142-2"</f>
        <v>1-142-2</v>
      </c>
      <c r="F2675" t="s">
        <v>15</v>
      </c>
      <c r="G2675" t="s">
        <v>16</v>
      </c>
      <c r="H2675" t="s">
        <v>17</v>
      </c>
      <c r="I2675">
        <v>1</v>
      </c>
      <c r="J2675">
        <v>0</v>
      </c>
      <c r="K2675">
        <v>0</v>
      </c>
    </row>
    <row r="2676" spans="1:11" x14ac:dyDescent="0.25">
      <c r="A2676" t="str">
        <f>"3384"</f>
        <v>3384</v>
      </c>
      <c r="B2676" t="str">
        <f t="shared" si="169"/>
        <v>1</v>
      </c>
      <c r="C2676" t="str">
        <f t="shared" ref="C2676:C2694" si="171">"143"</f>
        <v>143</v>
      </c>
      <c r="D2676" t="str">
        <f>"22"</f>
        <v>22</v>
      </c>
      <c r="E2676" t="str">
        <f>"1-143-22"</f>
        <v>1-143-22</v>
      </c>
      <c r="F2676" t="s">
        <v>15</v>
      </c>
      <c r="G2676" t="s">
        <v>16</v>
      </c>
      <c r="H2676" t="s">
        <v>17</v>
      </c>
      <c r="I2676">
        <v>0</v>
      </c>
      <c r="J2676">
        <v>0</v>
      </c>
      <c r="K2676">
        <v>1</v>
      </c>
    </row>
    <row r="2677" spans="1:11" x14ac:dyDescent="0.25">
      <c r="A2677" t="str">
        <f>"3385"</f>
        <v>3385</v>
      </c>
      <c r="B2677" t="str">
        <f t="shared" si="169"/>
        <v>1</v>
      </c>
      <c r="C2677" t="str">
        <f t="shared" si="171"/>
        <v>143</v>
      </c>
      <c r="D2677" t="str">
        <f>"16"</f>
        <v>16</v>
      </c>
      <c r="E2677" t="str">
        <f>"1-143-16"</f>
        <v>1-143-16</v>
      </c>
      <c r="F2677" t="s">
        <v>15</v>
      </c>
      <c r="G2677" t="s">
        <v>18</v>
      </c>
      <c r="H2677" t="s">
        <v>19</v>
      </c>
      <c r="I2677">
        <v>1</v>
      </c>
      <c r="J2677">
        <v>0</v>
      </c>
      <c r="K2677">
        <v>0</v>
      </c>
    </row>
    <row r="2678" spans="1:11" x14ac:dyDescent="0.25">
      <c r="A2678" t="str">
        <f>"3386"</f>
        <v>3386</v>
      </c>
      <c r="B2678" t="str">
        <f t="shared" si="169"/>
        <v>1</v>
      </c>
      <c r="C2678" t="str">
        <f t="shared" si="171"/>
        <v>143</v>
      </c>
      <c r="D2678" t="str">
        <f>"3"</f>
        <v>3</v>
      </c>
      <c r="E2678" t="str">
        <f>"1-143-3"</f>
        <v>1-143-3</v>
      </c>
      <c r="F2678" t="s">
        <v>15</v>
      </c>
      <c r="G2678" t="s">
        <v>20</v>
      </c>
      <c r="H2678" t="s">
        <v>21</v>
      </c>
      <c r="I2678">
        <v>0</v>
      </c>
      <c r="J2678">
        <v>0</v>
      </c>
      <c r="K2678">
        <v>1</v>
      </c>
    </row>
    <row r="2679" spans="1:11" x14ac:dyDescent="0.25">
      <c r="A2679" t="str">
        <f>"3387"</f>
        <v>3387</v>
      </c>
      <c r="B2679" t="str">
        <f t="shared" si="169"/>
        <v>1</v>
      </c>
      <c r="C2679" t="str">
        <f t="shared" si="171"/>
        <v>143</v>
      </c>
      <c r="D2679" t="str">
        <f>"17"</f>
        <v>17</v>
      </c>
      <c r="E2679" t="str">
        <f>"1-143-17"</f>
        <v>1-143-17</v>
      </c>
      <c r="F2679" t="s">
        <v>15</v>
      </c>
      <c r="G2679" t="s">
        <v>20</v>
      </c>
      <c r="H2679" t="s">
        <v>21</v>
      </c>
      <c r="I2679">
        <v>0</v>
      </c>
      <c r="J2679">
        <v>0</v>
      </c>
      <c r="K2679">
        <v>1</v>
      </c>
    </row>
    <row r="2680" spans="1:11" x14ac:dyDescent="0.25">
      <c r="A2680" t="str">
        <f>"3389"</f>
        <v>3389</v>
      </c>
      <c r="B2680" t="str">
        <f t="shared" si="169"/>
        <v>1</v>
      </c>
      <c r="C2680" t="str">
        <f t="shared" si="171"/>
        <v>143</v>
      </c>
      <c r="D2680" t="str">
        <f>"18"</f>
        <v>18</v>
      </c>
      <c r="E2680" t="str">
        <f>"1-143-18"</f>
        <v>1-143-18</v>
      </c>
      <c r="F2680" t="s">
        <v>15</v>
      </c>
      <c r="G2680" t="s">
        <v>16</v>
      </c>
      <c r="H2680" t="s">
        <v>17</v>
      </c>
      <c r="I2680">
        <v>0</v>
      </c>
      <c r="J2680">
        <v>1</v>
      </c>
      <c r="K2680">
        <v>0</v>
      </c>
    </row>
    <row r="2681" spans="1:11" x14ac:dyDescent="0.25">
      <c r="A2681" t="str">
        <f>"3390"</f>
        <v>3390</v>
      </c>
      <c r="B2681" t="str">
        <f t="shared" si="169"/>
        <v>1</v>
      </c>
      <c r="C2681" t="str">
        <f t="shared" si="171"/>
        <v>143</v>
      </c>
      <c r="D2681" t="str">
        <f>"14"</f>
        <v>14</v>
      </c>
      <c r="E2681" t="str">
        <f>"1-143-14"</f>
        <v>1-143-14</v>
      </c>
      <c r="F2681" t="s">
        <v>15</v>
      </c>
      <c r="G2681" t="s">
        <v>20</v>
      </c>
      <c r="H2681" t="s">
        <v>21</v>
      </c>
      <c r="I2681">
        <v>0</v>
      </c>
      <c r="J2681">
        <v>0</v>
      </c>
      <c r="K2681">
        <v>1</v>
      </c>
    </row>
    <row r="2682" spans="1:11" x14ac:dyDescent="0.25">
      <c r="A2682" t="str">
        <f>"3391"</f>
        <v>3391</v>
      </c>
      <c r="B2682" t="str">
        <f t="shared" si="169"/>
        <v>1</v>
      </c>
      <c r="C2682" t="str">
        <f t="shared" si="171"/>
        <v>143</v>
      </c>
      <c r="D2682" t="str">
        <f>"19"</f>
        <v>19</v>
      </c>
      <c r="E2682" t="str">
        <f>"1-143-19"</f>
        <v>1-143-19</v>
      </c>
      <c r="F2682" t="s">
        <v>15</v>
      </c>
      <c r="G2682" t="s">
        <v>18</v>
      </c>
      <c r="H2682" t="s">
        <v>19</v>
      </c>
      <c r="I2682">
        <v>0</v>
      </c>
      <c r="J2682">
        <v>0</v>
      </c>
      <c r="K2682">
        <v>1</v>
      </c>
    </row>
    <row r="2683" spans="1:11" x14ac:dyDescent="0.25">
      <c r="A2683" t="str">
        <f>"3394"</f>
        <v>3394</v>
      </c>
      <c r="B2683" t="str">
        <f t="shared" si="169"/>
        <v>1</v>
      </c>
      <c r="C2683" t="str">
        <f t="shared" si="171"/>
        <v>143</v>
      </c>
      <c r="D2683" t="str">
        <f>"2"</f>
        <v>2</v>
      </c>
      <c r="E2683" t="str">
        <f>"1-143-2"</f>
        <v>1-143-2</v>
      </c>
      <c r="F2683" t="s">
        <v>15</v>
      </c>
      <c r="G2683" t="s">
        <v>16</v>
      </c>
      <c r="H2683" t="s">
        <v>17</v>
      </c>
      <c r="I2683">
        <v>0</v>
      </c>
      <c r="J2683">
        <v>1</v>
      </c>
      <c r="K2683">
        <v>0</v>
      </c>
    </row>
    <row r="2684" spans="1:11" x14ac:dyDescent="0.25">
      <c r="A2684" t="str">
        <f>"3395"</f>
        <v>3395</v>
      </c>
      <c r="B2684" t="str">
        <f t="shared" si="169"/>
        <v>1</v>
      </c>
      <c r="C2684" t="str">
        <f t="shared" si="171"/>
        <v>143</v>
      </c>
      <c r="D2684" t="str">
        <f>"23"</f>
        <v>23</v>
      </c>
      <c r="E2684" t="str">
        <f>"1-143-23"</f>
        <v>1-143-23</v>
      </c>
      <c r="F2684" t="s">
        <v>15</v>
      </c>
      <c r="G2684" t="s">
        <v>16</v>
      </c>
      <c r="H2684" t="s">
        <v>17</v>
      </c>
      <c r="I2684">
        <v>0</v>
      </c>
      <c r="J2684">
        <v>0</v>
      </c>
      <c r="K2684">
        <v>1</v>
      </c>
    </row>
    <row r="2685" spans="1:11" x14ac:dyDescent="0.25">
      <c r="A2685" t="str">
        <f>"3396"</f>
        <v>3396</v>
      </c>
      <c r="B2685" t="str">
        <f t="shared" si="169"/>
        <v>1</v>
      </c>
      <c r="C2685" t="str">
        <f t="shared" si="171"/>
        <v>143</v>
      </c>
      <c r="D2685" t="str">
        <f>"11"</f>
        <v>11</v>
      </c>
      <c r="E2685" t="str">
        <f>"1-143-11"</f>
        <v>1-143-11</v>
      </c>
      <c r="F2685" t="s">
        <v>15</v>
      </c>
      <c r="G2685" t="s">
        <v>16</v>
      </c>
      <c r="H2685" t="s">
        <v>17</v>
      </c>
      <c r="I2685">
        <v>1</v>
      </c>
      <c r="J2685">
        <v>0</v>
      </c>
      <c r="K2685">
        <v>0</v>
      </c>
    </row>
    <row r="2686" spans="1:11" x14ac:dyDescent="0.25">
      <c r="A2686" t="str">
        <f>"3397"</f>
        <v>3397</v>
      </c>
      <c r="B2686" t="str">
        <f t="shared" si="169"/>
        <v>1</v>
      </c>
      <c r="C2686" t="str">
        <f t="shared" si="171"/>
        <v>143</v>
      </c>
      <c r="D2686" t="str">
        <f>"24"</f>
        <v>24</v>
      </c>
      <c r="E2686" t="str">
        <f>"1-143-24"</f>
        <v>1-143-24</v>
      </c>
      <c r="F2686" t="s">
        <v>15</v>
      </c>
      <c r="G2686" t="s">
        <v>16</v>
      </c>
      <c r="H2686" t="s">
        <v>17</v>
      </c>
      <c r="I2686">
        <v>1</v>
      </c>
      <c r="J2686">
        <v>0</v>
      </c>
      <c r="K2686">
        <v>0</v>
      </c>
    </row>
    <row r="2687" spans="1:11" x14ac:dyDescent="0.25">
      <c r="A2687" t="str">
        <f>"3398"</f>
        <v>3398</v>
      </c>
      <c r="B2687" t="str">
        <f t="shared" si="169"/>
        <v>1</v>
      </c>
      <c r="C2687" t="str">
        <f t="shared" si="171"/>
        <v>143</v>
      </c>
      <c r="D2687" t="str">
        <f>"12"</f>
        <v>12</v>
      </c>
      <c r="E2687" t="str">
        <f>"1-143-12"</f>
        <v>1-143-12</v>
      </c>
      <c r="F2687" t="s">
        <v>15</v>
      </c>
      <c r="G2687" t="s">
        <v>20</v>
      </c>
      <c r="H2687" t="s">
        <v>21</v>
      </c>
      <c r="I2687">
        <v>0</v>
      </c>
      <c r="J2687">
        <v>0</v>
      </c>
      <c r="K2687">
        <v>1</v>
      </c>
    </row>
    <row r="2688" spans="1:11" x14ac:dyDescent="0.25">
      <c r="A2688" t="str">
        <f>"3399"</f>
        <v>3399</v>
      </c>
      <c r="B2688" t="str">
        <f t="shared" si="169"/>
        <v>1</v>
      </c>
      <c r="C2688" t="str">
        <f t="shared" si="171"/>
        <v>143</v>
      </c>
      <c r="D2688" t="str">
        <f>"10"</f>
        <v>10</v>
      </c>
      <c r="E2688" t="str">
        <f>"1-143-10"</f>
        <v>1-143-10</v>
      </c>
      <c r="F2688" t="s">
        <v>15</v>
      </c>
      <c r="G2688" t="s">
        <v>16</v>
      </c>
      <c r="H2688" t="s">
        <v>17</v>
      </c>
      <c r="I2688">
        <v>0</v>
      </c>
      <c r="J2688">
        <v>0</v>
      </c>
      <c r="K2688">
        <v>1</v>
      </c>
    </row>
    <row r="2689" spans="1:11" x14ac:dyDescent="0.25">
      <c r="A2689" t="str">
        <f>"3400"</f>
        <v>3400</v>
      </c>
      <c r="B2689" t="str">
        <f t="shared" si="169"/>
        <v>1</v>
      </c>
      <c r="C2689" t="str">
        <f t="shared" si="171"/>
        <v>143</v>
      </c>
      <c r="D2689" t="str">
        <f>"9"</f>
        <v>9</v>
      </c>
      <c r="E2689" t="str">
        <f>"1-143-9"</f>
        <v>1-143-9</v>
      </c>
      <c r="F2689" t="s">
        <v>15</v>
      </c>
      <c r="G2689" t="s">
        <v>16</v>
      </c>
      <c r="H2689" t="s">
        <v>17</v>
      </c>
      <c r="I2689">
        <v>0</v>
      </c>
      <c r="J2689">
        <v>1</v>
      </c>
      <c r="K2689">
        <v>0</v>
      </c>
    </row>
    <row r="2690" spans="1:11" x14ac:dyDescent="0.25">
      <c r="A2690" t="str">
        <f>"3401"</f>
        <v>3401</v>
      </c>
      <c r="B2690" t="str">
        <f t="shared" si="169"/>
        <v>1</v>
      </c>
      <c r="C2690" t="str">
        <f t="shared" si="171"/>
        <v>143</v>
      </c>
      <c r="D2690" t="str">
        <f>"13"</f>
        <v>13</v>
      </c>
      <c r="E2690" t="str">
        <f>"1-143-13"</f>
        <v>1-143-13</v>
      </c>
      <c r="F2690" t="s">
        <v>15</v>
      </c>
      <c r="G2690" t="s">
        <v>20</v>
      </c>
      <c r="H2690" t="s">
        <v>21</v>
      </c>
      <c r="I2690">
        <v>0</v>
      </c>
      <c r="J2690">
        <v>1</v>
      </c>
      <c r="K2690">
        <v>0</v>
      </c>
    </row>
    <row r="2691" spans="1:11" x14ac:dyDescent="0.25">
      <c r="A2691" t="str">
        <f>"3402"</f>
        <v>3402</v>
      </c>
      <c r="B2691" t="str">
        <f t="shared" si="169"/>
        <v>1</v>
      </c>
      <c r="C2691" t="str">
        <f t="shared" si="171"/>
        <v>143</v>
      </c>
      <c r="D2691" t="str">
        <f>"6"</f>
        <v>6</v>
      </c>
      <c r="E2691" t="str">
        <f>"1-143-6"</f>
        <v>1-143-6</v>
      </c>
      <c r="F2691" t="s">
        <v>15</v>
      </c>
      <c r="G2691" t="s">
        <v>20</v>
      </c>
      <c r="H2691" t="s">
        <v>21</v>
      </c>
      <c r="I2691">
        <v>0</v>
      </c>
      <c r="J2691">
        <v>1</v>
      </c>
      <c r="K2691">
        <v>0</v>
      </c>
    </row>
    <row r="2692" spans="1:11" x14ac:dyDescent="0.25">
      <c r="A2692" t="str">
        <f>"3403"</f>
        <v>3403</v>
      </c>
      <c r="B2692" t="str">
        <f t="shared" si="169"/>
        <v>1</v>
      </c>
      <c r="C2692" t="str">
        <f t="shared" si="171"/>
        <v>143</v>
      </c>
      <c r="D2692" t="str">
        <f>"5"</f>
        <v>5</v>
      </c>
      <c r="E2692" t="str">
        <f>"1-143-5"</f>
        <v>1-143-5</v>
      </c>
      <c r="F2692" t="s">
        <v>15</v>
      </c>
      <c r="G2692" t="s">
        <v>16</v>
      </c>
      <c r="H2692" t="s">
        <v>17</v>
      </c>
      <c r="I2692">
        <v>0</v>
      </c>
      <c r="J2692">
        <v>1</v>
      </c>
      <c r="K2692">
        <v>0</v>
      </c>
    </row>
    <row r="2693" spans="1:11" x14ac:dyDescent="0.25">
      <c r="A2693" t="str">
        <f>"3404"</f>
        <v>3404</v>
      </c>
      <c r="B2693" t="str">
        <f t="shared" si="169"/>
        <v>1</v>
      </c>
      <c r="C2693" t="str">
        <f t="shared" si="171"/>
        <v>143</v>
      </c>
      <c r="D2693" t="str">
        <f>"7"</f>
        <v>7</v>
      </c>
      <c r="E2693" t="str">
        <f>"1-143-7"</f>
        <v>1-143-7</v>
      </c>
      <c r="F2693" t="s">
        <v>15</v>
      </c>
      <c r="G2693" t="s">
        <v>20</v>
      </c>
      <c r="H2693" t="s">
        <v>21</v>
      </c>
      <c r="I2693">
        <v>0</v>
      </c>
      <c r="J2693">
        <v>0</v>
      </c>
      <c r="K2693">
        <v>0</v>
      </c>
    </row>
    <row r="2694" spans="1:11" x14ac:dyDescent="0.25">
      <c r="A2694" t="str">
        <f>"3405"</f>
        <v>3405</v>
      </c>
      <c r="B2694" t="str">
        <f t="shared" si="169"/>
        <v>1</v>
      </c>
      <c r="C2694" t="str">
        <f t="shared" si="171"/>
        <v>143</v>
      </c>
      <c r="D2694" t="str">
        <f>"15"</f>
        <v>15</v>
      </c>
      <c r="E2694" t="str">
        <f>"1-143-15"</f>
        <v>1-143-15</v>
      </c>
      <c r="F2694" t="s">
        <v>15</v>
      </c>
      <c r="G2694" t="s">
        <v>20</v>
      </c>
      <c r="H2694" t="s">
        <v>21</v>
      </c>
      <c r="I2694">
        <v>0</v>
      </c>
      <c r="J2694">
        <v>0</v>
      </c>
      <c r="K2694">
        <v>0</v>
      </c>
    </row>
    <row r="2695" spans="1:11" x14ac:dyDescent="0.25">
      <c r="A2695" t="str">
        <f>"3406"</f>
        <v>3406</v>
      </c>
      <c r="B2695" t="str">
        <f t="shared" si="169"/>
        <v>1</v>
      </c>
      <c r="C2695" t="str">
        <f t="shared" ref="C2695:C2716" si="172">"144"</f>
        <v>144</v>
      </c>
      <c r="D2695" t="str">
        <f>"26"</f>
        <v>26</v>
      </c>
      <c r="E2695" t="str">
        <f>"1-144-26"</f>
        <v>1-144-26</v>
      </c>
      <c r="F2695" t="s">
        <v>15</v>
      </c>
      <c r="G2695" t="s">
        <v>18</v>
      </c>
      <c r="H2695" t="s">
        <v>19</v>
      </c>
      <c r="I2695">
        <v>0</v>
      </c>
      <c r="J2695">
        <v>1</v>
      </c>
      <c r="K2695">
        <v>0</v>
      </c>
    </row>
    <row r="2696" spans="1:11" x14ac:dyDescent="0.25">
      <c r="A2696" t="str">
        <f>"3407"</f>
        <v>3407</v>
      </c>
      <c r="B2696" t="str">
        <f t="shared" si="169"/>
        <v>1</v>
      </c>
      <c r="C2696" t="str">
        <f t="shared" si="172"/>
        <v>144</v>
      </c>
      <c r="D2696" t="str">
        <f>"25"</f>
        <v>25</v>
      </c>
      <c r="E2696" t="str">
        <f>"1-144-25"</f>
        <v>1-144-25</v>
      </c>
      <c r="F2696" t="s">
        <v>15</v>
      </c>
      <c r="G2696" t="s">
        <v>18</v>
      </c>
      <c r="H2696" t="s">
        <v>19</v>
      </c>
      <c r="I2696">
        <v>1</v>
      </c>
      <c r="J2696">
        <v>0</v>
      </c>
      <c r="K2696">
        <v>0</v>
      </c>
    </row>
    <row r="2697" spans="1:11" x14ac:dyDescent="0.25">
      <c r="A2697" t="str">
        <f>"3408"</f>
        <v>3408</v>
      </c>
      <c r="B2697" t="str">
        <f t="shared" si="169"/>
        <v>1</v>
      </c>
      <c r="C2697" t="str">
        <f t="shared" si="172"/>
        <v>144</v>
      </c>
      <c r="D2697" t="str">
        <f>"17"</f>
        <v>17</v>
      </c>
      <c r="E2697" t="str">
        <f>"1-144-17"</f>
        <v>1-144-17</v>
      </c>
      <c r="F2697" t="s">
        <v>15</v>
      </c>
      <c r="G2697" t="s">
        <v>16</v>
      </c>
      <c r="H2697" t="s">
        <v>17</v>
      </c>
      <c r="I2697">
        <v>0</v>
      </c>
      <c r="J2697">
        <v>0</v>
      </c>
      <c r="K2697">
        <v>1</v>
      </c>
    </row>
    <row r="2698" spans="1:11" x14ac:dyDescent="0.25">
      <c r="A2698" t="str">
        <f>"3413"</f>
        <v>3413</v>
      </c>
      <c r="B2698" t="str">
        <f t="shared" si="169"/>
        <v>1</v>
      </c>
      <c r="C2698" t="str">
        <f t="shared" si="172"/>
        <v>144</v>
      </c>
      <c r="D2698" t="str">
        <f>"2"</f>
        <v>2</v>
      </c>
      <c r="E2698" t="str">
        <f>"1-144-2"</f>
        <v>1-144-2</v>
      </c>
      <c r="F2698" t="s">
        <v>15</v>
      </c>
      <c r="G2698" t="s">
        <v>16</v>
      </c>
      <c r="H2698" t="s">
        <v>17</v>
      </c>
      <c r="I2698">
        <v>0</v>
      </c>
      <c r="J2698">
        <v>1</v>
      </c>
      <c r="K2698">
        <v>0</v>
      </c>
    </row>
    <row r="2699" spans="1:11" x14ac:dyDescent="0.25">
      <c r="A2699" t="str">
        <f>"3414"</f>
        <v>3414</v>
      </c>
      <c r="B2699" t="str">
        <f t="shared" si="169"/>
        <v>1</v>
      </c>
      <c r="C2699" t="str">
        <f t="shared" si="172"/>
        <v>144</v>
      </c>
      <c r="D2699" t="str">
        <f>"18"</f>
        <v>18</v>
      </c>
      <c r="E2699" t="str">
        <f>"1-144-18"</f>
        <v>1-144-18</v>
      </c>
      <c r="F2699" t="s">
        <v>15</v>
      </c>
      <c r="G2699" t="s">
        <v>16</v>
      </c>
      <c r="H2699" t="s">
        <v>17</v>
      </c>
      <c r="I2699">
        <v>0</v>
      </c>
      <c r="J2699">
        <v>1</v>
      </c>
      <c r="K2699">
        <v>0</v>
      </c>
    </row>
    <row r="2700" spans="1:11" x14ac:dyDescent="0.25">
      <c r="A2700" t="str">
        <f>"3416"</f>
        <v>3416</v>
      </c>
      <c r="B2700" t="str">
        <f t="shared" si="169"/>
        <v>1</v>
      </c>
      <c r="C2700" t="str">
        <f t="shared" si="172"/>
        <v>144</v>
      </c>
      <c r="D2700" t="str">
        <f>"20"</f>
        <v>20</v>
      </c>
      <c r="E2700" t="str">
        <f>"1-144-20"</f>
        <v>1-144-20</v>
      </c>
      <c r="F2700" t="s">
        <v>15</v>
      </c>
      <c r="G2700" t="s">
        <v>16</v>
      </c>
      <c r="H2700" t="s">
        <v>17</v>
      </c>
      <c r="I2700">
        <v>1</v>
      </c>
      <c r="J2700">
        <v>0</v>
      </c>
      <c r="K2700">
        <v>0</v>
      </c>
    </row>
    <row r="2701" spans="1:11" x14ac:dyDescent="0.25">
      <c r="A2701" t="str">
        <f>"3417"</f>
        <v>3417</v>
      </c>
      <c r="B2701" t="str">
        <f t="shared" si="169"/>
        <v>1</v>
      </c>
      <c r="C2701" t="str">
        <f t="shared" si="172"/>
        <v>144</v>
      </c>
      <c r="D2701" t="str">
        <f>"4"</f>
        <v>4</v>
      </c>
      <c r="E2701" t="str">
        <f>"1-144-4"</f>
        <v>1-144-4</v>
      </c>
      <c r="F2701" t="s">
        <v>15</v>
      </c>
      <c r="G2701" t="s">
        <v>16</v>
      </c>
      <c r="H2701" t="s">
        <v>17</v>
      </c>
      <c r="I2701">
        <v>0</v>
      </c>
      <c r="J2701">
        <v>1</v>
      </c>
      <c r="K2701">
        <v>0</v>
      </c>
    </row>
    <row r="2702" spans="1:11" x14ac:dyDescent="0.25">
      <c r="A2702" t="str">
        <f>"3418"</f>
        <v>3418</v>
      </c>
      <c r="B2702" t="str">
        <f t="shared" ref="B2702:B2756" si="173">"1"</f>
        <v>1</v>
      </c>
      <c r="C2702" t="str">
        <f t="shared" si="172"/>
        <v>144</v>
      </c>
      <c r="D2702" t="str">
        <f>"21"</f>
        <v>21</v>
      </c>
      <c r="E2702" t="str">
        <f>"1-144-21"</f>
        <v>1-144-21</v>
      </c>
      <c r="F2702" t="s">
        <v>15</v>
      </c>
      <c r="G2702" t="s">
        <v>16</v>
      </c>
      <c r="H2702" t="s">
        <v>17</v>
      </c>
      <c r="I2702">
        <v>0</v>
      </c>
      <c r="J2702">
        <v>1</v>
      </c>
      <c r="K2702">
        <v>0</v>
      </c>
    </row>
    <row r="2703" spans="1:11" x14ac:dyDescent="0.25">
      <c r="A2703" t="str">
        <f>"3419"</f>
        <v>3419</v>
      </c>
      <c r="B2703" t="str">
        <f t="shared" si="173"/>
        <v>1</v>
      </c>
      <c r="C2703" t="str">
        <f t="shared" si="172"/>
        <v>144</v>
      </c>
      <c r="D2703" t="str">
        <f>"9"</f>
        <v>9</v>
      </c>
      <c r="E2703" t="str">
        <f>"1-144-9"</f>
        <v>1-144-9</v>
      </c>
      <c r="F2703" t="s">
        <v>15</v>
      </c>
      <c r="G2703" t="s">
        <v>16</v>
      </c>
      <c r="H2703" t="s">
        <v>17</v>
      </c>
      <c r="I2703">
        <v>0</v>
      </c>
      <c r="J2703">
        <v>1</v>
      </c>
      <c r="K2703">
        <v>0</v>
      </c>
    </row>
    <row r="2704" spans="1:11" x14ac:dyDescent="0.25">
      <c r="A2704" t="str">
        <f>"3420"</f>
        <v>3420</v>
      </c>
      <c r="B2704" t="str">
        <f t="shared" si="173"/>
        <v>1</v>
      </c>
      <c r="C2704" t="str">
        <f t="shared" si="172"/>
        <v>144</v>
      </c>
      <c r="D2704" t="str">
        <f>"23"</f>
        <v>23</v>
      </c>
      <c r="E2704" t="str">
        <f>"1-144-23"</f>
        <v>1-144-23</v>
      </c>
      <c r="F2704" t="s">
        <v>15</v>
      </c>
      <c r="G2704" t="s">
        <v>18</v>
      </c>
      <c r="H2704" t="s">
        <v>19</v>
      </c>
      <c r="I2704">
        <v>0</v>
      </c>
      <c r="J2704">
        <v>0</v>
      </c>
      <c r="K2704">
        <v>1</v>
      </c>
    </row>
    <row r="2705" spans="1:11" x14ac:dyDescent="0.25">
      <c r="A2705" t="str">
        <f>"3421"</f>
        <v>3421</v>
      </c>
      <c r="B2705" t="str">
        <f t="shared" si="173"/>
        <v>1</v>
      </c>
      <c r="C2705" t="str">
        <f t="shared" si="172"/>
        <v>144</v>
      </c>
      <c r="D2705" t="str">
        <f>"13"</f>
        <v>13</v>
      </c>
      <c r="E2705" t="str">
        <f>"1-144-13"</f>
        <v>1-144-13</v>
      </c>
      <c r="F2705" t="s">
        <v>15</v>
      </c>
      <c r="G2705" t="s">
        <v>16</v>
      </c>
      <c r="H2705" t="s">
        <v>17</v>
      </c>
      <c r="I2705">
        <v>1</v>
      </c>
      <c r="J2705">
        <v>0</v>
      </c>
      <c r="K2705">
        <v>0</v>
      </c>
    </row>
    <row r="2706" spans="1:11" x14ac:dyDescent="0.25">
      <c r="A2706" t="str">
        <f>"3422"</f>
        <v>3422</v>
      </c>
      <c r="B2706" t="str">
        <f t="shared" si="173"/>
        <v>1</v>
      </c>
      <c r="C2706" t="str">
        <f t="shared" si="172"/>
        <v>144</v>
      </c>
      <c r="D2706" t="str">
        <f>"24"</f>
        <v>24</v>
      </c>
      <c r="E2706" t="str">
        <f>"1-144-24"</f>
        <v>1-144-24</v>
      </c>
      <c r="F2706" t="s">
        <v>15</v>
      </c>
      <c r="G2706" t="s">
        <v>16</v>
      </c>
      <c r="H2706" t="s">
        <v>17</v>
      </c>
      <c r="I2706">
        <v>0</v>
      </c>
      <c r="J2706">
        <v>1</v>
      </c>
      <c r="K2706">
        <v>0</v>
      </c>
    </row>
    <row r="2707" spans="1:11" x14ac:dyDescent="0.25">
      <c r="A2707" t="str">
        <f>"3423"</f>
        <v>3423</v>
      </c>
      <c r="B2707" t="str">
        <f t="shared" si="173"/>
        <v>1</v>
      </c>
      <c r="C2707" t="str">
        <f t="shared" si="172"/>
        <v>144</v>
      </c>
      <c r="D2707" t="str">
        <f>"5"</f>
        <v>5</v>
      </c>
      <c r="E2707" t="str">
        <f>"1-144-5"</f>
        <v>1-144-5</v>
      </c>
      <c r="F2707" t="s">
        <v>15</v>
      </c>
      <c r="G2707" t="s">
        <v>20</v>
      </c>
      <c r="H2707" t="s">
        <v>21</v>
      </c>
      <c r="I2707">
        <v>0</v>
      </c>
      <c r="J2707">
        <v>1</v>
      </c>
      <c r="K2707">
        <v>0</v>
      </c>
    </row>
    <row r="2708" spans="1:11" x14ac:dyDescent="0.25">
      <c r="A2708" t="str">
        <f>"3424"</f>
        <v>3424</v>
      </c>
      <c r="B2708" t="str">
        <f t="shared" si="173"/>
        <v>1</v>
      </c>
      <c r="C2708" t="str">
        <f t="shared" si="172"/>
        <v>144</v>
      </c>
      <c r="D2708" t="str">
        <f>"27"</f>
        <v>27</v>
      </c>
      <c r="E2708" t="str">
        <f>"1-144-27"</f>
        <v>1-144-27</v>
      </c>
      <c r="F2708" t="s">
        <v>15</v>
      </c>
      <c r="G2708" t="s">
        <v>16</v>
      </c>
      <c r="H2708" t="s">
        <v>17</v>
      </c>
      <c r="I2708">
        <v>0</v>
      </c>
      <c r="J2708">
        <v>1</v>
      </c>
      <c r="K2708">
        <v>0</v>
      </c>
    </row>
    <row r="2709" spans="1:11" x14ac:dyDescent="0.25">
      <c r="A2709" t="str">
        <f>"3425"</f>
        <v>3425</v>
      </c>
      <c r="B2709" t="str">
        <f t="shared" si="173"/>
        <v>1</v>
      </c>
      <c r="C2709" t="str">
        <f t="shared" si="172"/>
        <v>144</v>
      </c>
      <c r="D2709" t="str">
        <f>"11"</f>
        <v>11</v>
      </c>
      <c r="E2709" t="str">
        <f>"1-144-11"</f>
        <v>1-144-11</v>
      </c>
      <c r="F2709" t="s">
        <v>15</v>
      </c>
      <c r="G2709" t="s">
        <v>16</v>
      </c>
      <c r="H2709" t="s">
        <v>17</v>
      </c>
      <c r="I2709">
        <v>0</v>
      </c>
      <c r="J2709">
        <v>1</v>
      </c>
      <c r="K2709">
        <v>0</v>
      </c>
    </row>
    <row r="2710" spans="1:11" x14ac:dyDescent="0.25">
      <c r="A2710" t="str">
        <f>"3426"</f>
        <v>3426</v>
      </c>
      <c r="B2710" t="str">
        <f t="shared" si="173"/>
        <v>1</v>
      </c>
      <c r="C2710" t="str">
        <f t="shared" si="172"/>
        <v>144</v>
      </c>
      <c r="D2710" t="str">
        <f>"6"</f>
        <v>6</v>
      </c>
      <c r="E2710" t="str">
        <f>"1-144-6"</f>
        <v>1-144-6</v>
      </c>
      <c r="F2710" t="s">
        <v>15</v>
      </c>
      <c r="G2710" t="s">
        <v>16</v>
      </c>
      <c r="H2710" t="s">
        <v>17</v>
      </c>
      <c r="I2710">
        <v>0</v>
      </c>
      <c r="J2710">
        <v>0</v>
      </c>
      <c r="K2710">
        <v>1</v>
      </c>
    </row>
    <row r="2711" spans="1:11" x14ac:dyDescent="0.25">
      <c r="A2711" t="str">
        <f>"3427"</f>
        <v>3427</v>
      </c>
      <c r="B2711" t="str">
        <f t="shared" si="173"/>
        <v>1</v>
      </c>
      <c r="C2711" t="str">
        <f t="shared" si="172"/>
        <v>144</v>
      </c>
      <c r="D2711" t="str">
        <f>"3"</f>
        <v>3</v>
      </c>
      <c r="E2711" t="str">
        <f>"1-144-3"</f>
        <v>1-144-3</v>
      </c>
      <c r="F2711" t="s">
        <v>15</v>
      </c>
      <c r="G2711" t="s">
        <v>16</v>
      </c>
      <c r="H2711" t="s">
        <v>17</v>
      </c>
      <c r="I2711">
        <v>1</v>
      </c>
      <c r="J2711">
        <v>0</v>
      </c>
      <c r="K2711">
        <v>0</v>
      </c>
    </row>
    <row r="2712" spans="1:11" x14ac:dyDescent="0.25">
      <c r="A2712" t="str">
        <f>"3428"</f>
        <v>3428</v>
      </c>
      <c r="B2712" t="str">
        <f t="shared" si="173"/>
        <v>1</v>
      </c>
      <c r="C2712" t="str">
        <f t="shared" si="172"/>
        <v>144</v>
      </c>
      <c r="D2712" t="str">
        <f>"12"</f>
        <v>12</v>
      </c>
      <c r="E2712" t="str">
        <f>"1-144-12"</f>
        <v>1-144-12</v>
      </c>
      <c r="F2712" t="s">
        <v>15</v>
      </c>
      <c r="G2712" t="s">
        <v>16</v>
      </c>
      <c r="H2712" t="s">
        <v>17</v>
      </c>
      <c r="I2712">
        <v>1</v>
      </c>
      <c r="J2712">
        <v>0</v>
      </c>
      <c r="K2712">
        <v>0</v>
      </c>
    </row>
    <row r="2713" spans="1:11" x14ac:dyDescent="0.25">
      <c r="A2713" t="str">
        <f>"3429"</f>
        <v>3429</v>
      </c>
      <c r="B2713" t="str">
        <f t="shared" si="173"/>
        <v>1</v>
      </c>
      <c r="C2713" t="str">
        <f t="shared" si="172"/>
        <v>144</v>
      </c>
      <c r="D2713" t="str">
        <f>"8"</f>
        <v>8</v>
      </c>
      <c r="E2713" t="str">
        <f>"1-144-8"</f>
        <v>1-144-8</v>
      </c>
      <c r="F2713" t="s">
        <v>15</v>
      </c>
      <c r="G2713" t="s">
        <v>16</v>
      </c>
      <c r="H2713" t="s">
        <v>17</v>
      </c>
      <c r="I2713">
        <v>0</v>
      </c>
      <c r="J2713">
        <v>1</v>
      </c>
      <c r="K2713">
        <v>0</v>
      </c>
    </row>
    <row r="2714" spans="1:11" x14ac:dyDescent="0.25">
      <c r="A2714" t="str">
        <f>"3430"</f>
        <v>3430</v>
      </c>
      <c r="B2714" t="str">
        <f t="shared" si="173"/>
        <v>1</v>
      </c>
      <c r="C2714" t="str">
        <f t="shared" si="172"/>
        <v>144</v>
      </c>
      <c r="D2714" t="str">
        <f>"10"</f>
        <v>10</v>
      </c>
      <c r="E2714" t="str">
        <f>"1-144-10"</f>
        <v>1-144-10</v>
      </c>
      <c r="F2714" t="s">
        <v>15</v>
      </c>
      <c r="G2714" t="s">
        <v>18</v>
      </c>
      <c r="H2714" t="s">
        <v>19</v>
      </c>
      <c r="I2714">
        <v>0</v>
      </c>
      <c r="J2714">
        <v>1</v>
      </c>
      <c r="K2714">
        <v>0</v>
      </c>
    </row>
    <row r="2715" spans="1:11" x14ac:dyDescent="0.25">
      <c r="A2715" t="str">
        <f>"3431"</f>
        <v>3431</v>
      </c>
      <c r="B2715" t="str">
        <f t="shared" si="173"/>
        <v>1</v>
      </c>
      <c r="C2715" t="str">
        <f t="shared" si="172"/>
        <v>144</v>
      </c>
      <c r="D2715" t="str">
        <f>"14"</f>
        <v>14</v>
      </c>
      <c r="E2715" t="str">
        <f>"1-144-14"</f>
        <v>1-144-14</v>
      </c>
      <c r="F2715" t="s">
        <v>15</v>
      </c>
      <c r="G2715" t="s">
        <v>16</v>
      </c>
      <c r="H2715" t="s">
        <v>17</v>
      </c>
      <c r="I2715">
        <v>0</v>
      </c>
      <c r="J2715">
        <v>0</v>
      </c>
      <c r="K2715">
        <v>0</v>
      </c>
    </row>
    <row r="2716" spans="1:11" x14ac:dyDescent="0.25">
      <c r="A2716" t="str">
        <f>"3432"</f>
        <v>3432</v>
      </c>
      <c r="B2716" t="str">
        <f t="shared" si="173"/>
        <v>1</v>
      </c>
      <c r="C2716" t="str">
        <f t="shared" si="172"/>
        <v>144</v>
      </c>
      <c r="D2716" t="str">
        <f>"22"</f>
        <v>22</v>
      </c>
      <c r="E2716" t="str">
        <f>"1-144-22"</f>
        <v>1-144-22</v>
      </c>
      <c r="F2716" t="s">
        <v>15</v>
      </c>
      <c r="G2716" t="s">
        <v>20</v>
      </c>
      <c r="H2716" t="s">
        <v>21</v>
      </c>
      <c r="I2716">
        <v>0</v>
      </c>
      <c r="J2716">
        <v>0</v>
      </c>
      <c r="K2716">
        <v>0</v>
      </c>
    </row>
    <row r="2717" spans="1:11" x14ac:dyDescent="0.25">
      <c r="A2717" t="str">
        <f>"3434"</f>
        <v>3434</v>
      </c>
      <c r="B2717" t="str">
        <f t="shared" si="173"/>
        <v>1</v>
      </c>
      <c r="C2717" t="str">
        <f t="shared" ref="C2717:C2737" si="174">"145"</f>
        <v>145</v>
      </c>
      <c r="D2717" t="str">
        <f>"15"</f>
        <v>15</v>
      </c>
      <c r="E2717" t="str">
        <f>"1-145-15"</f>
        <v>1-145-15</v>
      </c>
      <c r="F2717" t="s">
        <v>15</v>
      </c>
      <c r="G2717" t="s">
        <v>16</v>
      </c>
      <c r="H2717" t="s">
        <v>17</v>
      </c>
      <c r="I2717">
        <v>1</v>
      </c>
      <c r="J2717">
        <v>0</v>
      </c>
      <c r="K2717">
        <v>0</v>
      </c>
    </row>
    <row r="2718" spans="1:11" x14ac:dyDescent="0.25">
      <c r="A2718" t="str">
        <f>"3435"</f>
        <v>3435</v>
      </c>
      <c r="B2718" t="str">
        <f t="shared" si="173"/>
        <v>1</v>
      </c>
      <c r="C2718" t="str">
        <f t="shared" si="174"/>
        <v>145</v>
      </c>
      <c r="D2718" t="str">
        <f>"2"</f>
        <v>2</v>
      </c>
      <c r="E2718" t="str">
        <f>"1-145-2"</f>
        <v>1-145-2</v>
      </c>
      <c r="F2718" t="s">
        <v>15</v>
      </c>
      <c r="G2718" t="s">
        <v>20</v>
      </c>
      <c r="H2718" t="s">
        <v>21</v>
      </c>
      <c r="I2718">
        <v>0</v>
      </c>
      <c r="J2718">
        <v>0</v>
      </c>
      <c r="K2718">
        <v>1</v>
      </c>
    </row>
    <row r="2719" spans="1:11" x14ac:dyDescent="0.25">
      <c r="A2719" t="str">
        <f>"3436"</f>
        <v>3436</v>
      </c>
      <c r="B2719" t="str">
        <f t="shared" si="173"/>
        <v>1</v>
      </c>
      <c r="C2719" t="str">
        <f t="shared" si="174"/>
        <v>145</v>
      </c>
      <c r="D2719" t="str">
        <f>"6"</f>
        <v>6</v>
      </c>
      <c r="E2719" t="str">
        <f>"1-145-6"</f>
        <v>1-145-6</v>
      </c>
      <c r="F2719" t="s">
        <v>15</v>
      </c>
      <c r="G2719" t="s">
        <v>20</v>
      </c>
      <c r="H2719" t="s">
        <v>21</v>
      </c>
      <c r="I2719">
        <v>0</v>
      </c>
      <c r="J2719">
        <v>1</v>
      </c>
      <c r="K2719">
        <v>0</v>
      </c>
    </row>
    <row r="2720" spans="1:11" x14ac:dyDescent="0.25">
      <c r="A2720" t="str">
        <f>"3438"</f>
        <v>3438</v>
      </c>
      <c r="B2720" t="str">
        <f t="shared" si="173"/>
        <v>1</v>
      </c>
      <c r="C2720" t="str">
        <f t="shared" si="174"/>
        <v>145</v>
      </c>
      <c r="D2720" t="str">
        <f>"1"</f>
        <v>1</v>
      </c>
      <c r="E2720" t="str">
        <f>"1-145-1"</f>
        <v>1-145-1</v>
      </c>
      <c r="F2720" t="s">
        <v>15</v>
      </c>
      <c r="G2720" t="s">
        <v>20</v>
      </c>
      <c r="H2720" t="s">
        <v>21</v>
      </c>
      <c r="I2720">
        <v>1</v>
      </c>
      <c r="J2720">
        <v>0</v>
      </c>
      <c r="K2720">
        <v>0</v>
      </c>
    </row>
    <row r="2721" spans="1:11" x14ac:dyDescent="0.25">
      <c r="A2721" t="str">
        <f>"3439"</f>
        <v>3439</v>
      </c>
      <c r="B2721" t="str">
        <f t="shared" si="173"/>
        <v>1</v>
      </c>
      <c r="C2721" t="str">
        <f t="shared" si="174"/>
        <v>145</v>
      </c>
      <c r="D2721" t="str">
        <f>"18"</f>
        <v>18</v>
      </c>
      <c r="E2721" t="str">
        <f>"1-145-18"</f>
        <v>1-145-18</v>
      </c>
      <c r="F2721" t="s">
        <v>15</v>
      </c>
      <c r="G2721" t="s">
        <v>20</v>
      </c>
      <c r="H2721" t="s">
        <v>21</v>
      </c>
      <c r="I2721">
        <v>0</v>
      </c>
      <c r="J2721">
        <v>0</v>
      </c>
      <c r="K2721">
        <v>1</v>
      </c>
    </row>
    <row r="2722" spans="1:11" x14ac:dyDescent="0.25">
      <c r="A2722" t="str">
        <f>"3440"</f>
        <v>3440</v>
      </c>
      <c r="B2722" t="str">
        <f t="shared" si="173"/>
        <v>1</v>
      </c>
      <c r="C2722" t="str">
        <f t="shared" si="174"/>
        <v>145</v>
      </c>
      <c r="D2722" t="str">
        <f>"14"</f>
        <v>14</v>
      </c>
      <c r="E2722" t="str">
        <f>"1-145-14"</f>
        <v>1-145-14</v>
      </c>
      <c r="F2722" t="s">
        <v>15</v>
      </c>
      <c r="G2722" t="s">
        <v>16</v>
      </c>
      <c r="H2722" t="s">
        <v>17</v>
      </c>
      <c r="I2722">
        <v>1</v>
      </c>
      <c r="J2722">
        <v>0</v>
      </c>
      <c r="K2722">
        <v>0</v>
      </c>
    </row>
    <row r="2723" spans="1:11" x14ac:dyDescent="0.25">
      <c r="A2723" t="str">
        <f>"3441"</f>
        <v>3441</v>
      </c>
      <c r="B2723" t="str">
        <f t="shared" si="173"/>
        <v>1</v>
      </c>
      <c r="C2723" t="str">
        <f t="shared" si="174"/>
        <v>145</v>
      </c>
      <c r="D2723" t="str">
        <f>"19"</f>
        <v>19</v>
      </c>
      <c r="E2723" t="str">
        <f>"1-145-19"</f>
        <v>1-145-19</v>
      </c>
      <c r="F2723" t="s">
        <v>15</v>
      </c>
      <c r="G2723" t="s">
        <v>18</v>
      </c>
      <c r="H2723" t="s">
        <v>19</v>
      </c>
      <c r="I2723">
        <v>0</v>
      </c>
      <c r="J2723">
        <v>0</v>
      </c>
      <c r="K2723">
        <v>1</v>
      </c>
    </row>
    <row r="2724" spans="1:11" x14ac:dyDescent="0.25">
      <c r="A2724" t="str">
        <f>"3447"</f>
        <v>3447</v>
      </c>
      <c r="B2724" t="str">
        <f t="shared" si="173"/>
        <v>1</v>
      </c>
      <c r="C2724" t="str">
        <f t="shared" si="174"/>
        <v>145</v>
      </c>
      <c r="D2724" t="str">
        <f>"22"</f>
        <v>22</v>
      </c>
      <c r="E2724" t="str">
        <f>"1-145-22"</f>
        <v>1-145-22</v>
      </c>
      <c r="F2724" t="s">
        <v>15</v>
      </c>
      <c r="G2724" t="s">
        <v>16</v>
      </c>
      <c r="H2724" t="s">
        <v>17</v>
      </c>
      <c r="I2724">
        <v>1</v>
      </c>
      <c r="J2724">
        <v>0</v>
      </c>
      <c r="K2724">
        <v>0</v>
      </c>
    </row>
    <row r="2725" spans="1:11" x14ac:dyDescent="0.25">
      <c r="A2725" t="str">
        <f>"3448"</f>
        <v>3448</v>
      </c>
      <c r="B2725" t="str">
        <f t="shared" si="173"/>
        <v>1</v>
      </c>
      <c r="C2725" t="str">
        <f t="shared" si="174"/>
        <v>145</v>
      </c>
      <c r="D2725" t="str">
        <f>"5"</f>
        <v>5</v>
      </c>
      <c r="E2725" t="str">
        <f>"1-145-5"</f>
        <v>1-145-5</v>
      </c>
      <c r="F2725" t="s">
        <v>15</v>
      </c>
      <c r="G2725" t="s">
        <v>20</v>
      </c>
      <c r="H2725" t="s">
        <v>21</v>
      </c>
      <c r="I2725">
        <v>0</v>
      </c>
      <c r="J2725">
        <v>1</v>
      </c>
      <c r="K2725">
        <v>0</v>
      </c>
    </row>
    <row r="2726" spans="1:11" x14ac:dyDescent="0.25">
      <c r="A2726" t="str">
        <f>"3449"</f>
        <v>3449</v>
      </c>
      <c r="B2726" t="str">
        <f t="shared" si="173"/>
        <v>1</v>
      </c>
      <c r="C2726" t="str">
        <f t="shared" si="174"/>
        <v>145</v>
      </c>
      <c r="D2726" t="str">
        <f>"24"</f>
        <v>24</v>
      </c>
      <c r="E2726" t="str">
        <f>"1-145-24"</f>
        <v>1-145-24</v>
      </c>
      <c r="F2726" t="s">
        <v>15</v>
      </c>
      <c r="G2726" t="s">
        <v>16</v>
      </c>
      <c r="H2726" t="s">
        <v>17</v>
      </c>
      <c r="I2726">
        <v>0</v>
      </c>
      <c r="J2726">
        <v>1</v>
      </c>
      <c r="K2726">
        <v>0</v>
      </c>
    </row>
    <row r="2727" spans="1:11" x14ac:dyDescent="0.25">
      <c r="A2727" t="str">
        <f>"3450"</f>
        <v>3450</v>
      </c>
      <c r="B2727" t="str">
        <f t="shared" si="173"/>
        <v>1</v>
      </c>
      <c r="C2727" t="str">
        <f t="shared" si="174"/>
        <v>145</v>
      </c>
      <c r="D2727" t="str">
        <f>"11"</f>
        <v>11</v>
      </c>
      <c r="E2727" t="str">
        <f>"1-145-11"</f>
        <v>1-145-11</v>
      </c>
      <c r="F2727" t="s">
        <v>15</v>
      </c>
      <c r="G2727" t="s">
        <v>16</v>
      </c>
      <c r="H2727" t="s">
        <v>17</v>
      </c>
      <c r="I2727">
        <v>0</v>
      </c>
      <c r="J2727">
        <v>1</v>
      </c>
      <c r="K2727">
        <v>0</v>
      </c>
    </row>
    <row r="2728" spans="1:11" x14ac:dyDescent="0.25">
      <c r="A2728" t="str">
        <f>"3451"</f>
        <v>3451</v>
      </c>
      <c r="B2728" t="str">
        <f t="shared" si="173"/>
        <v>1</v>
      </c>
      <c r="C2728" t="str">
        <f t="shared" si="174"/>
        <v>145</v>
      </c>
      <c r="D2728" t="str">
        <f>"25"</f>
        <v>25</v>
      </c>
      <c r="E2728" t="str">
        <f>"1-145-25"</f>
        <v>1-145-25</v>
      </c>
      <c r="F2728" t="s">
        <v>15</v>
      </c>
      <c r="G2728" t="s">
        <v>16</v>
      </c>
      <c r="H2728" t="s">
        <v>17</v>
      </c>
      <c r="I2728">
        <v>0</v>
      </c>
      <c r="J2728">
        <v>1</v>
      </c>
      <c r="K2728">
        <v>0</v>
      </c>
    </row>
    <row r="2729" spans="1:11" x14ac:dyDescent="0.25">
      <c r="A2729" t="str">
        <f>"3452"</f>
        <v>3452</v>
      </c>
      <c r="B2729" t="str">
        <f t="shared" si="173"/>
        <v>1</v>
      </c>
      <c r="C2729" t="str">
        <f t="shared" si="174"/>
        <v>145</v>
      </c>
      <c r="D2729" t="str">
        <f>"10"</f>
        <v>10</v>
      </c>
      <c r="E2729" t="str">
        <f>"1-145-10"</f>
        <v>1-145-10</v>
      </c>
      <c r="F2729" t="s">
        <v>15</v>
      </c>
      <c r="G2729" t="s">
        <v>16</v>
      </c>
      <c r="H2729" t="s">
        <v>17</v>
      </c>
      <c r="I2729">
        <v>0</v>
      </c>
      <c r="J2729">
        <v>0</v>
      </c>
      <c r="K2729">
        <v>1</v>
      </c>
    </row>
    <row r="2730" spans="1:11" x14ac:dyDescent="0.25">
      <c r="A2730" t="str">
        <f>"3453"</f>
        <v>3453</v>
      </c>
      <c r="B2730" t="str">
        <f t="shared" si="173"/>
        <v>1</v>
      </c>
      <c r="C2730" t="str">
        <f t="shared" si="174"/>
        <v>145</v>
      </c>
      <c r="D2730" t="str">
        <f>"26"</f>
        <v>26</v>
      </c>
      <c r="E2730" t="str">
        <f>"1-145-26"</f>
        <v>1-145-26</v>
      </c>
      <c r="F2730" t="s">
        <v>15</v>
      </c>
      <c r="G2730" t="s">
        <v>20</v>
      </c>
      <c r="H2730" t="s">
        <v>21</v>
      </c>
      <c r="I2730">
        <v>0</v>
      </c>
      <c r="J2730">
        <v>0</v>
      </c>
      <c r="K2730">
        <v>1</v>
      </c>
    </row>
    <row r="2731" spans="1:11" x14ac:dyDescent="0.25">
      <c r="A2731" t="str">
        <f>"3454"</f>
        <v>3454</v>
      </c>
      <c r="B2731" t="str">
        <f t="shared" si="173"/>
        <v>1</v>
      </c>
      <c r="C2731" t="str">
        <f t="shared" si="174"/>
        <v>145</v>
      </c>
      <c r="D2731" t="str">
        <f>"12"</f>
        <v>12</v>
      </c>
      <c r="E2731" t="str">
        <f>"1-145-12"</f>
        <v>1-145-12</v>
      </c>
      <c r="F2731" t="s">
        <v>15</v>
      </c>
      <c r="G2731" t="s">
        <v>16</v>
      </c>
      <c r="H2731" t="s">
        <v>17</v>
      </c>
      <c r="I2731">
        <v>0</v>
      </c>
      <c r="J2731">
        <v>1</v>
      </c>
      <c r="K2731">
        <v>0</v>
      </c>
    </row>
    <row r="2732" spans="1:11" x14ac:dyDescent="0.25">
      <c r="A2732" t="str">
        <f>"3455"</f>
        <v>3455</v>
      </c>
      <c r="B2732" t="str">
        <f t="shared" si="173"/>
        <v>1</v>
      </c>
      <c r="C2732" t="str">
        <f t="shared" si="174"/>
        <v>145</v>
      </c>
      <c r="D2732" t="str">
        <f>"27"</f>
        <v>27</v>
      </c>
      <c r="E2732" t="str">
        <f>"1-145-27"</f>
        <v>1-145-27</v>
      </c>
      <c r="F2732" t="s">
        <v>15</v>
      </c>
      <c r="G2732" t="s">
        <v>20</v>
      </c>
      <c r="H2732" t="s">
        <v>21</v>
      </c>
      <c r="I2732">
        <v>0</v>
      </c>
      <c r="J2732">
        <v>1</v>
      </c>
      <c r="K2732">
        <v>0</v>
      </c>
    </row>
    <row r="2733" spans="1:11" x14ac:dyDescent="0.25">
      <c r="A2733" t="str">
        <f>"3456"</f>
        <v>3456</v>
      </c>
      <c r="B2733" t="str">
        <f t="shared" si="173"/>
        <v>1</v>
      </c>
      <c r="C2733" t="str">
        <f t="shared" si="174"/>
        <v>145</v>
      </c>
      <c r="D2733" t="str">
        <f>"8"</f>
        <v>8</v>
      </c>
      <c r="E2733" t="str">
        <f>"1-145-8"</f>
        <v>1-145-8</v>
      </c>
      <c r="F2733" t="s">
        <v>15</v>
      </c>
      <c r="G2733" t="s">
        <v>18</v>
      </c>
      <c r="H2733" t="s">
        <v>19</v>
      </c>
      <c r="I2733">
        <v>0</v>
      </c>
      <c r="J2733">
        <v>0</v>
      </c>
      <c r="K2733">
        <v>1</v>
      </c>
    </row>
    <row r="2734" spans="1:11" x14ac:dyDescent="0.25">
      <c r="A2734" t="str">
        <f>"3458"</f>
        <v>3458</v>
      </c>
      <c r="B2734" t="str">
        <f t="shared" si="173"/>
        <v>1</v>
      </c>
      <c r="C2734" t="str">
        <f t="shared" si="174"/>
        <v>145</v>
      </c>
      <c r="D2734" t="str">
        <f>"3"</f>
        <v>3</v>
      </c>
      <c r="E2734" t="str">
        <f>"1-145-3"</f>
        <v>1-145-3</v>
      </c>
      <c r="F2734" t="s">
        <v>15</v>
      </c>
      <c r="G2734" t="s">
        <v>20</v>
      </c>
      <c r="H2734" t="s">
        <v>21</v>
      </c>
      <c r="I2734">
        <v>1</v>
      </c>
      <c r="J2734">
        <v>0</v>
      </c>
      <c r="K2734">
        <v>0</v>
      </c>
    </row>
    <row r="2735" spans="1:11" x14ac:dyDescent="0.25">
      <c r="A2735" t="str">
        <f>"3459"</f>
        <v>3459</v>
      </c>
      <c r="B2735" t="str">
        <f t="shared" si="173"/>
        <v>1</v>
      </c>
      <c r="C2735" t="str">
        <f t="shared" si="174"/>
        <v>145</v>
      </c>
      <c r="D2735" t="str">
        <f>"7"</f>
        <v>7</v>
      </c>
      <c r="E2735" t="str">
        <f>"1-145-7"</f>
        <v>1-145-7</v>
      </c>
      <c r="F2735" t="s">
        <v>15</v>
      </c>
      <c r="G2735" t="s">
        <v>18</v>
      </c>
      <c r="H2735" t="s">
        <v>19</v>
      </c>
      <c r="I2735">
        <v>0</v>
      </c>
      <c r="J2735">
        <v>0</v>
      </c>
      <c r="K2735">
        <v>1</v>
      </c>
    </row>
    <row r="2736" spans="1:11" x14ac:dyDescent="0.25">
      <c r="A2736" t="str">
        <f>"3460"</f>
        <v>3460</v>
      </c>
      <c r="B2736" t="str">
        <f t="shared" si="173"/>
        <v>1</v>
      </c>
      <c r="C2736" t="str">
        <f t="shared" si="174"/>
        <v>145</v>
      </c>
      <c r="D2736" t="str">
        <f>"16"</f>
        <v>16</v>
      </c>
      <c r="E2736" t="str">
        <f>"1-145-16"</f>
        <v>1-145-16</v>
      </c>
      <c r="F2736" t="s">
        <v>15</v>
      </c>
      <c r="G2736" t="s">
        <v>16</v>
      </c>
      <c r="H2736" t="s">
        <v>17</v>
      </c>
      <c r="I2736">
        <v>0</v>
      </c>
      <c r="J2736">
        <v>0</v>
      </c>
      <c r="K2736">
        <v>1</v>
      </c>
    </row>
    <row r="2737" spans="1:11" x14ac:dyDescent="0.25">
      <c r="A2737" t="str">
        <f>"3461"</f>
        <v>3461</v>
      </c>
      <c r="B2737" t="str">
        <f t="shared" si="173"/>
        <v>1</v>
      </c>
      <c r="C2737" t="str">
        <f t="shared" si="174"/>
        <v>145</v>
      </c>
      <c r="D2737" t="str">
        <f>"28"</f>
        <v>28</v>
      </c>
      <c r="E2737" t="str">
        <f>"1-145-28"</f>
        <v>1-145-28</v>
      </c>
      <c r="F2737" t="s">
        <v>15</v>
      </c>
      <c r="G2737" t="s">
        <v>20</v>
      </c>
      <c r="H2737" t="s">
        <v>21</v>
      </c>
      <c r="I2737">
        <v>0</v>
      </c>
      <c r="J2737">
        <v>0</v>
      </c>
      <c r="K2737">
        <v>0</v>
      </c>
    </row>
    <row r="2738" spans="1:11" x14ac:dyDescent="0.25">
      <c r="A2738" t="str">
        <f>"3462"</f>
        <v>3462</v>
      </c>
      <c r="B2738" t="str">
        <f t="shared" si="173"/>
        <v>1</v>
      </c>
      <c r="C2738" t="str">
        <f t="shared" ref="C2738:C2755" si="175">"146"</f>
        <v>146</v>
      </c>
      <c r="D2738" t="str">
        <f>"15"</f>
        <v>15</v>
      </c>
      <c r="E2738" t="str">
        <f>"1-146-15"</f>
        <v>1-146-15</v>
      </c>
      <c r="F2738" t="s">
        <v>15</v>
      </c>
      <c r="G2738" t="s">
        <v>20</v>
      </c>
      <c r="H2738" t="s">
        <v>21</v>
      </c>
      <c r="I2738">
        <v>0</v>
      </c>
      <c r="J2738">
        <v>0</v>
      </c>
      <c r="K2738">
        <v>1</v>
      </c>
    </row>
    <row r="2739" spans="1:11" x14ac:dyDescent="0.25">
      <c r="A2739" t="str">
        <f>"3463"</f>
        <v>3463</v>
      </c>
      <c r="B2739" t="str">
        <f t="shared" si="173"/>
        <v>1</v>
      </c>
      <c r="C2739" t="str">
        <f t="shared" si="175"/>
        <v>146</v>
      </c>
      <c r="D2739" t="str">
        <f>"2"</f>
        <v>2</v>
      </c>
      <c r="E2739" t="str">
        <f>"1-146-2"</f>
        <v>1-146-2</v>
      </c>
      <c r="F2739" t="s">
        <v>15</v>
      </c>
      <c r="G2739" t="s">
        <v>20</v>
      </c>
      <c r="H2739" t="s">
        <v>21</v>
      </c>
      <c r="I2739">
        <v>1</v>
      </c>
      <c r="J2739">
        <v>0</v>
      </c>
      <c r="K2739">
        <v>0</v>
      </c>
    </row>
    <row r="2740" spans="1:11" x14ac:dyDescent="0.25">
      <c r="A2740" t="str">
        <f>"3464"</f>
        <v>3464</v>
      </c>
      <c r="B2740" t="str">
        <f t="shared" si="173"/>
        <v>1</v>
      </c>
      <c r="C2740" t="str">
        <f t="shared" si="175"/>
        <v>146</v>
      </c>
      <c r="D2740" t="str">
        <f>"16"</f>
        <v>16</v>
      </c>
      <c r="E2740" t="str">
        <f>"1-146-16"</f>
        <v>1-146-16</v>
      </c>
      <c r="F2740" t="s">
        <v>15</v>
      </c>
      <c r="G2740" t="s">
        <v>20</v>
      </c>
      <c r="H2740" t="s">
        <v>21</v>
      </c>
      <c r="I2740">
        <v>0</v>
      </c>
      <c r="J2740">
        <v>1</v>
      </c>
      <c r="K2740">
        <v>0</v>
      </c>
    </row>
    <row r="2741" spans="1:11" x14ac:dyDescent="0.25">
      <c r="A2741" t="str">
        <f>"3465"</f>
        <v>3465</v>
      </c>
      <c r="B2741" t="str">
        <f t="shared" si="173"/>
        <v>1</v>
      </c>
      <c r="C2741" t="str">
        <f t="shared" si="175"/>
        <v>146</v>
      </c>
      <c r="D2741" t="str">
        <f>"5"</f>
        <v>5</v>
      </c>
      <c r="E2741" t="str">
        <f>"1-146-5"</f>
        <v>1-146-5</v>
      </c>
      <c r="F2741" t="s">
        <v>15</v>
      </c>
      <c r="G2741" t="s">
        <v>20</v>
      </c>
      <c r="H2741" t="s">
        <v>21</v>
      </c>
      <c r="I2741">
        <v>0</v>
      </c>
      <c r="J2741">
        <v>0</v>
      </c>
      <c r="K2741">
        <v>1</v>
      </c>
    </row>
    <row r="2742" spans="1:11" x14ac:dyDescent="0.25">
      <c r="A2742" t="str">
        <f>"3466"</f>
        <v>3466</v>
      </c>
      <c r="B2742" t="str">
        <f t="shared" si="173"/>
        <v>1</v>
      </c>
      <c r="C2742" t="str">
        <f t="shared" si="175"/>
        <v>146</v>
      </c>
      <c r="D2742" t="str">
        <f>"17"</f>
        <v>17</v>
      </c>
      <c r="E2742" t="str">
        <f>"1-146-17"</f>
        <v>1-146-17</v>
      </c>
      <c r="F2742" t="s">
        <v>15</v>
      </c>
      <c r="G2742" t="s">
        <v>20</v>
      </c>
      <c r="H2742" t="s">
        <v>21</v>
      </c>
      <c r="I2742">
        <v>1</v>
      </c>
      <c r="J2742">
        <v>0</v>
      </c>
      <c r="K2742">
        <v>0</v>
      </c>
    </row>
    <row r="2743" spans="1:11" x14ac:dyDescent="0.25">
      <c r="A2743" t="str">
        <f>"3467"</f>
        <v>3467</v>
      </c>
      <c r="B2743" t="str">
        <f t="shared" si="173"/>
        <v>1</v>
      </c>
      <c r="C2743" t="str">
        <f t="shared" si="175"/>
        <v>146</v>
      </c>
      <c r="D2743" t="str">
        <f>"1"</f>
        <v>1</v>
      </c>
      <c r="E2743" t="str">
        <f>"1-146-1"</f>
        <v>1-146-1</v>
      </c>
      <c r="F2743" t="s">
        <v>15</v>
      </c>
      <c r="G2743" t="s">
        <v>20</v>
      </c>
      <c r="H2743" t="s">
        <v>21</v>
      </c>
      <c r="I2743">
        <v>1</v>
      </c>
      <c r="J2743">
        <v>0</v>
      </c>
      <c r="K2743">
        <v>0</v>
      </c>
    </row>
    <row r="2744" spans="1:11" x14ac:dyDescent="0.25">
      <c r="A2744" t="str">
        <f>"3468"</f>
        <v>3468</v>
      </c>
      <c r="B2744" t="str">
        <f t="shared" si="173"/>
        <v>1</v>
      </c>
      <c r="C2744" t="str">
        <f t="shared" si="175"/>
        <v>146</v>
      </c>
      <c r="D2744" t="str">
        <f>"18"</f>
        <v>18</v>
      </c>
      <c r="E2744" t="str">
        <f>"1-146-18"</f>
        <v>1-146-18</v>
      </c>
      <c r="F2744" t="s">
        <v>15</v>
      </c>
      <c r="G2744" t="s">
        <v>20</v>
      </c>
      <c r="H2744" t="s">
        <v>21</v>
      </c>
      <c r="I2744">
        <v>1</v>
      </c>
      <c r="J2744">
        <v>0</v>
      </c>
      <c r="K2744">
        <v>0</v>
      </c>
    </row>
    <row r="2745" spans="1:11" x14ac:dyDescent="0.25">
      <c r="A2745" t="str">
        <f>"3469"</f>
        <v>3469</v>
      </c>
      <c r="B2745" t="str">
        <f t="shared" si="173"/>
        <v>1</v>
      </c>
      <c r="C2745" t="str">
        <f t="shared" si="175"/>
        <v>146</v>
      </c>
      <c r="D2745" t="str">
        <f>"13"</f>
        <v>13</v>
      </c>
      <c r="E2745" t="str">
        <f>"1-146-13"</f>
        <v>1-146-13</v>
      </c>
      <c r="F2745" t="s">
        <v>15</v>
      </c>
      <c r="G2745" t="s">
        <v>20</v>
      </c>
      <c r="H2745" t="s">
        <v>21</v>
      </c>
      <c r="I2745">
        <v>0</v>
      </c>
      <c r="J2745">
        <v>1</v>
      </c>
      <c r="K2745">
        <v>0</v>
      </c>
    </row>
    <row r="2746" spans="1:11" x14ac:dyDescent="0.25">
      <c r="A2746" t="str">
        <f>"3470"</f>
        <v>3470</v>
      </c>
      <c r="B2746" t="str">
        <f t="shared" si="173"/>
        <v>1</v>
      </c>
      <c r="C2746" t="str">
        <f t="shared" si="175"/>
        <v>146</v>
      </c>
      <c r="D2746" t="str">
        <f>"3"</f>
        <v>3</v>
      </c>
      <c r="E2746" t="str">
        <f>"1-146-3"</f>
        <v>1-146-3</v>
      </c>
      <c r="F2746" t="s">
        <v>15</v>
      </c>
      <c r="G2746" t="s">
        <v>20</v>
      </c>
      <c r="H2746" t="s">
        <v>21</v>
      </c>
      <c r="I2746">
        <v>1</v>
      </c>
      <c r="J2746">
        <v>0</v>
      </c>
      <c r="K2746">
        <v>0</v>
      </c>
    </row>
    <row r="2747" spans="1:11" x14ac:dyDescent="0.25">
      <c r="A2747" t="str">
        <f>"3471"</f>
        <v>3471</v>
      </c>
      <c r="B2747" t="str">
        <f t="shared" si="173"/>
        <v>1</v>
      </c>
      <c r="C2747" t="str">
        <f t="shared" si="175"/>
        <v>146</v>
      </c>
      <c r="D2747" t="str">
        <f>"8"</f>
        <v>8</v>
      </c>
      <c r="E2747" t="str">
        <f>"1-146-8"</f>
        <v>1-146-8</v>
      </c>
      <c r="F2747" t="s">
        <v>15</v>
      </c>
      <c r="G2747" t="s">
        <v>20</v>
      </c>
      <c r="H2747" t="s">
        <v>21</v>
      </c>
      <c r="I2747">
        <v>0</v>
      </c>
      <c r="J2747">
        <v>1</v>
      </c>
      <c r="K2747">
        <v>0</v>
      </c>
    </row>
    <row r="2748" spans="1:11" x14ac:dyDescent="0.25">
      <c r="A2748" t="str">
        <f>"3472"</f>
        <v>3472</v>
      </c>
      <c r="B2748" t="str">
        <f t="shared" si="173"/>
        <v>1</v>
      </c>
      <c r="C2748" t="str">
        <f t="shared" si="175"/>
        <v>146</v>
      </c>
      <c r="D2748" t="str">
        <f>"11"</f>
        <v>11</v>
      </c>
      <c r="E2748" t="str">
        <f>"1-146-11"</f>
        <v>1-146-11</v>
      </c>
      <c r="F2748" t="s">
        <v>15</v>
      </c>
      <c r="G2748" t="s">
        <v>20</v>
      </c>
      <c r="H2748" t="s">
        <v>21</v>
      </c>
      <c r="I2748">
        <v>1</v>
      </c>
      <c r="J2748">
        <v>0</v>
      </c>
      <c r="K2748">
        <v>0</v>
      </c>
    </row>
    <row r="2749" spans="1:11" x14ac:dyDescent="0.25">
      <c r="A2749" t="str">
        <f>"3473"</f>
        <v>3473</v>
      </c>
      <c r="B2749" t="str">
        <f t="shared" si="173"/>
        <v>1</v>
      </c>
      <c r="C2749" t="str">
        <f t="shared" si="175"/>
        <v>146</v>
      </c>
      <c r="D2749" t="str">
        <f>"9"</f>
        <v>9</v>
      </c>
      <c r="E2749" t="str">
        <f>"1-146-9"</f>
        <v>1-146-9</v>
      </c>
      <c r="F2749" t="s">
        <v>15</v>
      </c>
      <c r="G2749" t="s">
        <v>20</v>
      </c>
      <c r="H2749" t="s">
        <v>21</v>
      </c>
      <c r="I2749">
        <v>0</v>
      </c>
      <c r="J2749">
        <v>1</v>
      </c>
      <c r="K2749">
        <v>0</v>
      </c>
    </row>
    <row r="2750" spans="1:11" x14ac:dyDescent="0.25">
      <c r="A2750" t="str">
        <f>"3474"</f>
        <v>3474</v>
      </c>
      <c r="B2750" t="str">
        <f t="shared" si="173"/>
        <v>1</v>
      </c>
      <c r="C2750" t="str">
        <f t="shared" si="175"/>
        <v>146</v>
      </c>
      <c r="D2750" t="str">
        <f>"4"</f>
        <v>4</v>
      </c>
      <c r="E2750" t="str">
        <f>"1-146-4"</f>
        <v>1-146-4</v>
      </c>
      <c r="F2750" t="s">
        <v>15</v>
      </c>
      <c r="G2750" t="s">
        <v>20</v>
      </c>
      <c r="H2750" t="s">
        <v>21</v>
      </c>
      <c r="I2750">
        <v>1</v>
      </c>
      <c r="J2750">
        <v>0</v>
      </c>
      <c r="K2750">
        <v>0</v>
      </c>
    </row>
    <row r="2751" spans="1:11" x14ac:dyDescent="0.25">
      <c r="A2751" t="str">
        <f>"3475"</f>
        <v>3475</v>
      </c>
      <c r="B2751" t="str">
        <f t="shared" si="173"/>
        <v>1</v>
      </c>
      <c r="C2751" t="str">
        <f t="shared" si="175"/>
        <v>146</v>
      </c>
      <c r="D2751" t="str">
        <f>"12"</f>
        <v>12</v>
      </c>
      <c r="E2751" t="str">
        <f>"1-146-12"</f>
        <v>1-146-12</v>
      </c>
      <c r="F2751" t="s">
        <v>15</v>
      </c>
      <c r="G2751" t="s">
        <v>20</v>
      </c>
      <c r="H2751" t="s">
        <v>21</v>
      </c>
      <c r="I2751">
        <v>0</v>
      </c>
      <c r="J2751">
        <v>1</v>
      </c>
      <c r="K2751">
        <v>0</v>
      </c>
    </row>
    <row r="2752" spans="1:11" x14ac:dyDescent="0.25">
      <c r="A2752" t="str">
        <f>"3476"</f>
        <v>3476</v>
      </c>
      <c r="B2752" t="str">
        <f t="shared" si="173"/>
        <v>1</v>
      </c>
      <c r="C2752" t="str">
        <f t="shared" si="175"/>
        <v>146</v>
      </c>
      <c r="D2752" t="str">
        <f>"7"</f>
        <v>7</v>
      </c>
      <c r="E2752" t="str">
        <f>"1-146-7"</f>
        <v>1-146-7</v>
      </c>
      <c r="F2752" t="s">
        <v>15</v>
      </c>
      <c r="G2752" t="s">
        <v>20</v>
      </c>
      <c r="H2752" t="s">
        <v>21</v>
      </c>
      <c r="I2752">
        <v>0</v>
      </c>
      <c r="J2752">
        <v>0</v>
      </c>
      <c r="K2752">
        <v>1</v>
      </c>
    </row>
    <row r="2753" spans="1:11" x14ac:dyDescent="0.25">
      <c r="A2753" t="str">
        <f>"3477"</f>
        <v>3477</v>
      </c>
      <c r="B2753" t="str">
        <f t="shared" si="173"/>
        <v>1</v>
      </c>
      <c r="C2753" t="str">
        <f t="shared" si="175"/>
        <v>146</v>
      </c>
      <c r="D2753" t="str">
        <f>"6"</f>
        <v>6</v>
      </c>
      <c r="E2753" t="str">
        <f>"1-146-6"</f>
        <v>1-146-6</v>
      </c>
      <c r="F2753" t="s">
        <v>15</v>
      </c>
      <c r="G2753" t="s">
        <v>20</v>
      </c>
      <c r="H2753" t="s">
        <v>21</v>
      </c>
      <c r="I2753">
        <v>0</v>
      </c>
      <c r="J2753">
        <v>0</v>
      </c>
      <c r="K2753">
        <v>0</v>
      </c>
    </row>
    <row r="2754" spans="1:11" x14ac:dyDescent="0.25">
      <c r="A2754" t="str">
        <f>"3478"</f>
        <v>3478</v>
      </c>
      <c r="B2754" t="str">
        <f t="shared" si="173"/>
        <v>1</v>
      </c>
      <c r="C2754" t="str">
        <f t="shared" si="175"/>
        <v>146</v>
      </c>
      <c r="D2754" t="str">
        <f>"14"</f>
        <v>14</v>
      </c>
      <c r="E2754" t="str">
        <f>"1-146-14"</f>
        <v>1-146-14</v>
      </c>
      <c r="F2754" t="s">
        <v>15</v>
      </c>
      <c r="G2754" t="s">
        <v>20</v>
      </c>
      <c r="H2754" t="s">
        <v>21</v>
      </c>
      <c r="I2754">
        <v>0</v>
      </c>
      <c r="J2754">
        <v>0</v>
      </c>
      <c r="K2754">
        <v>0</v>
      </c>
    </row>
    <row r="2755" spans="1:11" x14ac:dyDescent="0.25">
      <c r="A2755" t="str">
        <f>"3479"</f>
        <v>3479</v>
      </c>
      <c r="B2755" t="str">
        <f t="shared" si="173"/>
        <v>1</v>
      </c>
      <c r="C2755" t="str">
        <f t="shared" si="175"/>
        <v>146</v>
      </c>
      <c r="D2755" t="str">
        <f>"10"</f>
        <v>10</v>
      </c>
      <c r="E2755" t="str">
        <f>"1-146-10"</f>
        <v>1-146-10</v>
      </c>
      <c r="F2755" t="s">
        <v>15</v>
      </c>
      <c r="G2755" t="s">
        <v>20</v>
      </c>
      <c r="H2755" t="s">
        <v>21</v>
      </c>
      <c r="I2755">
        <v>0</v>
      </c>
      <c r="J2755">
        <v>0</v>
      </c>
      <c r="K2755">
        <v>0</v>
      </c>
    </row>
    <row r="2756" spans="1:11" x14ac:dyDescent="0.25">
      <c r="A2756" t="str">
        <f>"3481"</f>
        <v>3481</v>
      </c>
      <c r="B2756" t="str">
        <f t="shared" si="173"/>
        <v>1</v>
      </c>
      <c r="C2756" t="str">
        <f t="shared" ref="C2756:C2773" si="176">"147"</f>
        <v>147</v>
      </c>
      <c r="D2756" t="str">
        <f>"15"</f>
        <v>15</v>
      </c>
      <c r="E2756" t="str">
        <f>"1-147-15"</f>
        <v>1-147-15</v>
      </c>
      <c r="F2756" t="s">
        <v>15</v>
      </c>
      <c r="G2756" t="s">
        <v>16</v>
      </c>
      <c r="H2756" t="s">
        <v>17</v>
      </c>
      <c r="I2756">
        <v>0</v>
      </c>
      <c r="J2756">
        <v>1</v>
      </c>
      <c r="K2756">
        <v>0</v>
      </c>
    </row>
    <row r="2757" spans="1:11" x14ac:dyDescent="0.25">
      <c r="A2757" t="str">
        <f>"3482"</f>
        <v>3482</v>
      </c>
      <c r="B2757" t="str">
        <f t="shared" ref="B2757:B2808" si="177">"1"</f>
        <v>1</v>
      </c>
      <c r="C2757" t="str">
        <f t="shared" si="176"/>
        <v>147</v>
      </c>
      <c r="D2757" t="str">
        <f>"1"</f>
        <v>1</v>
      </c>
      <c r="E2757" t="str">
        <f>"1-147-1"</f>
        <v>1-147-1</v>
      </c>
      <c r="F2757" t="s">
        <v>15</v>
      </c>
      <c r="G2757" t="s">
        <v>18</v>
      </c>
      <c r="H2757" t="s">
        <v>19</v>
      </c>
      <c r="I2757">
        <v>0</v>
      </c>
      <c r="J2757">
        <v>1</v>
      </c>
      <c r="K2757">
        <v>0</v>
      </c>
    </row>
    <row r="2758" spans="1:11" x14ac:dyDescent="0.25">
      <c r="A2758" t="str">
        <f>"3483"</f>
        <v>3483</v>
      </c>
      <c r="B2758" t="str">
        <f t="shared" si="177"/>
        <v>1</v>
      </c>
      <c r="C2758" t="str">
        <f t="shared" si="176"/>
        <v>147</v>
      </c>
      <c r="D2758" t="str">
        <f>"23"</f>
        <v>23</v>
      </c>
      <c r="E2758" t="str">
        <f>"1-147-23"</f>
        <v>1-147-23</v>
      </c>
      <c r="F2758" t="s">
        <v>15</v>
      </c>
      <c r="G2758" t="s">
        <v>18</v>
      </c>
      <c r="H2758" t="s">
        <v>19</v>
      </c>
      <c r="I2758">
        <v>0</v>
      </c>
      <c r="J2758">
        <v>1</v>
      </c>
      <c r="K2758">
        <v>0</v>
      </c>
    </row>
    <row r="2759" spans="1:11" x14ac:dyDescent="0.25">
      <c r="A2759" t="str">
        <f>"3484"</f>
        <v>3484</v>
      </c>
      <c r="B2759" t="str">
        <f t="shared" si="177"/>
        <v>1</v>
      </c>
      <c r="C2759" t="str">
        <f t="shared" si="176"/>
        <v>147</v>
      </c>
      <c r="D2759" t="str">
        <f>"16"</f>
        <v>16</v>
      </c>
      <c r="E2759" t="str">
        <f>"1-147-16"</f>
        <v>1-147-16</v>
      </c>
      <c r="F2759" t="s">
        <v>15</v>
      </c>
      <c r="G2759" t="s">
        <v>16</v>
      </c>
      <c r="H2759" t="s">
        <v>17</v>
      </c>
      <c r="I2759">
        <v>0</v>
      </c>
      <c r="J2759">
        <v>1</v>
      </c>
      <c r="K2759">
        <v>0</v>
      </c>
    </row>
    <row r="2760" spans="1:11" x14ac:dyDescent="0.25">
      <c r="A2760" t="str">
        <f>"3485"</f>
        <v>3485</v>
      </c>
      <c r="B2760" t="str">
        <f t="shared" si="177"/>
        <v>1</v>
      </c>
      <c r="C2760" t="str">
        <f t="shared" si="176"/>
        <v>147</v>
      </c>
      <c r="D2760" t="str">
        <f>"9"</f>
        <v>9</v>
      </c>
      <c r="E2760" t="str">
        <f>"1-147-9"</f>
        <v>1-147-9</v>
      </c>
      <c r="F2760" t="s">
        <v>15</v>
      </c>
      <c r="G2760" t="s">
        <v>16</v>
      </c>
      <c r="H2760" t="s">
        <v>17</v>
      </c>
      <c r="I2760">
        <v>1</v>
      </c>
      <c r="J2760">
        <v>0</v>
      </c>
      <c r="K2760">
        <v>0</v>
      </c>
    </row>
    <row r="2761" spans="1:11" x14ac:dyDescent="0.25">
      <c r="A2761" t="str">
        <f>"3487"</f>
        <v>3487</v>
      </c>
      <c r="B2761" t="str">
        <f t="shared" si="177"/>
        <v>1</v>
      </c>
      <c r="C2761" t="str">
        <f t="shared" si="176"/>
        <v>147</v>
      </c>
      <c r="D2761" t="str">
        <f>"12"</f>
        <v>12</v>
      </c>
      <c r="E2761" t="str">
        <f>"1-147-12"</f>
        <v>1-147-12</v>
      </c>
      <c r="F2761" t="s">
        <v>15</v>
      </c>
      <c r="G2761" t="s">
        <v>16</v>
      </c>
      <c r="H2761" t="s">
        <v>17</v>
      </c>
      <c r="I2761">
        <v>0</v>
      </c>
      <c r="J2761">
        <v>1</v>
      </c>
      <c r="K2761">
        <v>0</v>
      </c>
    </row>
    <row r="2762" spans="1:11" x14ac:dyDescent="0.25">
      <c r="A2762" t="str">
        <f>"3488"</f>
        <v>3488</v>
      </c>
      <c r="B2762" t="str">
        <f t="shared" si="177"/>
        <v>1</v>
      </c>
      <c r="C2762" t="str">
        <f t="shared" si="176"/>
        <v>147</v>
      </c>
      <c r="D2762" t="str">
        <f>"18"</f>
        <v>18</v>
      </c>
      <c r="E2762" t="str">
        <f>"1-147-18"</f>
        <v>1-147-18</v>
      </c>
      <c r="F2762" t="s">
        <v>15</v>
      </c>
      <c r="G2762" t="s">
        <v>16</v>
      </c>
      <c r="H2762" t="s">
        <v>17</v>
      </c>
      <c r="I2762">
        <v>1</v>
      </c>
      <c r="J2762">
        <v>0</v>
      </c>
      <c r="K2762">
        <v>0</v>
      </c>
    </row>
    <row r="2763" spans="1:11" x14ac:dyDescent="0.25">
      <c r="A2763" t="str">
        <f>"3489"</f>
        <v>3489</v>
      </c>
      <c r="B2763" t="str">
        <f t="shared" si="177"/>
        <v>1</v>
      </c>
      <c r="C2763" t="str">
        <f t="shared" si="176"/>
        <v>147</v>
      </c>
      <c r="D2763" t="str">
        <f>"2"</f>
        <v>2</v>
      </c>
      <c r="E2763" t="str">
        <f>"1-147-2"</f>
        <v>1-147-2</v>
      </c>
      <c r="F2763" t="s">
        <v>15</v>
      </c>
      <c r="G2763" t="s">
        <v>18</v>
      </c>
      <c r="H2763" t="s">
        <v>19</v>
      </c>
      <c r="I2763">
        <v>0</v>
      </c>
      <c r="J2763">
        <v>1</v>
      </c>
      <c r="K2763">
        <v>0</v>
      </c>
    </row>
    <row r="2764" spans="1:11" x14ac:dyDescent="0.25">
      <c r="A2764" t="str">
        <f>"3495"</f>
        <v>3495</v>
      </c>
      <c r="B2764" t="str">
        <f t="shared" si="177"/>
        <v>1</v>
      </c>
      <c r="C2764" t="str">
        <f t="shared" si="176"/>
        <v>147</v>
      </c>
      <c r="D2764" t="str">
        <f>"13"</f>
        <v>13</v>
      </c>
      <c r="E2764" t="str">
        <f>"1-147-13"</f>
        <v>1-147-13</v>
      </c>
      <c r="F2764" t="s">
        <v>15</v>
      </c>
      <c r="G2764" t="s">
        <v>16</v>
      </c>
      <c r="H2764" t="s">
        <v>17</v>
      </c>
      <c r="I2764">
        <v>0</v>
      </c>
      <c r="J2764">
        <v>0</v>
      </c>
      <c r="K2764">
        <v>1</v>
      </c>
    </row>
    <row r="2765" spans="1:11" x14ac:dyDescent="0.25">
      <c r="A2765" t="str">
        <f>"3496"</f>
        <v>3496</v>
      </c>
      <c r="B2765" t="str">
        <f t="shared" si="177"/>
        <v>1</v>
      </c>
      <c r="C2765" t="str">
        <f t="shared" si="176"/>
        <v>147</v>
      </c>
      <c r="D2765" t="str">
        <f>"14"</f>
        <v>14</v>
      </c>
      <c r="E2765" t="str">
        <f>"1-147-14"</f>
        <v>1-147-14</v>
      </c>
      <c r="F2765" t="s">
        <v>15</v>
      </c>
      <c r="G2765" t="s">
        <v>16</v>
      </c>
      <c r="H2765" t="s">
        <v>17</v>
      </c>
      <c r="I2765">
        <v>0</v>
      </c>
      <c r="J2765">
        <v>0</v>
      </c>
      <c r="K2765">
        <v>1</v>
      </c>
    </row>
    <row r="2766" spans="1:11" x14ac:dyDescent="0.25">
      <c r="A2766" t="str">
        <f>"3497"</f>
        <v>3497</v>
      </c>
      <c r="B2766" t="str">
        <f t="shared" si="177"/>
        <v>1</v>
      </c>
      <c r="C2766" t="str">
        <f t="shared" si="176"/>
        <v>147</v>
      </c>
      <c r="D2766" t="str">
        <f>"6"</f>
        <v>6</v>
      </c>
      <c r="E2766" t="str">
        <f>"1-147-6"</f>
        <v>1-147-6</v>
      </c>
      <c r="F2766" t="s">
        <v>15</v>
      </c>
      <c r="G2766" t="s">
        <v>16</v>
      </c>
      <c r="H2766" t="s">
        <v>17</v>
      </c>
      <c r="I2766">
        <v>0</v>
      </c>
      <c r="J2766">
        <v>0</v>
      </c>
      <c r="K2766">
        <v>1</v>
      </c>
    </row>
    <row r="2767" spans="1:11" x14ac:dyDescent="0.25">
      <c r="A2767" t="str">
        <f>"3498"</f>
        <v>3498</v>
      </c>
      <c r="B2767" t="str">
        <f t="shared" si="177"/>
        <v>1</v>
      </c>
      <c r="C2767" t="str">
        <f t="shared" si="176"/>
        <v>147</v>
      </c>
      <c r="D2767" t="str">
        <f>"7"</f>
        <v>7</v>
      </c>
      <c r="E2767" t="str">
        <f>"1-147-7"</f>
        <v>1-147-7</v>
      </c>
      <c r="F2767" t="s">
        <v>15</v>
      </c>
      <c r="G2767" t="s">
        <v>18</v>
      </c>
      <c r="H2767" t="s">
        <v>19</v>
      </c>
      <c r="I2767">
        <v>0</v>
      </c>
      <c r="J2767">
        <v>0</v>
      </c>
      <c r="K2767">
        <v>1</v>
      </c>
    </row>
    <row r="2768" spans="1:11" x14ac:dyDescent="0.25">
      <c r="A2768" t="str">
        <f>"3499"</f>
        <v>3499</v>
      </c>
      <c r="B2768" t="str">
        <f t="shared" si="177"/>
        <v>1</v>
      </c>
      <c r="C2768" t="str">
        <f t="shared" si="176"/>
        <v>147</v>
      </c>
      <c r="D2768" t="str">
        <f>"8"</f>
        <v>8</v>
      </c>
      <c r="E2768" t="str">
        <f>"1-147-8"</f>
        <v>1-147-8</v>
      </c>
      <c r="F2768" t="s">
        <v>15</v>
      </c>
      <c r="G2768" t="s">
        <v>16</v>
      </c>
      <c r="H2768" t="s">
        <v>17</v>
      </c>
      <c r="I2768">
        <v>0</v>
      </c>
      <c r="J2768">
        <v>0</v>
      </c>
      <c r="K2768">
        <v>1</v>
      </c>
    </row>
    <row r="2769" spans="1:11" x14ac:dyDescent="0.25">
      <c r="A2769" t="str">
        <f>"3500"</f>
        <v>3500</v>
      </c>
      <c r="B2769" t="str">
        <f t="shared" si="177"/>
        <v>1</v>
      </c>
      <c r="C2769" t="str">
        <f t="shared" si="176"/>
        <v>147</v>
      </c>
      <c r="D2769" t="str">
        <f>"11"</f>
        <v>11</v>
      </c>
      <c r="E2769" t="str">
        <f>"1-147-11"</f>
        <v>1-147-11</v>
      </c>
      <c r="F2769" t="s">
        <v>15</v>
      </c>
      <c r="G2769" t="s">
        <v>16</v>
      </c>
      <c r="H2769" t="s">
        <v>17</v>
      </c>
      <c r="I2769">
        <v>0</v>
      </c>
      <c r="J2769">
        <v>0</v>
      </c>
      <c r="K2769">
        <v>1</v>
      </c>
    </row>
    <row r="2770" spans="1:11" x14ac:dyDescent="0.25">
      <c r="A2770" t="str">
        <f>"3501"</f>
        <v>3501</v>
      </c>
      <c r="B2770" t="str">
        <f t="shared" si="177"/>
        <v>1</v>
      </c>
      <c r="C2770" t="str">
        <f t="shared" si="176"/>
        <v>147</v>
      </c>
      <c r="D2770" t="str">
        <f>"3"</f>
        <v>3</v>
      </c>
      <c r="E2770" t="str">
        <f>"1-147-3"</f>
        <v>1-147-3</v>
      </c>
      <c r="F2770" t="s">
        <v>15</v>
      </c>
      <c r="G2770" t="s">
        <v>16</v>
      </c>
      <c r="H2770" t="s">
        <v>17</v>
      </c>
      <c r="I2770">
        <v>0</v>
      </c>
      <c r="J2770">
        <v>0</v>
      </c>
      <c r="K2770">
        <v>1</v>
      </c>
    </row>
    <row r="2771" spans="1:11" x14ac:dyDescent="0.25">
      <c r="A2771" t="str">
        <f>"3502"</f>
        <v>3502</v>
      </c>
      <c r="B2771" t="str">
        <f t="shared" si="177"/>
        <v>1</v>
      </c>
      <c r="C2771" t="str">
        <f t="shared" si="176"/>
        <v>147</v>
      </c>
      <c r="D2771" t="str">
        <f>"5"</f>
        <v>5</v>
      </c>
      <c r="E2771" t="str">
        <f>"1-147-5"</f>
        <v>1-147-5</v>
      </c>
      <c r="F2771" t="s">
        <v>15</v>
      </c>
      <c r="G2771" t="s">
        <v>16</v>
      </c>
      <c r="H2771" t="s">
        <v>17</v>
      </c>
      <c r="I2771">
        <v>0</v>
      </c>
      <c r="J2771">
        <v>0</v>
      </c>
      <c r="K2771">
        <v>0</v>
      </c>
    </row>
    <row r="2772" spans="1:11" x14ac:dyDescent="0.25">
      <c r="A2772" t="str">
        <f>"3503"</f>
        <v>3503</v>
      </c>
      <c r="B2772" t="str">
        <f t="shared" si="177"/>
        <v>1</v>
      </c>
      <c r="C2772" t="str">
        <f t="shared" si="176"/>
        <v>147</v>
      </c>
      <c r="D2772" t="str">
        <f>"21"</f>
        <v>21</v>
      </c>
      <c r="E2772" t="str">
        <f>"1-147-21"</f>
        <v>1-147-21</v>
      </c>
      <c r="F2772" t="s">
        <v>15</v>
      </c>
      <c r="G2772" t="s">
        <v>18</v>
      </c>
      <c r="H2772" t="s">
        <v>19</v>
      </c>
      <c r="I2772">
        <v>0</v>
      </c>
      <c r="J2772">
        <v>0</v>
      </c>
      <c r="K2772">
        <v>0</v>
      </c>
    </row>
    <row r="2773" spans="1:11" x14ac:dyDescent="0.25">
      <c r="A2773" t="str">
        <f>"3504"</f>
        <v>3504</v>
      </c>
      <c r="B2773" t="str">
        <f t="shared" si="177"/>
        <v>1</v>
      </c>
      <c r="C2773" t="str">
        <f t="shared" si="176"/>
        <v>147</v>
      </c>
      <c r="D2773" t="str">
        <f>"24"</f>
        <v>24</v>
      </c>
      <c r="E2773" t="str">
        <f>"1-147-24"</f>
        <v>1-147-24</v>
      </c>
      <c r="F2773" t="s">
        <v>15</v>
      </c>
      <c r="G2773" t="s">
        <v>18</v>
      </c>
      <c r="H2773" t="s">
        <v>19</v>
      </c>
      <c r="I2773">
        <v>0</v>
      </c>
      <c r="J2773">
        <v>0</v>
      </c>
      <c r="K2773">
        <v>0</v>
      </c>
    </row>
    <row r="2774" spans="1:11" x14ac:dyDescent="0.25">
      <c r="A2774" t="str">
        <f>"3505"</f>
        <v>3505</v>
      </c>
      <c r="B2774" t="str">
        <f t="shared" si="177"/>
        <v>1</v>
      </c>
      <c r="C2774" t="str">
        <f t="shared" ref="C2774:C2796" si="178">"148"</f>
        <v>148</v>
      </c>
      <c r="D2774" t="str">
        <f>"24"</f>
        <v>24</v>
      </c>
      <c r="E2774" t="str">
        <f>"1-148-24"</f>
        <v>1-148-24</v>
      </c>
      <c r="F2774" t="s">
        <v>15</v>
      </c>
      <c r="G2774" t="s">
        <v>18</v>
      </c>
      <c r="H2774" t="s">
        <v>19</v>
      </c>
      <c r="I2774">
        <v>0</v>
      </c>
      <c r="J2774">
        <v>0</v>
      </c>
      <c r="K2774">
        <v>1</v>
      </c>
    </row>
    <row r="2775" spans="1:11" x14ac:dyDescent="0.25">
      <c r="A2775" t="str">
        <f>"3506"</f>
        <v>3506</v>
      </c>
      <c r="B2775" t="str">
        <f t="shared" si="177"/>
        <v>1</v>
      </c>
      <c r="C2775" t="str">
        <f t="shared" si="178"/>
        <v>148</v>
      </c>
      <c r="D2775" t="str">
        <f>"15"</f>
        <v>15</v>
      </c>
      <c r="E2775" t="str">
        <f>"1-148-15"</f>
        <v>1-148-15</v>
      </c>
      <c r="F2775" t="s">
        <v>15</v>
      </c>
      <c r="G2775" t="s">
        <v>16</v>
      </c>
      <c r="H2775" t="s">
        <v>17</v>
      </c>
      <c r="I2775">
        <v>0</v>
      </c>
      <c r="J2775">
        <v>1</v>
      </c>
      <c r="K2775">
        <v>0</v>
      </c>
    </row>
    <row r="2776" spans="1:11" x14ac:dyDescent="0.25">
      <c r="A2776" t="str">
        <f>"3507"</f>
        <v>3507</v>
      </c>
      <c r="B2776" t="str">
        <f t="shared" si="177"/>
        <v>1</v>
      </c>
      <c r="C2776" t="str">
        <f t="shared" si="178"/>
        <v>148</v>
      </c>
      <c r="D2776" t="str">
        <f>"1"</f>
        <v>1</v>
      </c>
      <c r="E2776" t="str">
        <f>"1-148-1"</f>
        <v>1-148-1</v>
      </c>
      <c r="F2776" t="s">
        <v>15</v>
      </c>
      <c r="G2776" t="s">
        <v>16</v>
      </c>
      <c r="H2776" t="s">
        <v>17</v>
      </c>
      <c r="I2776">
        <v>1</v>
      </c>
      <c r="J2776">
        <v>0</v>
      </c>
      <c r="K2776">
        <v>0</v>
      </c>
    </row>
    <row r="2777" spans="1:11" x14ac:dyDescent="0.25">
      <c r="A2777" t="str">
        <f>"3509"</f>
        <v>3509</v>
      </c>
      <c r="B2777" t="str">
        <f t="shared" si="177"/>
        <v>1</v>
      </c>
      <c r="C2777" t="str">
        <f t="shared" si="178"/>
        <v>148</v>
      </c>
      <c r="D2777" t="str">
        <f>"7"</f>
        <v>7</v>
      </c>
      <c r="E2777" t="str">
        <f>"1-148-7"</f>
        <v>1-148-7</v>
      </c>
      <c r="F2777" t="s">
        <v>15</v>
      </c>
      <c r="G2777" t="s">
        <v>16</v>
      </c>
      <c r="H2777" t="s">
        <v>17</v>
      </c>
      <c r="I2777">
        <v>0</v>
      </c>
      <c r="J2777">
        <v>1</v>
      </c>
      <c r="K2777">
        <v>0</v>
      </c>
    </row>
    <row r="2778" spans="1:11" x14ac:dyDescent="0.25">
      <c r="A2778" t="str">
        <f>"3510"</f>
        <v>3510</v>
      </c>
      <c r="B2778" t="str">
        <f t="shared" si="177"/>
        <v>1</v>
      </c>
      <c r="C2778" t="str">
        <f t="shared" si="178"/>
        <v>148</v>
      </c>
      <c r="D2778" t="str">
        <f>"17"</f>
        <v>17</v>
      </c>
      <c r="E2778" t="str">
        <f>"1-148-17"</f>
        <v>1-148-17</v>
      </c>
      <c r="F2778" t="s">
        <v>15</v>
      </c>
      <c r="G2778" t="s">
        <v>16</v>
      </c>
      <c r="H2778" t="s">
        <v>17</v>
      </c>
      <c r="I2778">
        <v>0</v>
      </c>
      <c r="J2778">
        <v>0</v>
      </c>
      <c r="K2778">
        <v>1</v>
      </c>
    </row>
    <row r="2779" spans="1:11" x14ac:dyDescent="0.25">
      <c r="A2779" t="str">
        <f>"3512"</f>
        <v>3512</v>
      </c>
      <c r="B2779" t="str">
        <f t="shared" si="177"/>
        <v>1</v>
      </c>
      <c r="C2779" t="str">
        <f t="shared" si="178"/>
        <v>148</v>
      </c>
      <c r="D2779" t="str">
        <f>"18"</f>
        <v>18</v>
      </c>
      <c r="E2779" t="str">
        <f>"1-148-18"</f>
        <v>1-148-18</v>
      </c>
      <c r="F2779" t="s">
        <v>15</v>
      </c>
      <c r="G2779" t="s">
        <v>16</v>
      </c>
      <c r="H2779" t="s">
        <v>17</v>
      </c>
      <c r="I2779">
        <v>1</v>
      </c>
      <c r="J2779">
        <v>0</v>
      </c>
      <c r="K2779">
        <v>0</v>
      </c>
    </row>
    <row r="2780" spans="1:11" x14ac:dyDescent="0.25">
      <c r="A2780" t="str">
        <f>"3513"</f>
        <v>3513</v>
      </c>
      <c r="B2780" t="str">
        <f t="shared" si="177"/>
        <v>1</v>
      </c>
      <c r="C2780" t="str">
        <f t="shared" si="178"/>
        <v>148</v>
      </c>
      <c r="D2780" t="str">
        <f>"19"</f>
        <v>19</v>
      </c>
      <c r="E2780" t="str">
        <f>"1-148-19"</f>
        <v>1-148-19</v>
      </c>
      <c r="F2780" t="s">
        <v>15</v>
      </c>
      <c r="G2780" t="s">
        <v>20</v>
      </c>
      <c r="H2780" t="s">
        <v>21</v>
      </c>
      <c r="I2780">
        <v>0</v>
      </c>
      <c r="J2780">
        <v>0</v>
      </c>
      <c r="K2780">
        <v>1</v>
      </c>
    </row>
    <row r="2781" spans="1:11" x14ac:dyDescent="0.25">
      <c r="A2781" t="str">
        <f>"3514"</f>
        <v>3514</v>
      </c>
      <c r="B2781" t="str">
        <f t="shared" si="177"/>
        <v>1</v>
      </c>
      <c r="C2781" t="str">
        <f t="shared" si="178"/>
        <v>148</v>
      </c>
      <c r="D2781" t="str">
        <f>"12"</f>
        <v>12</v>
      </c>
      <c r="E2781" t="str">
        <f>"1-148-12"</f>
        <v>1-148-12</v>
      </c>
      <c r="F2781" t="s">
        <v>15</v>
      </c>
      <c r="G2781" t="s">
        <v>16</v>
      </c>
      <c r="H2781" t="s">
        <v>17</v>
      </c>
      <c r="I2781">
        <v>0</v>
      </c>
      <c r="J2781">
        <v>0</v>
      </c>
      <c r="K2781">
        <v>1</v>
      </c>
    </row>
    <row r="2782" spans="1:11" x14ac:dyDescent="0.25">
      <c r="A2782" t="str">
        <f>"3515"</f>
        <v>3515</v>
      </c>
      <c r="B2782" t="str">
        <f t="shared" si="177"/>
        <v>1</v>
      </c>
      <c r="C2782" t="str">
        <f t="shared" si="178"/>
        <v>148</v>
      </c>
      <c r="D2782" t="str">
        <f>"20"</f>
        <v>20</v>
      </c>
      <c r="E2782" t="str">
        <f>"1-148-20"</f>
        <v>1-148-20</v>
      </c>
      <c r="F2782" t="s">
        <v>15</v>
      </c>
      <c r="G2782" t="s">
        <v>20</v>
      </c>
      <c r="H2782" t="s">
        <v>21</v>
      </c>
      <c r="I2782">
        <v>1</v>
      </c>
      <c r="J2782">
        <v>0</v>
      </c>
      <c r="K2782">
        <v>0</v>
      </c>
    </row>
    <row r="2783" spans="1:11" x14ac:dyDescent="0.25">
      <c r="A2783" t="str">
        <f>"3516"</f>
        <v>3516</v>
      </c>
      <c r="B2783" t="str">
        <f t="shared" si="177"/>
        <v>1</v>
      </c>
      <c r="C2783" t="str">
        <f t="shared" si="178"/>
        <v>148</v>
      </c>
      <c r="D2783" t="str">
        <f>"6"</f>
        <v>6</v>
      </c>
      <c r="E2783" t="str">
        <f>"1-148-6"</f>
        <v>1-148-6</v>
      </c>
      <c r="F2783" t="s">
        <v>15</v>
      </c>
      <c r="G2783" t="s">
        <v>18</v>
      </c>
      <c r="H2783" t="s">
        <v>19</v>
      </c>
      <c r="I2783">
        <v>0</v>
      </c>
      <c r="J2783">
        <v>0</v>
      </c>
      <c r="K2783">
        <v>1</v>
      </c>
    </row>
    <row r="2784" spans="1:11" x14ac:dyDescent="0.25">
      <c r="A2784" t="str">
        <f>"3517"</f>
        <v>3517</v>
      </c>
      <c r="B2784" t="str">
        <f t="shared" si="177"/>
        <v>1</v>
      </c>
      <c r="C2784" t="str">
        <f t="shared" si="178"/>
        <v>148</v>
      </c>
      <c r="D2784" t="str">
        <f>"11"</f>
        <v>11</v>
      </c>
      <c r="E2784" t="str">
        <f>"1-148-11"</f>
        <v>1-148-11</v>
      </c>
      <c r="F2784" t="s">
        <v>15</v>
      </c>
      <c r="G2784" t="s">
        <v>20</v>
      </c>
      <c r="H2784" t="s">
        <v>21</v>
      </c>
      <c r="I2784">
        <v>1</v>
      </c>
      <c r="J2784">
        <v>0</v>
      </c>
      <c r="K2784">
        <v>0</v>
      </c>
    </row>
    <row r="2785" spans="1:11" x14ac:dyDescent="0.25">
      <c r="A2785" t="str">
        <f>"3518"</f>
        <v>3518</v>
      </c>
      <c r="B2785" t="str">
        <f t="shared" si="177"/>
        <v>1</v>
      </c>
      <c r="C2785" t="str">
        <f t="shared" si="178"/>
        <v>148</v>
      </c>
      <c r="D2785" t="str">
        <f>"22"</f>
        <v>22</v>
      </c>
      <c r="E2785" t="str">
        <f>"1-148-22"</f>
        <v>1-148-22</v>
      </c>
      <c r="F2785" t="s">
        <v>15</v>
      </c>
      <c r="G2785" t="s">
        <v>18</v>
      </c>
      <c r="H2785" t="s">
        <v>19</v>
      </c>
      <c r="I2785">
        <v>0</v>
      </c>
      <c r="J2785">
        <v>0</v>
      </c>
      <c r="K2785">
        <v>1</v>
      </c>
    </row>
    <row r="2786" spans="1:11" x14ac:dyDescent="0.25">
      <c r="A2786" t="str">
        <f>"3519"</f>
        <v>3519</v>
      </c>
      <c r="B2786" t="str">
        <f t="shared" si="177"/>
        <v>1</v>
      </c>
      <c r="C2786" t="str">
        <f t="shared" si="178"/>
        <v>148</v>
      </c>
      <c r="D2786" t="str">
        <f>"13"</f>
        <v>13</v>
      </c>
      <c r="E2786" t="str">
        <f>"1-148-13"</f>
        <v>1-148-13</v>
      </c>
      <c r="F2786" t="s">
        <v>15</v>
      </c>
      <c r="G2786" t="s">
        <v>16</v>
      </c>
      <c r="H2786" t="s">
        <v>17</v>
      </c>
      <c r="I2786">
        <v>1</v>
      </c>
      <c r="J2786">
        <v>0</v>
      </c>
      <c r="K2786">
        <v>0</v>
      </c>
    </row>
    <row r="2787" spans="1:11" x14ac:dyDescent="0.25">
      <c r="A2787" t="str">
        <f>"3520"</f>
        <v>3520</v>
      </c>
      <c r="B2787" t="str">
        <f t="shared" si="177"/>
        <v>1</v>
      </c>
      <c r="C2787" t="str">
        <f t="shared" si="178"/>
        <v>148</v>
      </c>
      <c r="D2787" t="str">
        <f>"2"</f>
        <v>2</v>
      </c>
      <c r="E2787" t="str">
        <f>"1-148-2"</f>
        <v>1-148-2</v>
      </c>
      <c r="F2787" t="s">
        <v>15</v>
      </c>
      <c r="G2787" t="s">
        <v>20</v>
      </c>
      <c r="H2787" t="s">
        <v>21</v>
      </c>
      <c r="I2787">
        <v>0</v>
      </c>
      <c r="J2787">
        <v>1</v>
      </c>
      <c r="K2787">
        <v>0</v>
      </c>
    </row>
    <row r="2788" spans="1:11" x14ac:dyDescent="0.25">
      <c r="A2788" t="str">
        <f>"3521"</f>
        <v>3521</v>
      </c>
      <c r="B2788" t="str">
        <f t="shared" si="177"/>
        <v>1</v>
      </c>
      <c r="C2788" t="str">
        <f t="shared" si="178"/>
        <v>148</v>
      </c>
      <c r="D2788" t="str">
        <f>"25"</f>
        <v>25</v>
      </c>
      <c r="E2788" t="str">
        <f>"1-148-25"</f>
        <v>1-148-25</v>
      </c>
      <c r="F2788" t="s">
        <v>15</v>
      </c>
      <c r="G2788" t="s">
        <v>18</v>
      </c>
      <c r="H2788" t="s">
        <v>19</v>
      </c>
      <c r="I2788">
        <v>0</v>
      </c>
      <c r="J2788">
        <v>0</v>
      </c>
      <c r="K2788">
        <v>1</v>
      </c>
    </row>
    <row r="2789" spans="1:11" x14ac:dyDescent="0.25">
      <c r="A2789" t="str">
        <f>"3522"</f>
        <v>3522</v>
      </c>
      <c r="B2789" t="str">
        <f t="shared" si="177"/>
        <v>1</v>
      </c>
      <c r="C2789" t="str">
        <f t="shared" si="178"/>
        <v>148</v>
      </c>
      <c r="D2789" t="str">
        <f>"5"</f>
        <v>5</v>
      </c>
      <c r="E2789" t="str">
        <f>"1-148-5"</f>
        <v>1-148-5</v>
      </c>
      <c r="F2789" t="s">
        <v>15</v>
      </c>
      <c r="G2789" t="s">
        <v>16</v>
      </c>
      <c r="H2789" t="s">
        <v>17</v>
      </c>
      <c r="I2789">
        <v>1</v>
      </c>
      <c r="J2789">
        <v>0</v>
      </c>
      <c r="K2789">
        <v>0</v>
      </c>
    </row>
    <row r="2790" spans="1:11" x14ac:dyDescent="0.25">
      <c r="A2790" t="str">
        <f>"3523"</f>
        <v>3523</v>
      </c>
      <c r="B2790" t="str">
        <f t="shared" si="177"/>
        <v>1</v>
      </c>
      <c r="C2790" t="str">
        <f t="shared" si="178"/>
        <v>148</v>
      </c>
      <c r="D2790" t="str">
        <f>"8"</f>
        <v>8</v>
      </c>
      <c r="E2790" t="str">
        <f>"1-148-8"</f>
        <v>1-148-8</v>
      </c>
      <c r="F2790" t="s">
        <v>15</v>
      </c>
      <c r="G2790" t="s">
        <v>16</v>
      </c>
      <c r="H2790" t="s">
        <v>17</v>
      </c>
      <c r="I2790">
        <v>1</v>
      </c>
      <c r="J2790">
        <v>0</v>
      </c>
      <c r="K2790">
        <v>0</v>
      </c>
    </row>
    <row r="2791" spans="1:11" x14ac:dyDescent="0.25">
      <c r="A2791" t="str">
        <f>"3524"</f>
        <v>3524</v>
      </c>
      <c r="B2791" t="str">
        <f t="shared" si="177"/>
        <v>1</v>
      </c>
      <c r="C2791" t="str">
        <f t="shared" si="178"/>
        <v>148</v>
      </c>
      <c r="D2791" t="str">
        <f>"9"</f>
        <v>9</v>
      </c>
      <c r="E2791" t="str">
        <f>"1-148-9"</f>
        <v>1-148-9</v>
      </c>
      <c r="F2791" t="s">
        <v>15</v>
      </c>
      <c r="G2791" t="s">
        <v>16</v>
      </c>
      <c r="H2791" t="s">
        <v>17</v>
      </c>
      <c r="I2791">
        <v>0</v>
      </c>
      <c r="J2791">
        <v>0</v>
      </c>
      <c r="K2791">
        <v>1</v>
      </c>
    </row>
    <row r="2792" spans="1:11" x14ac:dyDescent="0.25">
      <c r="A2792" t="str">
        <f>"3525"</f>
        <v>3525</v>
      </c>
      <c r="B2792" t="str">
        <f t="shared" si="177"/>
        <v>1</v>
      </c>
      <c r="C2792" t="str">
        <f t="shared" si="178"/>
        <v>148</v>
      </c>
      <c r="D2792" t="str">
        <f>"4"</f>
        <v>4</v>
      </c>
      <c r="E2792" t="str">
        <f>"1-148-4"</f>
        <v>1-148-4</v>
      </c>
      <c r="F2792" t="s">
        <v>15</v>
      </c>
      <c r="G2792" t="s">
        <v>16</v>
      </c>
      <c r="H2792" t="s">
        <v>17</v>
      </c>
      <c r="I2792">
        <v>0</v>
      </c>
      <c r="J2792">
        <v>0</v>
      </c>
      <c r="K2792">
        <v>1</v>
      </c>
    </row>
    <row r="2793" spans="1:11" x14ac:dyDescent="0.25">
      <c r="A2793" t="str">
        <f>"3526"</f>
        <v>3526</v>
      </c>
      <c r="B2793" t="str">
        <f t="shared" si="177"/>
        <v>1</v>
      </c>
      <c r="C2793" t="str">
        <f t="shared" si="178"/>
        <v>148</v>
      </c>
      <c r="D2793" t="str">
        <f>"10"</f>
        <v>10</v>
      </c>
      <c r="E2793" t="str">
        <f>"1-148-10"</f>
        <v>1-148-10</v>
      </c>
      <c r="F2793" t="s">
        <v>15</v>
      </c>
      <c r="G2793" t="s">
        <v>20</v>
      </c>
      <c r="H2793" t="s">
        <v>21</v>
      </c>
      <c r="I2793">
        <v>1</v>
      </c>
      <c r="J2793">
        <v>0</v>
      </c>
      <c r="K2793">
        <v>0</v>
      </c>
    </row>
    <row r="2794" spans="1:11" x14ac:dyDescent="0.25">
      <c r="A2794" t="str">
        <f>"3527"</f>
        <v>3527</v>
      </c>
      <c r="B2794" t="str">
        <f t="shared" si="177"/>
        <v>1</v>
      </c>
      <c r="C2794" t="str">
        <f t="shared" si="178"/>
        <v>148</v>
      </c>
      <c r="D2794" t="str">
        <f>"14"</f>
        <v>14</v>
      </c>
      <c r="E2794" t="str">
        <f>"1-148-14"</f>
        <v>1-148-14</v>
      </c>
      <c r="F2794" t="s">
        <v>15</v>
      </c>
      <c r="G2794" t="s">
        <v>16</v>
      </c>
      <c r="H2794" t="s">
        <v>17</v>
      </c>
      <c r="I2794">
        <v>0</v>
      </c>
      <c r="J2794">
        <v>0</v>
      </c>
      <c r="K2794">
        <v>0</v>
      </c>
    </row>
    <row r="2795" spans="1:11" x14ac:dyDescent="0.25">
      <c r="A2795" t="str">
        <f>"3528"</f>
        <v>3528</v>
      </c>
      <c r="B2795" t="str">
        <f t="shared" si="177"/>
        <v>1</v>
      </c>
      <c r="C2795" t="str">
        <f t="shared" si="178"/>
        <v>148</v>
      </c>
      <c r="D2795" t="str">
        <f>"23"</f>
        <v>23</v>
      </c>
      <c r="E2795" t="str">
        <f>"1-148-23"</f>
        <v>1-148-23</v>
      </c>
      <c r="F2795" t="s">
        <v>15</v>
      </c>
      <c r="G2795" t="s">
        <v>16</v>
      </c>
      <c r="H2795" t="s">
        <v>17</v>
      </c>
      <c r="I2795">
        <v>0</v>
      </c>
      <c r="J2795">
        <v>0</v>
      </c>
      <c r="K2795">
        <v>0</v>
      </c>
    </row>
    <row r="2796" spans="1:11" x14ac:dyDescent="0.25">
      <c r="A2796" t="str">
        <f>"3529"</f>
        <v>3529</v>
      </c>
      <c r="B2796" t="str">
        <f t="shared" si="177"/>
        <v>1</v>
      </c>
      <c r="C2796" t="str">
        <f t="shared" si="178"/>
        <v>148</v>
      </c>
      <c r="D2796" t="str">
        <f>"21"</f>
        <v>21</v>
      </c>
      <c r="E2796" t="str">
        <f>"1-148-21"</f>
        <v>1-148-21</v>
      </c>
      <c r="F2796" t="s">
        <v>15</v>
      </c>
      <c r="G2796" t="s">
        <v>16</v>
      </c>
      <c r="H2796" t="s">
        <v>17</v>
      </c>
      <c r="I2796">
        <v>0</v>
      </c>
      <c r="J2796">
        <v>0</v>
      </c>
      <c r="K2796">
        <v>0</v>
      </c>
    </row>
    <row r="2797" spans="1:11" x14ac:dyDescent="0.25">
      <c r="A2797" t="str">
        <f>"3531"</f>
        <v>3531</v>
      </c>
      <c r="B2797" t="str">
        <f t="shared" si="177"/>
        <v>1</v>
      </c>
      <c r="C2797" t="str">
        <f t="shared" ref="C2797:C2810" si="179">"149"</f>
        <v>149</v>
      </c>
      <c r="D2797" t="str">
        <f>"16"</f>
        <v>16</v>
      </c>
      <c r="E2797" t="str">
        <f>"1-149-16"</f>
        <v>1-149-16</v>
      </c>
      <c r="F2797" t="s">
        <v>15</v>
      </c>
      <c r="G2797" t="s">
        <v>16</v>
      </c>
      <c r="H2797" t="s">
        <v>17</v>
      </c>
      <c r="I2797">
        <v>0</v>
      </c>
      <c r="J2797">
        <v>1</v>
      </c>
      <c r="K2797">
        <v>0</v>
      </c>
    </row>
    <row r="2798" spans="1:11" x14ac:dyDescent="0.25">
      <c r="A2798" t="str">
        <f>"3532"</f>
        <v>3532</v>
      </c>
      <c r="B2798" t="str">
        <f t="shared" si="177"/>
        <v>1</v>
      </c>
      <c r="C2798" t="str">
        <f t="shared" si="179"/>
        <v>149</v>
      </c>
      <c r="D2798" t="str">
        <f>"8"</f>
        <v>8</v>
      </c>
      <c r="E2798" t="str">
        <f>"1-149-8"</f>
        <v>1-149-8</v>
      </c>
      <c r="F2798" t="s">
        <v>15</v>
      </c>
      <c r="G2798" t="s">
        <v>16</v>
      </c>
      <c r="H2798" t="s">
        <v>17</v>
      </c>
      <c r="I2798">
        <v>0</v>
      </c>
      <c r="J2798">
        <v>0</v>
      </c>
      <c r="K2798">
        <v>1</v>
      </c>
    </row>
    <row r="2799" spans="1:11" x14ac:dyDescent="0.25">
      <c r="A2799" t="str">
        <f>"3533"</f>
        <v>3533</v>
      </c>
      <c r="B2799" t="str">
        <f t="shared" si="177"/>
        <v>1</v>
      </c>
      <c r="C2799" t="str">
        <f t="shared" si="179"/>
        <v>149</v>
      </c>
      <c r="D2799" t="str">
        <f>"17"</f>
        <v>17</v>
      </c>
      <c r="E2799" t="str">
        <f>"1-149-17"</f>
        <v>1-149-17</v>
      </c>
      <c r="F2799" t="s">
        <v>15</v>
      </c>
      <c r="G2799" t="s">
        <v>20</v>
      </c>
      <c r="H2799" t="s">
        <v>21</v>
      </c>
      <c r="I2799">
        <v>0</v>
      </c>
      <c r="J2799">
        <v>0</v>
      </c>
      <c r="K2799">
        <v>1</v>
      </c>
    </row>
    <row r="2800" spans="1:11" x14ac:dyDescent="0.25">
      <c r="A2800" t="str">
        <f>"3534"</f>
        <v>3534</v>
      </c>
      <c r="B2800" t="str">
        <f t="shared" si="177"/>
        <v>1</v>
      </c>
      <c r="C2800" t="str">
        <f t="shared" si="179"/>
        <v>149</v>
      </c>
      <c r="D2800" t="str">
        <f>"3"</f>
        <v>3</v>
      </c>
      <c r="E2800" t="str">
        <f>"1-149-3"</f>
        <v>1-149-3</v>
      </c>
      <c r="F2800" t="s">
        <v>15</v>
      </c>
      <c r="G2800" t="s">
        <v>16</v>
      </c>
      <c r="H2800" t="s">
        <v>17</v>
      </c>
      <c r="I2800">
        <v>1</v>
      </c>
      <c r="J2800">
        <v>0</v>
      </c>
      <c r="K2800">
        <v>0</v>
      </c>
    </row>
    <row r="2801" spans="1:11" x14ac:dyDescent="0.25">
      <c r="A2801" t="str">
        <f>"3535"</f>
        <v>3535</v>
      </c>
      <c r="B2801" t="str">
        <f t="shared" si="177"/>
        <v>1</v>
      </c>
      <c r="C2801" t="str">
        <f t="shared" si="179"/>
        <v>149</v>
      </c>
      <c r="D2801" t="str">
        <f>"18"</f>
        <v>18</v>
      </c>
      <c r="E2801" t="str">
        <f>"1-149-18"</f>
        <v>1-149-18</v>
      </c>
      <c r="F2801" t="s">
        <v>15</v>
      </c>
      <c r="G2801" t="s">
        <v>16</v>
      </c>
      <c r="H2801" t="s">
        <v>17</v>
      </c>
      <c r="I2801">
        <v>1</v>
      </c>
      <c r="J2801">
        <v>0</v>
      </c>
      <c r="K2801">
        <v>0</v>
      </c>
    </row>
    <row r="2802" spans="1:11" x14ac:dyDescent="0.25">
      <c r="A2802" t="str">
        <f>"3539"</f>
        <v>3539</v>
      </c>
      <c r="B2802" t="str">
        <f t="shared" si="177"/>
        <v>1</v>
      </c>
      <c r="C2802" t="str">
        <f t="shared" si="179"/>
        <v>149</v>
      </c>
      <c r="D2802" t="str">
        <f>"6"</f>
        <v>6</v>
      </c>
      <c r="E2802" t="str">
        <f>"1-149-6"</f>
        <v>1-149-6</v>
      </c>
      <c r="F2802" t="s">
        <v>15</v>
      </c>
      <c r="G2802" t="s">
        <v>16</v>
      </c>
      <c r="H2802" t="s">
        <v>17</v>
      </c>
      <c r="I2802">
        <v>1</v>
      </c>
      <c r="J2802">
        <v>0</v>
      </c>
      <c r="K2802">
        <v>0</v>
      </c>
    </row>
    <row r="2803" spans="1:11" x14ac:dyDescent="0.25">
      <c r="A2803" t="str">
        <f>"3540"</f>
        <v>3540</v>
      </c>
      <c r="B2803" t="str">
        <f t="shared" si="177"/>
        <v>1</v>
      </c>
      <c r="C2803" t="str">
        <f t="shared" si="179"/>
        <v>149</v>
      </c>
      <c r="D2803" t="str">
        <f>"7"</f>
        <v>7</v>
      </c>
      <c r="E2803" t="str">
        <f>"1-149-7"</f>
        <v>1-149-7</v>
      </c>
      <c r="F2803" t="s">
        <v>15</v>
      </c>
      <c r="G2803" t="s">
        <v>16</v>
      </c>
      <c r="H2803" t="s">
        <v>17</v>
      </c>
      <c r="I2803">
        <v>0</v>
      </c>
      <c r="J2803">
        <v>1</v>
      </c>
      <c r="K2803">
        <v>0</v>
      </c>
    </row>
    <row r="2804" spans="1:11" x14ac:dyDescent="0.25">
      <c r="A2804" t="str">
        <f>"3541"</f>
        <v>3541</v>
      </c>
      <c r="B2804" t="str">
        <f t="shared" si="177"/>
        <v>1</v>
      </c>
      <c r="C2804" t="str">
        <f t="shared" si="179"/>
        <v>149</v>
      </c>
      <c r="D2804" t="str">
        <f>"4"</f>
        <v>4</v>
      </c>
      <c r="E2804" t="str">
        <f>"1-149-4"</f>
        <v>1-149-4</v>
      </c>
      <c r="F2804" t="s">
        <v>15</v>
      </c>
      <c r="G2804" t="s">
        <v>16</v>
      </c>
      <c r="H2804" t="s">
        <v>17</v>
      </c>
      <c r="I2804">
        <v>0</v>
      </c>
      <c r="J2804">
        <v>0</v>
      </c>
      <c r="K2804">
        <v>1</v>
      </c>
    </row>
    <row r="2805" spans="1:11" x14ac:dyDescent="0.25">
      <c r="A2805" t="str">
        <f>"3542"</f>
        <v>3542</v>
      </c>
      <c r="B2805" t="str">
        <f t="shared" si="177"/>
        <v>1</v>
      </c>
      <c r="C2805" t="str">
        <f t="shared" si="179"/>
        <v>149</v>
      </c>
      <c r="D2805" t="str">
        <f>"2"</f>
        <v>2</v>
      </c>
      <c r="E2805" t="str">
        <f>"1-149-2"</f>
        <v>1-149-2</v>
      </c>
      <c r="F2805" t="s">
        <v>15</v>
      </c>
      <c r="G2805" t="s">
        <v>16</v>
      </c>
      <c r="H2805" t="s">
        <v>17</v>
      </c>
      <c r="I2805">
        <v>0</v>
      </c>
      <c r="J2805">
        <v>0</v>
      </c>
      <c r="K2805">
        <v>1</v>
      </c>
    </row>
    <row r="2806" spans="1:11" x14ac:dyDescent="0.25">
      <c r="A2806" t="str">
        <f>"3543"</f>
        <v>3543</v>
      </c>
      <c r="B2806" t="str">
        <f t="shared" si="177"/>
        <v>1</v>
      </c>
      <c r="C2806" t="str">
        <f t="shared" si="179"/>
        <v>149</v>
      </c>
      <c r="D2806" t="str">
        <f>"11"</f>
        <v>11</v>
      </c>
      <c r="E2806" t="str">
        <f>"1-149-11"</f>
        <v>1-149-11</v>
      </c>
      <c r="F2806" t="s">
        <v>15</v>
      </c>
      <c r="G2806" t="s">
        <v>18</v>
      </c>
      <c r="H2806" t="s">
        <v>19</v>
      </c>
      <c r="I2806">
        <v>1</v>
      </c>
      <c r="J2806">
        <v>0</v>
      </c>
      <c r="K2806">
        <v>0</v>
      </c>
    </row>
    <row r="2807" spans="1:11" x14ac:dyDescent="0.25">
      <c r="A2807" t="str">
        <f>"3544"</f>
        <v>3544</v>
      </c>
      <c r="B2807" t="str">
        <f t="shared" si="177"/>
        <v>1</v>
      </c>
      <c r="C2807" t="str">
        <f t="shared" si="179"/>
        <v>149</v>
      </c>
      <c r="D2807" t="str">
        <f>"5"</f>
        <v>5</v>
      </c>
      <c r="E2807" t="str">
        <f>"1-149-5"</f>
        <v>1-149-5</v>
      </c>
      <c r="F2807" t="s">
        <v>15</v>
      </c>
      <c r="G2807" t="s">
        <v>16</v>
      </c>
      <c r="H2807" t="s">
        <v>17</v>
      </c>
      <c r="I2807">
        <v>1</v>
      </c>
      <c r="J2807">
        <v>0</v>
      </c>
      <c r="K2807">
        <v>0</v>
      </c>
    </row>
    <row r="2808" spans="1:11" x14ac:dyDescent="0.25">
      <c r="A2808" t="str">
        <f>"3545"</f>
        <v>3545</v>
      </c>
      <c r="B2808" t="str">
        <f t="shared" si="177"/>
        <v>1</v>
      </c>
      <c r="C2808" t="str">
        <f t="shared" si="179"/>
        <v>149</v>
      </c>
      <c r="D2808" t="str">
        <f>"1"</f>
        <v>1</v>
      </c>
      <c r="E2808" t="str">
        <f>"1-149-1"</f>
        <v>1-149-1</v>
      </c>
      <c r="F2808" t="s">
        <v>15</v>
      </c>
      <c r="G2808" t="s">
        <v>18</v>
      </c>
      <c r="H2808" t="s">
        <v>19</v>
      </c>
      <c r="I2808">
        <v>0</v>
      </c>
      <c r="J2808">
        <v>0</v>
      </c>
      <c r="K2808">
        <v>0</v>
      </c>
    </row>
    <row r="2809" spans="1:11" x14ac:dyDescent="0.25">
      <c r="A2809" t="str">
        <f>"3546"</f>
        <v>3546</v>
      </c>
      <c r="B2809" t="str">
        <f t="shared" ref="B2809:B2862" si="180">"1"</f>
        <v>1</v>
      </c>
      <c r="C2809" t="str">
        <f t="shared" si="179"/>
        <v>149</v>
      </c>
      <c r="D2809" t="str">
        <f>"15"</f>
        <v>15</v>
      </c>
      <c r="E2809" t="str">
        <f>"1-149-15"</f>
        <v>1-149-15</v>
      </c>
      <c r="F2809" t="s">
        <v>15</v>
      </c>
      <c r="G2809" t="s">
        <v>16</v>
      </c>
      <c r="H2809" t="s">
        <v>17</v>
      </c>
      <c r="I2809">
        <v>0</v>
      </c>
      <c r="J2809">
        <v>0</v>
      </c>
      <c r="K2809">
        <v>1</v>
      </c>
    </row>
    <row r="2810" spans="1:11" x14ac:dyDescent="0.25">
      <c r="A2810" t="str">
        <f>"3547"</f>
        <v>3547</v>
      </c>
      <c r="B2810" t="str">
        <f t="shared" si="180"/>
        <v>1</v>
      </c>
      <c r="C2810" t="str">
        <f t="shared" si="179"/>
        <v>149</v>
      </c>
      <c r="D2810" t="str">
        <f>"10"</f>
        <v>10</v>
      </c>
      <c r="E2810" t="str">
        <f>"1-149-10"</f>
        <v>1-149-10</v>
      </c>
      <c r="F2810" t="s">
        <v>15</v>
      </c>
      <c r="G2810" t="s">
        <v>18</v>
      </c>
      <c r="H2810" t="s">
        <v>19</v>
      </c>
      <c r="I2810">
        <v>0</v>
      </c>
      <c r="J2810">
        <v>0</v>
      </c>
      <c r="K2810">
        <v>0</v>
      </c>
    </row>
    <row r="2811" spans="1:11" x14ac:dyDescent="0.25">
      <c r="A2811" t="str">
        <f>"3549"</f>
        <v>3549</v>
      </c>
      <c r="B2811" t="str">
        <f t="shared" si="180"/>
        <v>1</v>
      </c>
      <c r="C2811" t="str">
        <f t="shared" ref="C2811:C2837" si="181">"150"</f>
        <v>150</v>
      </c>
      <c r="D2811" t="str">
        <f>"2"</f>
        <v>2</v>
      </c>
      <c r="E2811" t="str">
        <f>"1-150-2"</f>
        <v>1-150-2</v>
      </c>
      <c r="F2811" t="s">
        <v>15</v>
      </c>
      <c r="G2811" t="s">
        <v>16</v>
      </c>
      <c r="H2811" t="s">
        <v>17</v>
      </c>
      <c r="I2811">
        <v>0</v>
      </c>
      <c r="J2811">
        <v>0</v>
      </c>
      <c r="K2811">
        <v>1</v>
      </c>
    </row>
    <row r="2812" spans="1:11" x14ac:dyDescent="0.25">
      <c r="A2812" t="str">
        <f>"3550"</f>
        <v>3550</v>
      </c>
      <c r="B2812" t="str">
        <f t="shared" si="180"/>
        <v>1</v>
      </c>
      <c r="C2812" t="str">
        <f t="shared" si="181"/>
        <v>150</v>
      </c>
      <c r="D2812" t="str">
        <f>"29"</f>
        <v>29</v>
      </c>
      <c r="E2812" t="str">
        <f>"1-150-29"</f>
        <v>1-150-29</v>
      </c>
      <c r="F2812" t="s">
        <v>15</v>
      </c>
      <c r="G2812" t="s">
        <v>16</v>
      </c>
      <c r="H2812" t="s">
        <v>17</v>
      </c>
      <c r="I2812">
        <v>0</v>
      </c>
      <c r="J2812">
        <v>0</v>
      </c>
      <c r="K2812">
        <v>1</v>
      </c>
    </row>
    <row r="2813" spans="1:11" x14ac:dyDescent="0.25">
      <c r="A2813" t="str">
        <f>"3551"</f>
        <v>3551</v>
      </c>
      <c r="B2813" t="str">
        <f t="shared" si="180"/>
        <v>1</v>
      </c>
      <c r="C2813" t="str">
        <f t="shared" si="181"/>
        <v>150</v>
      </c>
      <c r="D2813" t="str">
        <f>"16"</f>
        <v>16</v>
      </c>
      <c r="E2813" t="str">
        <f>"1-150-16"</f>
        <v>1-150-16</v>
      </c>
      <c r="F2813" t="s">
        <v>15</v>
      </c>
      <c r="G2813" t="s">
        <v>16</v>
      </c>
      <c r="H2813" t="s">
        <v>17</v>
      </c>
      <c r="I2813">
        <v>0</v>
      </c>
      <c r="J2813">
        <v>1</v>
      </c>
      <c r="K2813">
        <v>0</v>
      </c>
    </row>
    <row r="2814" spans="1:11" x14ac:dyDescent="0.25">
      <c r="A2814" t="str">
        <f>"3552"</f>
        <v>3552</v>
      </c>
      <c r="B2814" t="str">
        <f t="shared" si="180"/>
        <v>1</v>
      </c>
      <c r="C2814" t="str">
        <f t="shared" si="181"/>
        <v>150</v>
      </c>
      <c r="D2814" t="str">
        <f>"1"</f>
        <v>1</v>
      </c>
      <c r="E2814" t="str">
        <f>"1-150-1"</f>
        <v>1-150-1</v>
      </c>
      <c r="F2814" t="s">
        <v>15</v>
      </c>
      <c r="G2814" t="s">
        <v>16</v>
      </c>
      <c r="H2814" t="s">
        <v>17</v>
      </c>
      <c r="I2814">
        <v>1</v>
      </c>
      <c r="J2814">
        <v>0</v>
      </c>
      <c r="K2814">
        <v>0</v>
      </c>
    </row>
    <row r="2815" spans="1:11" x14ac:dyDescent="0.25">
      <c r="A2815" t="str">
        <f>"3553"</f>
        <v>3553</v>
      </c>
      <c r="B2815" t="str">
        <f t="shared" si="180"/>
        <v>1</v>
      </c>
      <c r="C2815" t="str">
        <f t="shared" si="181"/>
        <v>150</v>
      </c>
      <c r="D2815" t="str">
        <f>"17"</f>
        <v>17</v>
      </c>
      <c r="E2815" t="str">
        <f>"1-150-17"</f>
        <v>1-150-17</v>
      </c>
      <c r="F2815" t="s">
        <v>15</v>
      </c>
      <c r="G2815" t="s">
        <v>16</v>
      </c>
      <c r="H2815" t="s">
        <v>17</v>
      </c>
      <c r="I2815">
        <v>0</v>
      </c>
      <c r="J2815">
        <v>1</v>
      </c>
      <c r="K2815">
        <v>0</v>
      </c>
    </row>
    <row r="2816" spans="1:11" x14ac:dyDescent="0.25">
      <c r="A2816" t="str">
        <f>"3554"</f>
        <v>3554</v>
      </c>
      <c r="B2816" t="str">
        <f t="shared" si="180"/>
        <v>1</v>
      </c>
      <c r="C2816" t="str">
        <f t="shared" si="181"/>
        <v>150</v>
      </c>
      <c r="D2816" t="str">
        <f>"5"</f>
        <v>5</v>
      </c>
      <c r="E2816" t="str">
        <f>"1-150-5"</f>
        <v>1-150-5</v>
      </c>
      <c r="F2816" t="s">
        <v>15</v>
      </c>
      <c r="G2816" t="s">
        <v>16</v>
      </c>
      <c r="H2816" t="s">
        <v>17</v>
      </c>
      <c r="I2816">
        <v>0</v>
      </c>
      <c r="J2816">
        <v>1</v>
      </c>
      <c r="K2816">
        <v>0</v>
      </c>
    </row>
    <row r="2817" spans="1:11" x14ac:dyDescent="0.25">
      <c r="A2817" t="str">
        <f>"3555"</f>
        <v>3555</v>
      </c>
      <c r="B2817" t="str">
        <f t="shared" si="180"/>
        <v>1</v>
      </c>
      <c r="C2817" t="str">
        <f t="shared" si="181"/>
        <v>150</v>
      </c>
      <c r="D2817" t="str">
        <f>"18"</f>
        <v>18</v>
      </c>
      <c r="E2817" t="str">
        <f>"1-150-18"</f>
        <v>1-150-18</v>
      </c>
      <c r="F2817" t="s">
        <v>15</v>
      </c>
      <c r="G2817" t="s">
        <v>16</v>
      </c>
      <c r="H2817" t="s">
        <v>17</v>
      </c>
      <c r="I2817">
        <v>0</v>
      </c>
      <c r="J2817">
        <v>1</v>
      </c>
      <c r="K2817">
        <v>0</v>
      </c>
    </row>
    <row r="2818" spans="1:11" x14ac:dyDescent="0.25">
      <c r="A2818" t="str">
        <f>"3556"</f>
        <v>3556</v>
      </c>
      <c r="B2818" t="str">
        <f t="shared" si="180"/>
        <v>1</v>
      </c>
      <c r="C2818" t="str">
        <f t="shared" si="181"/>
        <v>150</v>
      </c>
      <c r="D2818" t="str">
        <f>"19"</f>
        <v>19</v>
      </c>
      <c r="E2818" t="str">
        <f>"1-150-19"</f>
        <v>1-150-19</v>
      </c>
      <c r="F2818" t="s">
        <v>15</v>
      </c>
      <c r="G2818" t="s">
        <v>16</v>
      </c>
      <c r="H2818" t="s">
        <v>17</v>
      </c>
      <c r="I2818">
        <v>0</v>
      </c>
      <c r="J2818">
        <v>0</v>
      </c>
      <c r="K2818">
        <v>1</v>
      </c>
    </row>
    <row r="2819" spans="1:11" x14ac:dyDescent="0.25">
      <c r="A2819" t="str">
        <f>"3557"</f>
        <v>3557</v>
      </c>
      <c r="B2819" t="str">
        <f t="shared" si="180"/>
        <v>1</v>
      </c>
      <c r="C2819" t="str">
        <f t="shared" si="181"/>
        <v>150</v>
      </c>
      <c r="D2819" t="str">
        <f>"3"</f>
        <v>3</v>
      </c>
      <c r="E2819" t="str">
        <f>"1-150-3"</f>
        <v>1-150-3</v>
      </c>
      <c r="F2819" t="s">
        <v>15</v>
      </c>
      <c r="G2819" t="s">
        <v>16</v>
      </c>
      <c r="H2819" t="s">
        <v>17</v>
      </c>
      <c r="I2819">
        <v>1</v>
      </c>
      <c r="J2819">
        <v>0</v>
      </c>
      <c r="K2819">
        <v>0</v>
      </c>
    </row>
    <row r="2820" spans="1:11" x14ac:dyDescent="0.25">
      <c r="A2820" t="str">
        <f>"3559"</f>
        <v>3559</v>
      </c>
      <c r="B2820" t="str">
        <f t="shared" si="180"/>
        <v>1</v>
      </c>
      <c r="C2820" t="str">
        <f t="shared" si="181"/>
        <v>150</v>
      </c>
      <c r="D2820" t="str">
        <f>"10"</f>
        <v>10</v>
      </c>
      <c r="E2820" t="str">
        <f>"1-150-10"</f>
        <v>1-150-10</v>
      </c>
      <c r="F2820" t="s">
        <v>15</v>
      </c>
      <c r="G2820" t="s">
        <v>16</v>
      </c>
      <c r="H2820" t="s">
        <v>17</v>
      </c>
      <c r="I2820">
        <v>0</v>
      </c>
      <c r="J2820">
        <v>0</v>
      </c>
      <c r="K2820">
        <v>1</v>
      </c>
    </row>
    <row r="2821" spans="1:11" x14ac:dyDescent="0.25">
      <c r="A2821" t="str">
        <f>"3560"</f>
        <v>3560</v>
      </c>
      <c r="B2821" t="str">
        <f t="shared" si="180"/>
        <v>1</v>
      </c>
      <c r="C2821" t="str">
        <f t="shared" si="181"/>
        <v>150</v>
      </c>
      <c r="D2821" t="str">
        <f>"22"</f>
        <v>22</v>
      </c>
      <c r="E2821" t="str">
        <f>"1-150-22"</f>
        <v>1-150-22</v>
      </c>
      <c r="F2821" t="s">
        <v>15</v>
      </c>
      <c r="G2821" t="s">
        <v>16</v>
      </c>
      <c r="H2821" t="s">
        <v>17</v>
      </c>
      <c r="I2821">
        <v>0</v>
      </c>
      <c r="J2821">
        <v>0</v>
      </c>
      <c r="K2821">
        <v>1</v>
      </c>
    </row>
    <row r="2822" spans="1:11" x14ac:dyDescent="0.25">
      <c r="A2822" t="str">
        <f>"3561"</f>
        <v>3561</v>
      </c>
      <c r="B2822" t="str">
        <f t="shared" si="180"/>
        <v>1</v>
      </c>
      <c r="C2822" t="str">
        <f t="shared" si="181"/>
        <v>150</v>
      </c>
      <c r="D2822" t="str">
        <f>"23"</f>
        <v>23</v>
      </c>
      <c r="E2822" t="str">
        <f>"1-150-23"</f>
        <v>1-150-23</v>
      </c>
      <c r="F2822" t="s">
        <v>15</v>
      </c>
      <c r="G2822" t="s">
        <v>16</v>
      </c>
      <c r="H2822" t="s">
        <v>17</v>
      </c>
      <c r="I2822">
        <v>0</v>
      </c>
      <c r="J2822">
        <v>1</v>
      </c>
      <c r="K2822">
        <v>0</v>
      </c>
    </row>
    <row r="2823" spans="1:11" x14ac:dyDescent="0.25">
      <c r="A2823" t="str">
        <f>"3562"</f>
        <v>3562</v>
      </c>
      <c r="B2823" t="str">
        <f t="shared" si="180"/>
        <v>1</v>
      </c>
      <c r="C2823" t="str">
        <f t="shared" si="181"/>
        <v>150</v>
      </c>
      <c r="D2823" t="str">
        <f>"13"</f>
        <v>13</v>
      </c>
      <c r="E2823" t="str">
        <f>"1-150-13"</f>
        <v>1-150-13</v>
      </c>
      <c r="F2823" t="s">
        <v>15</v>
      </c>
      <c r="G2823" t="s">
        <v>18</v>
      </c>
      <c r="H2823" t="s">
        <v>19</v>
      </c>
      <c r="I2823">
        <v>0</v>
      </c>
      <c r="J2823">
        <v>0</v>
      </c>
      <c r="K2823">
        <v>1</v>
      </c>
    </row>
    <row r="2824" spans="1:11" x14ac:dyDescent="0.25">
      <c r="A2824" t="str">
        <f>"3563"</f>
        <v>3563</v>
      </c>
      <c r="B2824" t="str">
        <f t="shared" si="180"/>
        <v>1</v>
      </c>
      <c r="C2824" t="str">
        <f t="shared" si="181"/>
        <v>150</v>
      </c>
      <c r="D2824" t="str">
        <f>"24"</f>
        <v>24</v>
      </c>
      <c r="E2824" t="str">
        <f>"1-150-24"</f>
        <v>1-150-24</v>
      </c>
      <c r="F2824" t="s">
        <v>15</v>
      </c>
      <c r="G2824" t="s">
        <v>18</v>
      </c>
      <c r="H2824" t="s">
        <v>19</v>
      </c>
      <c r="I2824">
        <v>0</v>
      </c>
      <c r="J2824">
        <v>1</v>
      </c>
      <c r="K2824">
        <v>0</v>
      </c>
    </row>
    <row r="2825" spans="1:11" x14ac:dyDescent="0.25">
      <c r="A2825" t="str">
        <f>"3564"</f>
        <v>3564</v>
      </c>
      <c r="B2825" t="str">
        <f t="shared" si="180"/>
        <v>1</v>
      </c>
      <c r="C2825" t="str">
        <f t="shared" si="181"/>
        <v>150</v>
      </c>
      <c r="D2825" t="str">
        <f>"12"</f>
        <v>12</v>
      </c>
      <c r="E2825" t="str">
        <f>"1-150-12"</f>
        <v>1-150-12</v>
      </c>
      <c r="F2825" t="s">
        <v>15</v>
      </c>
      <c r="G2825" t="s">
        <v>18</v>
      </c>
      <c r="H2825" t="s">
        <v>19</v>
      </c>
      <c r="I2825">
        <v>0</v>
      </c>
      <c r="J2825">
        <v>1</v>
      </c>
      <c r="K2825">
        <v>0</v>
      </c>
    </row>
    <row r="2826" spans="1:11" x14ac:dyDescent="0.25">
      <c r="A2826" t="str">
        <f>"3565"</f>
        <v>3565</v>
      </c>
      <c r="B2826" t="str">
        <f t="shared" si="180"/>
        <v>1</v>
      </c>
      <c r="C2826" t="str">
        <f t="shared" si="181"/>
        <v>150</v>
      </c>
      <c r="D2826" t="str">
        <f>"14"</f>
        <v>14</v>
      </c>
      <c r="E2826" t="str">
        <f>"1-150-14"</f>
        <v>1-150-14</v>
      </c>
      <c r="F2826" t="s">
        <v>15</v>
      </c>
      <c r="G2826" t="s">
        <v>18</v>
      </c>
      <c r="H2826" t="s">
        <v>19</v>
      </c>
      <c r="I2826">
        <v>0</v>
      </c>
      <c r="J2826">
        <v>0</v>
      </c>
      <c r="K2826">
        <v>1</v>
      </c>
    </row>
    <row r="2827" spans="1:11" x14ac:dyDescent="0.25">
      <c r="A2827" t="str">
        <f>"3566"</f>
        <v>3566</v>
      </c>
      <c r="B2827" t="str">
        <f t="shared" si="180"/>
        <v>1</v>
      </c>
      <c r="C2827" t="str">
        <f t="shared" si="181"/>
        <v>150</v>
      </c>
      <c r="D2827" t="str">
        <f>"26"</f>
        <v>26</v>
      </c>
      <c r="E2827" t="str">
        <f>"1-150-26"</f>
        <v>1-150-26</v>
      </c>
      <c r="F2827" t="s">
        <v>15</v>
      </c>
      <c r="G2827" t="s">
        <v>16</v>
      </c>
      <c r="H2827" t="s">
        <v>17</v>
      </c>
      <c r="I2827">
        <v>0</v>
      </c>
      <c r="J2827">
        <v>1</v>
      </c>
      <c r="K2827">
        <v>0</v>
      </c>
    </row>
    <row r="2828" spans="1:11" x14ac:dyDescent="0.25">
      <c r="A2828" t="str">
        <f>"3567"</f>
        <v>3567</v>
      </c>
      <c r="B2828" t="str">
        <f t="shared" si="180"/>
        <v>1</v>
      </c>
      <c r="C2828" t="str">
        <f t="shared" si="181"/>
        <v>150</v>
      </c>
      <c r="D2828" t="str">
        <f>"11"</f>
        <v>11</v>
      </c>
      <c r="E2828" t="str">
        <f>"1-150-11"</f>
        <v>1-150-11</v>
      </c>
      <c r="F2828" t="s">
        <v>15</v>
      </c>
      <c r="G2828" t="s">
        <v>18</v>
      </c>
      <c r="H2828" t="s">
        <v>19</v>
      </c>
      <c r="I2828">
        <v>0</v>
      </c>
      <c r="J2828">
        <v>0</v>
      </c>
      <c r="K2828">
        <v>1</v>
      </c>
    </row>
    <row r="2829" spans="1:11" x14ac:dyDescent="0.25">
      <c r="A2829" t="str">
        <f>"3568"</f>
        <v>3568</v>
      </c>
      <c r="B2829" t="str">
        <f t="shared" si="180"/>
        <v>1</v>
      </c>
      <c r="C2829" t="str">
        <f t="shared" si="181"/>
        <v>150</v>
      </c>
      <c r="D2829" t="str">
        <f>"8"</f>
        <v>8</v>
      </c>
      <c r="E2829" t="str">
        <f>"1-150-8"</f>
        <v>1-150-8</v>
      </c>
      <c r="F2829" t="s">
        <v>15</v>
      </c>
      <c r="G2829" t="s">
        <v>16</v>
      </c>
      <c r="H2829" t="s">
        <v>17</v>
      </c>
      <c r="I2829">
        <v>0</v>
      </c>
      <c r="J2829">
        <v>1</v>
      </c>
      <c r="K2829">
        <v>0</v>
      </c>
    </row>
    <row r="2830" spans="1:11" x14ac:dyDescent="0.25">
      <c r="A2830" t="str">
        <f>"3569"</f>
        <v>3569</v>
      </c>
      <c r="B2830" t="str">
        <f t="shared" si="180"/>
        <v>1</v>
      </c>
      <c r="C2830" t="str">
        <f t="shared" si="181"/>
        <v>150</v>
      </c>
      <c r="D2830" t="str">
        <f>"28"</f>
        <v>28</v>
      </c>
      <c r="E2830" t="str">
        <f>"1-150-28"</f>
        <v>1-150-28</v>
      </c>
      <c r="F2830" t="s">
        <v>15</v>
      </c>
      <c r="G2830" t="s">
        <v>16</v>
      </c>
      <c r="H2830" t="s">
        <v>17</v>
      </c>
      <c r="I2830">
        <v>0</v>
      </c>
      <c r="J2830">
        <v>1</v>
      </c>
      <c r="K2830">
        <v>0</v>
      </c>
    </row>
    <row r="2831" spans="1:11" x14ac:dyDescent="0.25">
      <c r="A2831" t="str">
        <f>"3570"</f>
        <v>3570</v>
      </c>
      <c r="B2831" t="str">
        <f t="shared" si="180"/>
        <v>1</v>
      </c>
      <c r="C2831" t="str">
        <f t="shared" si="181"/>
        <v>150</v>
      </c>
      <c r="D2831" t="str">
        <f>"6"</f>
        <v>6</v>
      </c>
      <c r="E2831" t="str">
        <f>"1-150-6"</f>
        <v>1-150-6</v>
      </c>
      <c r="F2831" t="s">
        <v>15</v>
      </c>
      <c r="G2831" t="s">
        <v>20</v>
      </c>
      <c r="H2831" t="s">
        <v>21</v>
      </c>
      <c r="I2831">
        <v>0</v>
      </c>
      <c r="J2831">
        <v>1</v>
      </c>
      <c r="K2831">
        <v>0</v>
      </c>
    </row>
    <row r="2832" spans="1:11" x14ac:dyDescent="0.25">
      <c r="A2832" t="str">
        <f>"3571"</f>
        <v>3571</v>
      </c>
      <c r="B2832" t="str">
        <f t="shared" si="180"/>
        <v>1</v>
      </c>
      <c r="C2832" t="str">
        <f t="shared" si="181"/>
        <v>150</v>
      </c>
      <c r="D2832" t="str">
        <f>"7"</f>
        <v>7</v>
      </c>
      <c r="E2832" t="str">
        <f>"1-150-7"</f>
        <v>1-150-7</v>
      </c>
      <c r="F2832" t="s">
        <v>15</v>
      </c>
      <c r="G2832" t="s">
        <v>20</v>
      </c>
      <c r="H2832" t="s">
        <v>21</v>
      </c>
      <c r="I2832">
        <v>0</v>
      </c>
      <c r="J2832">
        <v>1</v>
      </c>
      <c r="K2832">
        <v>0</v>
      </c>
    </row>
    <row r="2833" spans="1:11" x14ac:dyDescent="0.25">
      <c r="A2833" t="str">
        <f>"3572"</f>
        <v>3572</v>
      </c>
      <c r="B2833" t="str">
        <f t="shared" si="180"/>
        <v>1</v>
      </c>
      <c r="C2833" t="str">
        <f t="shared" si="181"/>
        <v>150</v>
      </c>
      <c r="D2833" t="str">
        <f>"27"</f>
        <v>27</v>
      </c>
      <c r="E2833" t="str">
        <f>"1-150-27"</f>
        <v>1-150-27</v>
      </c>
      <c r="F2833" t="s">
        <v>15</v>
      </c>
      <c r="G2833" t="s">
        <v>16</v>
      </c>
      <c r="H2833" t="s">
        <v>17</v>
      </c>
      <c r="I2833">
        <v>0</v>
      </c>
      <c r="J2833">
        <v>0</v>
      </c>
      <c r="K2833">
        <v>0</v>
      </c>
    </row>
    <row r="2834" spans="1:11" x14ac:dyDescent="0.25">
      <c r="A2834" t="str">
        <f>"3573"</f>
        <v>3573</v>
      </c>
      <c r="B2834" t="str">
        <f t="shared" si="180"/>
        <v>1</v>
      </c>
      <c r="C2834" t="str">
        <f t="shared" si="181"/>
        <v>150</v>
      </c>
      <c r="D2834" t="str">
        <f>"9"</f>
        <v>9</v>
      </c>
      <c r="E2834" t="str">
        <f>"1-150-9"</f>
        <v>1-150-9</v>
      </c>
      <c r="F2834" t="s">
        <v>15</v>
      </c>
      <c r="G2834" t="s">
        <v>16</v>
      </c>
      <c r="H2834" t="s">
        <v>17</v>
      </c>
      <c r="I2834">
        <v>0</v>
      </c>
      <c r="J2834">
        <v>0</v>
      </c>
      <c r="K2834">
        <v>0</v>
      </c>
    </row>
    <row r="2835" spans="1:11" x14ac:dyDescent="0.25">
      <c r="A2835" t="str">
        <f>"3574"</f>
        <v>3574</v>
      </c>
      <c r="B2835" t="str">
        <f t="shared" si="180"/>
        <v>1</v>
      </c>
      <c r="C2835" t="str">
        <f t="shared" si="181"/>
        <v>150</v>
      </c>
      <c r="D2835" t="str">
        <f>"15"</f>
        <v>15</v>
      </c>
      <c r="E2835" t="str">
        <f>"1-150-15"</f>
        <v>1-150-15</v>
      </c>
      <c r="F2835" t="s">
        <v>15</v>
      </c>
      <c r="G2835" t="s">
        <v>16</v>
      </c>
      <c r="H2835" t="s">
        <v>17</v>
      </c>
      <c r="I2835">
        <v>0</v>
      </c>
      <c r="J2835">
        <v>0</v>
      </c>
      <c r="K2835">
        <v>0</v>
      </c>
    </row>
    <row r="2836" spans="1:11" x14ac:dyDescent="0.25">
      <c r="A2836" t="str">
        <f>"3575"</f>
        <v>3575</v>
      </c>
      <c r="B2836" t="str">
        <f t="shared" si="180"/>
        <v>1</v>
      </c>
      <c r="C2836" t="str">
        <f t="shared" si="181"/>
        <v>150</v>
      </c>
      <c r="D2836" t="str">
        <f>"4"</f>
        <v>4</v>
      </c>
      <c r="E2836" t="str">
        <f>"1-150-4"</f>
        <v>1-150-4</v>
      </c>
      <c r="F2836" t="s">
        <v>15</v>
      </c>
      <c r="G2836" t="s">
        <v>16</v>
      </c>
      <c r="H2836" t="s">
        <v>17</v>
      </c>
      <c r="I2836">
        <v>0</v>
      </c>
      <c r="J2836">
        <v>0</v>
      </c>
      <c r="K2836">
        <v>0</v>
      </c>
    </row>
    <row r="2837" spans="1:11" x14ac:dyDescent="0.25">
      <c r="A2837" t="str">
        <f>"3576"</f>
        <v>3576</v>
      </c>
      <c r="B2837" t="str">
        <f t="shared" si="180"/>
        <v>1</v>
      </c>
      <c r="C2837" t="str">
        <f t="shared" si="181"/>
        <v>150</v>
      </c>
      <c r="D2837" t="str">
        <f>"25"</f>
        <v>25</v>
      </c>
      <c r="E2837" t="str">
        <f>"1-150-25"</f>
        <v>1-150-25</v>
      </c>
      <c r="F2837" t="s">
        <v>15</v>
      </c>
      <c r="G2837" t="s">
        <v>16</v>
      </c>
      <c r="H2837" t="s">
        <v>17</v>
      </c>
      <c r="I2837">
        <v>0</v>
      </c>
      <c r="J2837">
        <v>0</v>
      </c>
      <c r="K2837">
        <v>0</v>
      </c>
    </row>
    <row r="2838" spans="1:11" x14ac:dyDescent="0.25">
      <c r="A2838" t="str">
        <f>"3577"</f>
        <v>3577</v>
      </c>
      <c r="B2838" t="str">
        <f t="shared" si="180"/>
        <v>1</v>
      </c>
      <c r="C2838" t="str">
        <f t="shared" ref="C2838:C2858" si="182">"151"</f>
        <v>151</v>
      </c>
      <c r="D2838" t="str">
        <f>"25"</f>
        <v>25</v>
      </c>
      <c r="E2838" t="str">
        <f>"1-151-25"</f>
        <v>1-151-25</v>
      </c>
      <c r="F2838" t="s">
        <v>15</v>
      </c>
      <c r="G2838" t="s">
        <v>16</v>
      </c>
      <c r="H2838" t="s">
        <v>17</v>
      </c>
      <c r="I2838">
        <v>1</v>
      </c>
      <c r="J2838">
        <v>0</v>
      </c>
      <c r="K2838">
        <v>0</v>
      </c>
    </row>
    <row r="2839" spans="1:11" x14ac:dyDescent="0.25">
      <c r="A2839" t="str">
        <f>"3578"</f>
        <v>3578</v>
      </c>
      <c r="B2839" t="str">
        <f t="shared" si="180"/>
        <v>1</v>
      </c>
      <c r="C2839" t="str">
        <f t="shared" si="182"/>
        <v>151</v>
      </c>
      <c r="D2839" t="str">
        <f>"15"</f>
        <v>15</v>
      </c>
      <c r="E2839" t="str">
        <f>"1-151-15"</f>
        <v>1-151-15</v>
      </c>
      <c r="F2839" t="s">
        <v>15</v>
      </c>
      <c r="G2839" t="s">
        <v>16</v>
      </c>
      <c r="H2839" t="s">
        <v>17</v>
      </c>
      <c r="I2839">
        <v>0</v>
      </c>
      <c r="J2839">
        <v>1</v>
      </c>
      <c r="K2839">
        <v>0</v>
      </c>
    </row>
    <row r="2840" spans="1:11" x14ac:dyDescent="0.25">
      <c r="A2840" t="str">
        <f>"3579"</f>
        <v>3579</v>
      </c>
      <c r="B2840" t="str">
        <f t="shared" si="180"/>
        <v>1</v>
      </c>
      <c r="C2840" t="str">
        <f t="shared" si="182"/>
        <v>151</v>
      </c>
      <c r="D2840" t="str">
        <f>"1"</f>
        <v>1</v>
      </c>
      <c r="E2840" t="str">
        <f>"1-151-1"</f>
        <v>1-151-1</v>
      </c>
      <c r="F2840" t="s">
        <v>15</v>
      </c>
      <c r="G2840" t="s">
        <v>16</v>
      </c>
      <c r="H2840" t="s">
        <v>17</v>
      </c>
      <c r="I2840">
        <v>0</v>
      </c>
      <c r="J2840">
        <v>1</v>
      </c>
      <c r="K2840">
        <v>0</v>
      </c>
    </row>
    <row r="2841" spans="1:11" x14ac:dyDescent="0.25">
      <c r="A2841" t="str">
        <f>"3580"</f>
        <v>3580</v>
      </c>
      <c r="B2841" t="str">
        <f t="shared" si="180"/>
        <v>1</v>
      </c>
      <c r="C2841" t="str">
        <f t="shared" si="182"/>
        <v>151</v>
      </c>
      <c r="D2841" t="str">
        <f>"24"</f>
        <v>24</v>
      </c>
      <c r="E2841" t="str">
        <f>"1-151-24"</f>
        <v>1-151-24</v>
      </c>
      <c r="F2841" t="s">
        <v>15</v>
      </c>
      <c r="G2841" t="s">
        <v>16</v>
      </c>
      <c r="H2841" t="s">
        <v>17</v>
      </c>
      <c r="I2841">
        <v>0</v>
      </c>
      <c r="J2841">
        <v>0</v>
      </c>
      <c r="K2841">
        <v>1</v>
      </c>
    </row>
    <row r="2842" spans="1:11" x14ac:dyDescent="0.25">
      <c r="A2842" t="str">
        <f>"3581"</f>
        <v>3581</v>
      </c>
      <c r="B2842" t="str">
        <f t="shared" si="180"/>
        <v>1</v>
      </c>
      <c r="C2842" t="str">
        <f t="shared" si="182"/>
        <v>151</v>
      </c>
      <c r="D2842" t="str">
        <f>"16"</f>
        <v>16</v>
      </c>
      <c r="E2842" t="str">
        <f>"1-151-16"</f>
        <v>1-151-16</v>
      </c>
      <c r="F2842" t="s">
        <v>15</v>
      </c>
      <c r="G2842" t="s">
        <v>16</v>
      </c>
      <c r="H2842" t="s">
        <v>17</v>
      </c>
      <c r="I2842">
        <v>0</v>
      </c>
      <c r="J2842">
        <v>1</v>
      </c>
      <c r="K2842">
        <v>0</v>
      </c>
    </row>
    <row r="2843" spans="1:11" x14ac:dyDescent="0.25">
      <c r="A2843" t="str">
        <f>"3582"</f>
        <v>3582</v>
      </c>
      <c r="B2843" t="str">
        <f t="shared" si="180"/>
        <v>1</v>
      </c>
      <c r="C2843" t="str">
        <f t="shared" si="182"/>
        <v>151</v>
      </c>
      <c r="D2843" t="str">
        <f>"2"</f>
        <v>2</v>
      </c>
      <c r="E2843" t="str">
        <f>"1-151-2"</f>
        <v>1-151-2</v>
      </c>
      <c r="F2843" t="s">
        <v>15</v>
      </c>
      <c r="G2843" t="s">
        <v>16</v>
      </c>
      <c r="H2843" t="s">
        <v>17</v>
      </c>
      <c r="I2843">
        <v>0</v>
      </c>
      <c r="J2843">
        <v>0</v>
      </c>
      <c r="K2843">
        <v>1</v>
      </c>
    </row>
    <row r="2844" spans="1:11" x14ac:dyDescent="0.25">
      <c r="A2844" t="str">
        <f>"3583"</f>
        <v>3583</v>
      </c>
      <c r="B2844" t="str">
        <f t="shared" si="180"/>
        <v>1</v>
      </c>
      <c r="C2844" t="str">
        <f t="shared" si="182"/>
        <v>151</v>
      </c>
      <c r="D2844" t="str">
        <f>"17"</f>
        <v>17</v>
      </c>
      <c r="E2844" t="str">
        <f>"1-151-17"</f>
        <v>1-151-17</v>
      </c>
      <c r="F2844" t="s">
        <v>15</v>
      </c>
      <c r="G2844" t="s">
        <v>16</v>
      </c>
      <c r="H2844" t="s">
        <v>17</v>
      </c>
      <c r="I2844">
        <v>0</v>
      </c>
      <c r="J2844">
        <v>1</v>
      </c>
      <c r="K2844">
        <v>0</v>
      </c>
    </row>
    <row r="2845" spans="1:11" x14ac:dyDescent="0.25">
      <c r="A2845" t="str">
        <f>"3584"</f>
        <v>3584</v>
      </c>
      <c r="B2845" t="str">
        <f t="shared" si="180"/>
        <v>1</v>
      </c>
      <c r="C2845" t="str">
        <f t="shared" si="182"/>
        <v>151</v>
      </c>
      <c r="D2845" t="str">
        <f>"14"</f>
        <v>14</v>
      </c>
      <c r="E2845" t="str">
        <f>"1-151-14"</f>
        <v>1-151-14</v>
      </c>
      <c r="F2845" t="s">
        <v>15</v>
      </c>
      <c r="G2845" t="s">
        <v>16</v>
      </c>
      <c r="H2845" t="s">
        <v>17</v>
      </c>
      <c r="I2845">
        <v>0</v>
      </c>
      <c r="J2845">
        <v>1</v>
      </c>
      <c r="K2845">
        <v>0</v>
      </c>
    </row>
    <row r="2846" spans="1:11" x14ac:dyDescent="0.25">
      <c r="A2846" t="str">
        <f>"3585"</f>
        <v>3585</v>
      </c>
      <c r="B2846" t="str">
        <f t="shared" si="180"/>
        <v>1</v>
      </c>
      <c r="C2846" t="str">
        <f t="shared" si="182"/>
        <v>151</v>
      </c>
      <c r="D2846" t="str">
        <f>"19"</f>
        <v>19</v>
      </c>
      <c r="E2846" t="str">
        <f>"1-151-19"</f>
        <v>1-151-19</v>
      </c>
      <c r="F2846" t="s">
        <v>15</v>
      </c>
      <c r="G2846" t="s">
        <v>16</v>
      </c>
      <c r="H2846" t="s">
        <v>17</v>
      </c>
      <c r="I2846">
        <v>0</v>
      </c>
      <c r="J2846">
        <v>0</v>
      </c>
      <c r="K2846">
        <v>1</v>
      </c>
    </row>
    <row r="2847" spans="1:11" x14ac:dyDescent="0.25">
      <c r="A2847" t="str">
        <f>"3587"</f>
        <v>3587</v>
      </c>
      <c r="B2847" t="str">
        <f t="shared" si="180"/>
        <v>1</v>
      </c>
      <c r="C2847" t="str">
        <f t="shared" si="182"/>
        <v>151</v>
      </c>
      <c r="D2847" t="str">
        <f>"20"</f>
        <v>20</v>
      </c>
      <c r="E2847" t="str">
        <f>"1-151-20"</f>
        <v>1-151-20</v>
      </c>
      <c r="F2847" t="s">
        <v>15</v>
      </c>
      <c r="G2847" t="s">
        <v>18</v>
      </c>
      <c r="H2847" t="s">
        <v>19</v>
      </c>
      <c r="I2847">
        <v>1</v>
      </c>
      <c r="J2847">
        <v>0</v>
      </c>
      <c r="K2847">
        <v>0</v>
      </c>
    </row>
    <row r="2848" spans="1:11" x14ac:dyDescent="0.25">
      <c r="A2848" t="str">
        <f>"3589"</f>
        <v>3589</v>
      </c>
      <c r="B2848" t="str">
        <f t="shared" si="180"/>
        <v>1</v>
      </c>
      <c r="C2848" t="str">
        <f t="shared" si="182"/>
        <v>151</v>
      </c>
      <c r="D2848" t="str">
        <f>"21"</f>
        <v>21</v>
      </c>
      <c r="E2848" t="str">
        <f>"1-151-21"</f>
        <v>1-151-21</v>
      </c>
      <c r="F2848" t="s">
        <v>15</v>
      </c>
      <c r="G2848" t="s">
        <v>16</v>
      </c>
      <c r="H2848" t="s">
        <v>17</v>
      </c>
      <c r="I2848">
        <v>0</v>
      </c>
      <c r="J2848">
        <v>0</v>
      </c>
      <c r="K2848">
        <v>1</v>
      </c>
    </row>
    <row r="2849" spans="1:11" x14ac:dyDescent="0.25">
      <c r="A2849" t="str">
        <f>"3592"</f>
        <v>3592</v>
      </c>
      <c r="B2849" t="str">
        <f t="shared" si="180"/>
        <v>1</v>
      </c>
      <c r="C2849" t="str">
        <f t="shared" si="182"/>
        <v>151</v>
      </c>
      <c r="D2849" t="str">
        <f>"23"</f>
        <v>23</v>
      </c>
      <c r="E2849" t="str">
        <f>"1-151-23"</f>
        <v>1-151-23</v>
      </c>
      <c r="F2849" t="s">
        <v>15</v>
      </c>
      <c r="G2849" t="s">
        <v>16</v>
      </c>
      <c r="H2849" t="s">
        <v>17</v>
      </c>
      <c r="I2849">
        <v>0</v>
      </c>
      <c r="J2849">
        <v>0</v>
      </c>
      <c r="K2849">
        <v>1</v>
      </c>
    </row>
    <row r="2850" spans="1:11" x14ac:dyDescent="0.25">
      <c r="A2850" t="str">
        <f>"3593"</f>
        <v>3593</v>
      </c>
      <c r="B2850" t="str">
        <f t="shared" si="180"/>
        <v>1</v>
      </c>
      <c r="C2850" t="str">
        <f t="shared" si="182"/>
        <v>151</v>
      </c>
      <c r="D2850" t="str">
        <f>"3"</f>
        <v>3</v>
      </c>
      <c r="E2850" t="str">
        <f>"1-151-3"</f>
        <v>1-151-3</v>
      </c>
      <c r="F2850" t="s">
        <v>15</v>
      </c>
      <c r="G2850" t="s">
        <v>16</v>
      </c>
      <c r="H2850" t="s">
        <v>17</v>
      </c>
      <c r="I2850">
        <v>1</v>
      </c>
      <c r="J2850">
        <v>0</v>
      </c>
      <c r="K2850">
        <v>0</v>
      </c>
    </row>
    <row r="2851" spans="1:11" x14ac:dyDescent="0.25">
      <c r="A2851" t="str">
        <f>"3594"</f>
        <v>3594</v>
      </c>
      <c r="B2851" t="str">
        <f t="shared" si="180"/>
        <v>1</v>
      </c>
      <c r="C2851" t="str">
        <f t="shared" si="182"/>
        <v>151</v>
      </c>
      <c r="D2851" t="str">
        <f>"8"</f>
        <v>8</v>
      </c>
      <c r="E2851" t="str">
        <f>"1-151-8"</f>
        <v>1-151-8</v>
      </c>
      <c r="F2851" t="s">
        <v>15</v>
      </c>
      <c r="G2851" t="s">
        <v>20</v>
      </c>
      <c r="H2851" t="s">
        <v>21</v>
      </c>
      <c r="I2851">
        <v>0</v>
      </c>
      <c r="J2851">
        <v>1</v>
      </c>
      <c r="K2851">
        <v>0</v>
      </c>
    </row>
    <row r="2852" spans="1:11" x14ac:dyDescent="0.25">
      <c r="A2852" t="str">
        <f>"3595"</f>
        <v>3595</v>
      </c>
      <c r="B2852" t="str">
        <f t="shared" si="180"/>
        <v>1</v>
      </c>
      <c r="C2852" t="str">
        <f t="shared" si="182"/>
        <v>151</v>
      </c>
      <c r="D2852" t="str">
        <f>"12"</f>
        <v>12</v>
      </c>
      <c r="E2852" t="str">
        <f>"1-151-12"</f>
        <v>1-151-12</v>
      </c>
      <c r="F2852" t="s">
        <v>15</v>
      </c>
      <c r="G2852" t="s">
        <v>16</v>
      </c>
      <c r="H2852" t="s">
        <v>17</v>
      </c>
      <c r="I2852">
        <v>1</v>
      </c>
      <c r="J2852">
        <v>0</v>
      </c>
      <c r="K2852">
        <v>0</v>
      </c>
    </row>
    <row r="2853" spans="1:11" x14ac:dyDescent="0.25">
      <c r="A2853" t="str">
        <f>"3596"</f>
        <v>3596</v>
      </c>
      <c r="B2853" t="str">
        <f t="shared" si="180"/>
        <v>1</v>
      </c>
      <c r="C2853" t="str">
        <f t="shared" si="182"/>
        <v>151</v>
      </c>
      <c r="D2853" t="str">
        <f>"7"</f>
        <v>7</v>
      </c>
      <c r="E2853" t="str">
        <f>"1-151-7"</f>
        <v>1-151-7</v>
      </c>
      <c r="F2853" t="s">
        <v>15</v>
      </c>
      <c r="G2853" t="s">
        <v>20</v>
      </c>
      <c r="H2853" t="s">
        <v>21</v>
      </c>
      <c r="I2853">
        <v>0</v>
      </c>
      <c r="J2853">
        <v>1</v>
      </c>
      <c r="K2853">
        <v>0</v>
      </c>
    </row>
    <row r="2854" spans="1:11" x14ac:dyDescent="0.25">
      <c r="A2854" t="str">
        <f>"3597"</f>
        <v>3597</v>
      </c>
      <c r="B2854" t="str">
        <f t="shared" si="180"/>
        <v>1</v>
      </c>
      <c r="C2854" t="str">
        <f t="shared" si="182"/>
        <v>151</v>
      </c>
      <c r="D2854" t="str">
        <f>"10"</f>
        <v>10</v>
      </c>
      <c r="E2854" t="str">
        <f>"1-151-10"</f>
        <v>1-151-10</v>
      </c>
      <c r="F2854" t="s">
        <v>15</v>
      </c>
      <c r="G2854" t="s">
        <v>16</v>
      </c>
      <c r="H2854" t="s">
        <v>17</v>
      </c>
      <c r="I2854">
        <v>0</v>
      </c>
      <c r="J2854">
        <v>1</v>
      </c>
      <c r="K2854">
        <v>0</v>
      </c>
    </row>
    <row r="2855" spans="1:11" x14ac:dyDescent="0.25">
      <c r="A2855" t="str">
        <f>"3598"</f>
        <v>3598</v>
      </c>
      <c r="B2855" t="str">
        <f t="shared" si="180"/>
        <v>1</v>
      </c>
      <c r="C2855" t="str">
        <f t="shared" si="182"/>
        <v>151</v>
      </c>
      <c r="D2855" t="str">
        <f>"11"</f>
        <v>11</v>
      </c>
      <c r="E2855" t="str">
        <f>"1-151-11"</f>
        <v>1-151-11</v>
      </c>
      <c r="F2855" t="s">
        <v>15</v>
      </c>
      <c r="G2855" t="s">
        <v>16</v>
      </c>
      <c r="H2855" t="s">
        <v>17</v>
      </c>
      <c r="I2855">
        <v>0</v>
      </c>
      <c r="J2855">
        <v>0</v>
      </c>
      <c r="K2855">
        <v>1</v>
      </c>
    </row>
    <row r="2856" spans="1:11" x14ac:dyDescent="0.25">
      <c r="A2856" t="str">
        <f>"3599"</f>
        <v>3599</v>
      </c>
      <c r="B2856" t="str">
        <f t="shared" si="180"/>
        <v>1</v>
      </c>
      <c r="C2856" t="str">
        <f t="shared" si="182"/>
        <v>151</v>
      </c>
      <c r="D2856" t="str">
        <f>"4"</f>
        <v>4</v>
      </c>
      <c r="E2856" t="str">
        <f>"1-151-4"</f>
        <v>1-151-4</v>
      </c>
      <c r="F2856" t="s">
        <v>15</v>
      </c>
      <c r="G2856" t="s">
        <v>16</v>
      </c>
      <c r="H2856" t="s">
        <v>17</v>
      </c>
      <c r="I2856">
        <v>0</v>
      </c>
      <c r="J2856">
        <v>0</v>
      </c>
      <c r="K2856">
        <v>0</v>
      </c>
    </row>
    <row r="2857" spans="1:11" x14ac:dyDescent="0.25">
      <c r="A2857" t="str">
        <f>"3600"</f>
        <v>3600</v>
      </c>
      <c r="B2857" t="str">
        <f t="shared" si="180"/>
        <v>1</v>
      </c>
      <c r="C2857" t="str">
        <f t="shared" si="182"/>
        <v>151</v>
      </c>
      <c r="D2857" t="str">
        <f>"18"</f>
        <v>18</v>
      </c>
      <c r="E2857" t="str">
        <f>"1-151-18"</f>
        <v>1-151-18</v>
      </c>
      <c r="F2857" t="s">
        <v>15</v>
      </c>
      <c r="G2857" t="s">
        <v>16</v>
      </c>
      <c r="H2857" t="s">
        <v>17</v>
      </c>
      <c r="I2857">
        <v>0</v>
      </c>
      <c r="J2857">
        <v>0</v>
      </c>
      <c r="K2857">
        <v>0</v>
      </c>
    </row>
    <row r="2858" spans="1:11" x14ac:dyDescent="0.25">
      <c r="A2858" t="str">
        <f>"3601"</f>
        <v>3601</v>
      </c>
      <c r="B2858" t="str">
        <f t="shared" si="180"/>
        <v>1</v>
      </c>
      <c r="C2858" t="str">
        <f t="shared" si="182"/>
        <v>151</v>
      </c>
      <c r="D2858" t="str">
        <f>"22"</f>
        <v>22</v>
      </c>
      <c r="E2858" t="str">
        <f>"1-151-22"</f>
        <v>1-151-22</v>
      </c>
      <c r="F2858" t="s">
        <v>15</v>
      </c>
      <c r="G2858" t="s">
        <v>16</v>
      </c>
      <c r="H2858" t="s">
        <v>17</v>
      </c>
      <c r="I2858">
        <v>0</v>
      </c>
      <c r="J2858">
        <v>0</v>
      </c>
      <c r="K2858">
        <v>0</v>
      </c>
    </row>
    <row r="2859" spans="1:11" x14ac:dyDescent="0.25">
      <c r="A2859" t="str">
        <f>"3602"</f>
        <v>3602</v>
      </c>
      <c r="B2859" t="str">
        <f t="shared" si="180"/>
        <v>1</v>
      </c>
      <c r="C2859" t="str">
        <f t="shared" ref="C2859:C2870" si="183">"152"</f>
        <v>152</v>
      </c>
      <c r="D2859" t="str">
        <f>"15"</f>
        <v>15</v>
      </c>
      <c r="E2859" t="str">
        <f>"1-152-15"</f>
        <v>1-152-15</v>
      </c>
      <c r="F2859" t="s">
        <v>15</v>
      </c>
      <c r="G2859" t="s">
        <v>16</v>
      </c>
      <c r="H2859" t="s">
        <v>17</v>
      </c>
      <c r="I2859">
        <v>0</v>
      </c>
      <c r="J2859">
        <v>1</v>
      </c>
      <c r="K2859">
        <v>0</v>
      </c>
    </row>
    <row r="2860" spans="1:11" x14ac:dyDescent="0.25">
      <c r="A2860" t="str">
        <f>"3604"</f>
        <v>3604</v>
      </c>
      <c r="B2860" t="str">
        <f t="shared" si="180"/>
        <v>1</v>
      </c>
      <c r="C2860" t="str">
        <f t="shared" si="183"/>
        <v>152</v>
      </c>
      <c r="D2860" t="str">
        <f>"16"</f>
        <v>16</v>
      </c>
      <c r="E2860" t="str">
        <f>"1-152-16"</f>
        <v>1-152-16</v>
      </c>
      <c r="F2860" t="s">
        <v>15</v>
      </c>
      <c r="G2860" t="s">
        <v>16</v>
      </c>
      <c r="H2860" t="s">
        <v>17</v>
      </c>
      <c r="I2860">
        <v>0</v>
      </c>
      <c r="J2860">
        <v>1</v>
      </c>
      <c r="K2860">
        <v>0</v>
      </c>
    </row>
    <row r="2861" spans="1:11" x14ac:dyDescent="0.25">
      <c r="A2861" t="str">
        <f>"3607"</f>
        <v>3607</v>
      </c>
      <c r="B2861" t="str">
        <f t="shared" si="180"/>
        <v>1</v>
      </c>
      <c r="C2861" t="str">
        <f t="shared" si="183"/>
        <v>152</v>
      </c>
      <c r="D2861" t="str">
        <f>"14"</f>
        <v>14</v>
      </c>
      <c r="E2861" t="str">
        <f>"1-152-14"</f>
        <v>1-152-14</v>
      </c>
      <c r="F2861" t="s">
        <v>15</v>
      </c>
      <c r="G2861" t="s">
        <v>18</v>
      </c>
      <c r="H2861" t="s">
        <v>19</v>
      </c>
      <c r="I2861">
        <v>0</v>
      </c>
      <c r="J2861">
        <v>0</v>
      </c>
      <c r="K2861">
        <v>1</v>
      </c>
    </row>
    <row r="2862" spans="1:11" x14ac:dyDescent="0.25">
      <c r="A2862" t="str">
        <f>"3609"</f>
        <v>3609</v>
      </c>
      <c r="B2862" t="str">
        <f t="shared" si="180"/>
        <v>1</v>
      </c>
      <c r="C2862" t="str">
        <f t="shared" si="183"/>
        <v>152</v>
      </c>
      <c r="D2862" t="str">
        <f>"9"</f>
        <v>9</v>
      </c>
      <c r="E2862" t="str">
        <f>"1-152-9"</f>
        <v>1-152-9</v>
      </c>
      <c r="F2862" t="s">
        <v>15</v>
      </c>
      <c r="G2862" t="s">
        <v>16</v>
      </c>
      <c r="H2862" t="s">
        <v>17</v>
      </c>
      <c r="I2862">
        <v>0</v>
      </c>
      <c r="J2862">
        <v>1</v>
      </c>
      <c r="K2862">
        <v>0</v>
      </c>
    </row>
    <row r="2863" spans="1:11" x14ac:dyDescent="0.25">
      <c r="A2863" t="str">
        <f>"3610"</f>
        <v>3610</v>
      </c>
      <c r="B2863" t="str">
        <f t="shared" ref="B2863:B2910" si="184">"1"</f>
        <v>1</v>
      </c>
      <c r="C2863" t="str">
        <f t="shared" si="183"/>
        <v>152</v>
      </c>
      <c r="D2863" t="str">
        <f>"8"</f>
        <v>8</v>
      </c>
      <c r="E2863" t="str">
        <f>"1-152-8"</f>
        <v>1-152-8</v>
      </c>
      <c r="F2863" t="s">
        <v>15</v>
      </c>
      <c r="G2863" t="s">
        <v>16</v>
      </c>
      <c r="H2863" t="s">
        <v>17</v>
      </c>
      <c r="I2863">
        <v>0</v>
      </c>
      <c r="J2863">
        <v>0</v>
      </c>
      <c r="K2863">
        <v>1</v>
      </c>
    </row>
    <row r="2864" spans="1:11" x14ac:dyDescent="0.25">
      <c r="A2864" t="str">
        <f>"3611"</f>
        <v>3611</v>
      </c>
      <c r="B2864" t="str">
        <f t="shared" si="184"/>
        <v>1</v>
      </c>
      <c r="C2864" t="str">
        <f t="shared" si="183"/>
        <v>152</v>
      </c>
      <c r="D2864" t="str">
        <f>"4"</f>
        <v>4</v>
      </c>
      <c r="E2864" t="str">
        <f>"1-152-4"</f>
        <v>1-152-4</v>
      </c>
      <c r="F2864" t="s">
        <v>15</v>
      </c>
      <c r="G2864" t="s">
        <v>16</v>
      </c>
      <c r="H2864" t="s">
        <v>17</v>
      </c>
      <c r="I2864">
        <v>0</v>
      </c>
      <c r="J2864">
        <v>1</v>
      </c>
      <c r="K2864">
        <v>0</v>
      </c>
    </row>
    <row r="2865" spans="1:11" x14ac:dyDescent="0.25">
      <c r="A2865" t="str">
        <f>"3612"</f>
        <v>3612</v>
      </c>
      <c r="B2865" t="str">
        <f t="shared" si="184"/>
        <v>1</v>
      </c>
      <c r="C2865" t="str">
        <f t="shared" si="183"/>
        <v>152</v>
      </c>
      <c r="D2865" t="str">
        <f>"11"</f>
        <v>11</v>
      </c>
      <c r="E2865" t="str">
        <f>"1-152-11"</f>
        <v>1-152-11</v>
      </c>
      <c r="F2865" t="s">
        <v>15</v>
      </c>
      <c r="G2865" t="s">
        <v>16</v>
      </c>
      <c r="H2865" t="s">
        <v>17</v>
      </c>
      <c r="I2865">
        <v>0</v>
      </c>
      <c r="J2865">
        <v>1</v>
      </c>
      <c r="K2865">
        <v>0</v>
      </c>
    </row>
    <row r="2866" spans="1:11" x14ac:dyDescent="0.25">
      <c r="A2866" t="str">
        <f>"3613"</f>
        <v>3613</v>
      </c>
      <c r="B2866" t="str">
        <f t="shared" si="184"/>
        <v>1</v>
      </c>
      <c r="C2866" t="str">
        <f t="shared" si="183"/>
        <v>152</v>
      </c>
      <c r="D2866" t="str">
        <f>"2"</f>
        <v>2</v>
      </c>
      <c r="E2866" t="str">
        <f>"1-152-2"</f>
        <v>1-152-2</v>
      </c>
      <c r="F2866" t="s">
        <v>15</v>
      </c>
      <c r="G2866" t="s">
        <v>16</v>
      </c>
      <c r="H2866" t="s">
        <v>17</v>
      </c>
      <c r="I2866">
        <v>0</v>
      </c>
      <c r="J2866">
        <v>0</v>
      </c>
      <c r="K2866">
        <v>1</v>
      </c>
    </row>
    <row r="2867" spans="1:11" x14ac:dyDescent="0.25">
      <c r="A2867" t="str">
        <f>"3614"</f>
        <v>3614</v>
      </c>
      <c r="B2867" t="str">
        <f t="shared" si="184"/>
        <v>1</v>
      </c>
      <c r="C2867" t="str">
        <f t="shared" si="183"/>
        <v>152</v>
      </c>
      <c r="D2867" t="str">
        <f>"5"</f>
        <v>5</v>
      </c>
      <c r="E2867" t="str">
        <f>"1-152-5"</f>
        <v>1-152-5</v>
      </c>
      <c r="F2867" t="s">
        <v>15</v>
      </c>
      <c r="G2867" t="s">
        <v>16</v>
      </c>
      <c r="H2867" t="s">
        <v>17</v>
      </c>
      <c r="I2867">
        <v>0</v>
      </c>
      <c r="J2867">
        <v>1</v>
      </c>
      <c r="K2867">
        <v>0</v>
      </c>
    </row>
    <row r="2868" spans="1:11" x14ac:dyDescent="0.25">
      <c r="A2868" t="str">
        <f>"3615"</f>
        <v>3615</v>
      </c>
      <c r="B2868" t="str">
        <f t="shared" si="184"/>
        <v>1</v>
      </c>
      <c r="C2868" t="str">
        <f t="shared" si="183"/>
        <v>152</v>
      </c>
      <c r="D2868" t="str">
        <f>"12"</f>
        <v>12</v>
      </c>
      <c r="E2868" t="str">
        <f>"1-152-12"</f>
        <v>1-152-12</v>
      </c>
      <c r="F2868" t="s">
        <v>15</v>
      </c>
      <c r="G2868" t="s">
        <v>18</v>
      </c>
      <c r="H2868" t="s">
        <v>19</v>
      </c>
      <c r="I2868">
        <v>1</v>
      </c>
      <c r="J2868">
        <v>0</v>
      </c>
      <c r="K2868">
        <v>0</v>
      </c>
    </row>
    <row r="2869" spans="1:11" x14ac:dyDescent="0.25">
      <c r="A2869" t="str">
        <f>"3616"</f>
        <v>3616</v>
      </c>
      <c r="B2869" t="str">
        <f t="shared" si="184"/>
        <v>1</v>
      </c>
      <c r="C2869" t="str">
        <f t="shared" si="183"/>
        <v>152</v>
      </c>
      <c r="D2869" t="str">
        <f>"13"</f>
        <v>13</v>
      </c>
      <c r="E2869" t="str">
        <f>"1-152-13"</f>
        <v>1-152-13</v>
      </c>
      <c r="F2869" t="s">
        <v>15</v>
      </c>
      <c r="G2869" t="s">
        <v>18</v>
      </c>
      <c r="H2869" t="s">
        <v>19</v>
      </c>
      <c r="I2869">
        <v>0</v>
      </c>
      <c r="J2869">
        <v>1</v>
      </c>
      <c r="K2869">
        <v>0</v>
      </c>
    </row>
    <row r="2870" spans="1:11" x14ac:dyDescent="0.25">
      <c r="A2870" t="str">
        <f>"3617"</f>
        <v>3617</v>
      </c>
      <c r="B2870" t="str">
        <f t="shared" si="184"/>
        <v>1</v>
      </c>
      <c r="C2870" t="str">
        <f t="shared" si="183"/>
        <v>152</v>
      </c>
      <c r="D2870" t="str">
        <f>"6"</f>
        <v>6</v>
      </c>
      <c r="E2870" t="str">
        <f>"1-152-6"</f>
        <v>1-152-6</v>
      </c>
      <c r="F2870" t="s">
        <v>15</v>
      </c>
      <c r="G2870" t="s">
        <v>20</v>
      </c>
      <c r="H2870" t="s">
        <v>21</v>
      </c>
      <c r="I2870">
        <v>0</v>
      </c>
      <c r="J2870">
        <v>0</v>
      </c>
      <c r="K2870">
        <v>1</v>
      </c>
    </row>
    <row r="2871" spans="1:11" x14ac:dyDescent="0.25">
      <c r="A2871" t="str">
        <f>"3619"</f>
        <v>3619</v>
      </c>
      <c r="B2871" t="str">
        <f t="shared" si="184"/>
        <v>1</v>
      </c>
      <c r="C2871" t="str">
        <f t="shared" ref="C2871:C2887" si="185">"153"</f>
        <v>153</v>
      </c>
      <c r="D2871" t="str">
        <f>"1"</f>
        <v>1</v>
      </c>
      <c r="E2871" t="str">
        <f>"1-153-1"</f>
        <v>1-153-1</v>
      </c>
      <c r="F2871" t="s">
        <v>15</v>
      </c>
      <c r="G2871" t="s">
        <v>20</v>
      </c>
      <c r="H2871" t="s">
        <v>21</v>
      </c>
      <c r="I2871">
        <v>0</v>
      </c>
      <c r="J2871">
        <v>1</v>
      </c>
      <c r="K2871">
        <v>0</v>
      </c>
    </row>
    <row r="2872" spans="1:11" x14ac:dyDescent="0.25">
      <c r="A2872" t="str">
        <f>"3620"</f>
        <v>3620</v>
      </c>
      <c r="B2872" t="str">
        <f t="shared" si="184"/>
        <v>1</v>
      </c>
      <c r="C2872" t="str">
        <f t="shared" si="185"/>
        <v>153</v>
      </c>
      <c r="D2872" t="str">
        <f>"16"</f>
        <v>16</v>
      </c>
      <c r="E2872" t="str">
        <f>"1-153-16"</f>
        <v>1-153-16</v>
      </c>
      <c r="F2872" t="s">
        <v>15</v>
      </c>
      <c r="G2872" t="s">
        <v>20</v>
      </c>
      <c r="H2872" t="s">
        <v>21</v>
      </c>
      <c r="I2872">
        <v>0</v>
      </c>
      <c r="J2872">
        <v>0</v>
      </c>
      <c r="K2872">
        <v>1</v>
      </c>
    </row>
    <row r="2873" spans="1:11" x14ac:dyDescent="0.25">
      <c r="A2873" t="str">
        <f>"3621"</f>
        <v>3621</v>
      </c>
      <c r="B2873" t="str">
        <f t="shared" si="184"/>
        <v>1</v>
      </c>
      <c r="C2873" t="str">
        <f t="shared" si="185"/>
        <v>153</v>
      </c>
      <c r="D2873" t="str">
        <f>"3"</f>
        <v>3</v>
      </c>
      <c r="E2873" t="str">
        <f>"1-153-3"</f>
        <v>1-153-3</v>
      </c>
      <c r="F2873" t="s">
        <v>15</v>
      </c>
      <c r="G2873" t="s">
        <v>20</v>
      </c>
      <c r="H2873" t="s">
        <v>21</v>
      </c>
      <c r="I2873">
        <v>0</v>
      </c>
      <c r="J2873">
        <v>0</v>
      </c>
      <c r="K2873">
        <v>1</v>
      </c>
    </row>
    <row r="2874" spans="1:11" x14ac:dyDescent="0.25">
      <c r="A2874" t="str">
        <f>"3622"</f>
        <v>3622</v>
      </c>
      <c r="B2874" t="str">
        <f t="shared" si="184"/>
        <v>1</v>
      </c>
      <c r="C2874" t="str">
        <f t="shared" si="185"/>
        <v>153</v>
      </c>
      <c r="D2874" t="str">
        <f>"17"</f>
        <v>17</v>
      </c>
      <c r="E2874" t="str">
        <f>"1-153-17"</f>
        <v>1-153-17</v>
      </c>
      <c r="F2874" t="s">
        <v>15</v>
      </c>
      <c r="G2874" t="s">
        <v>20</v>
      </c>
      <c r="H2874" t="s">
        <v>21</v>
      </c>
      <c r="I2874">
        <v>1</v>
      </c>
      <c r="J2874">
        <v>0</v>
      </c>
      <c r="K2874">
        <v>0</v>
      </c>
    </row>
    <row r="2875" spans="1:11" x14ac:dyDescent="0.25">
      <c r="A2875" t="str">
        <f>"3624"</f>
        <v>3624</v>
      </c>
      <c r="B2875" t="str">
        <f t="shared" si="184"/>
        <v>1</v>
      </c>
      <c r="C2875" t="str">
        <f t="shared" si="185"/>
        <v>153</v>
      </c>
      <c r="D2875" t="str">
        <f>"18"</f>
        <v>18</v>
      </c>
      <c r="E2875" t="str">
        <f>"1-153-18"</f>
        <v>1-153-18</v>
      </c>
      <c r="F2875" t="s">
        <v>15</v>
      </c>
      <c r="G2875" t="s">
        <v>20</v>
      </c>
      <c r="H2875" t="s">
        <v>21</v>
      </c>
      <c r="I2875">
        <v>1</v>
      </c>
      <c r="J2875">
        <v>0</v>
      </c>
      <c r="K2875">
        <v>0</v>
      </c>
    </row>
    <row r="2876" spans="1:11" x14ac:dyDescent="0.25">
      <c r="A2876" t="str">
        <f>"3625"</f>
        <v>3625</v>
      </c>
      <c r="B2876" t="str">
        <f t="shared" si="184"/>
        <v>1</v>
      </c>
      <c r="C2876" t="str">
        <f t="shared" si="185"/>
        <v>153</v>
      </c>
      <c r="D2876" t="str">
        <f>"6"</f>
        <v>6</v>
      </c>
      <c r="E2876" t="str">
        <f>"1-153-6"</f>
        <v>1-153-6</v>
      </c>
      <c r="F2876" t="s">
        <v>15</v>
      </c>
      <c r="G2876" t="s">
        <v>20</v>
      </c>
      <c r="H2876" t="s">
        <v>21</v>
      </c>
      <c r="I2876">
        <v>0</v>
      </c>
      <c r="J2876">
        <v>1</v>
      </c>
      <c r="K2876">
        <v>0</v>
      </c>
    </row>
    <row r="2877" spans="1:11" x14ac:dyDescent="0.25">
      <c r="A2877" t="str">
        <f>"3626"</f>
        <v>3626</v>
      </c>
      <c r="B2877" t="str">
        <f t="shared" si="184"/>
        <v>1</v>
      </c>
      <c r="C2877" t="str">
        <f t="shared" si="185"/>
        <v>153</v>
      </c>
      <c r="D2877" t="str">
        <f>"19"</f>
        <v>19</v>
      </c>
      <c r="E2877" t="str">
        <f>"1-153-19"</f>
        <v>1-153-19</v>
      </c>
      <c r="F2877" t="s">
        <v>15</v>
      </c>
      <c r="G2877" t="s">
        <v>20</v>
      </c>
      <c r="H2877" t="s">
        <v>21</v>
      </c>
      <c r="I2877">
        <v>0</v>
      </c>
      <c r="J2877">
        <v>0</v>
      </c>
      <c r="K2877">
        <v>1</v>
      </c>
    </row>
    <row r="2878" spans="1:11" x14ac:dyDescent="0.25">
      <c r="A2878" t="str">
        <f>"3628"</f>
        <v>3628</v>
      </c>
      <c r="B2878" t="str">
        <f t="shared" si="184"/>
        <v>1</v>
      </c>
      <c r="C2878" t="str">
        <f t="shared" si="185"/>
        <v>153</v>
      </c>
      <c r="D2878" t="str">
        <f>"8"</f>
        <v>8</v>
      </c>
      <c r="E2878" t="str">
        <f>"1-153-8"</f>
        <v>1-153-8</v>
      </c>
      <c r="F2878" t="s">
        <v>15</v>
      </c>
      <c r="G2878" t="s">
        <v>20</v>
      </c>
      <c r="H2878" t="s">
        <v>21</v>
      </c>
      <c r="I2878">
        <v>0</v>
      </c>
      <c r="J2878">
        <v>0</v>
      </c>
      <c r="K2878">
        <v>1</v>
      </c>
    </row>
    <row r="2879" spans="1:11" x14ac:dyDescent="0.25">
      <c r="A2879" t="str">
        <f>"3629"</f>
        <v>3629</v>
      </c>
      <c r="B2879" t="str">
        <f t="shared" si="184"/>
        <v>1</v>
      </c>
      <c r="C2879" t="str">
        <f t="shared" si="185"/>
        <v>153</v>
      </c>
      <c r="D2879" t="str">
        <f>"2"</f>
        <v>2</v>
      </c>
      <c r="E2879" t="str">
        <f>"1-153-2"</f>
        <v>1-153-2</v>
      </c>
      <c r="F2879" t="s">
        <v>15</v>
      </c>
      <c r="G2879" t="s">
        <v>20</v>
      </c>
      <c r="H2879" t="s">
        <v>21</v>
      </c>
      <c r="I2879">
        <v>0</v>
      </c>
      <c r="J2879">
        <v>0</v>
      </c>
      <c r="K2879">
        <v>1</v>
      </c>
    </row>
    <row r="2880" spans="1:11" x14ac:dyDescent="0.25">
      <c r="A2880" t="str">
        <f>"3630"</f>
        <v>3630</v>
      </c>
      <c r="B2880" t="str">
        <f t="shared" si="184"/>
        <v>1</v>
      </c>
      <c r="C2880" t="str">
        <f t="shared" si="185"/>
        <v>153</v>
      </c>
      <c r="D2880" t="str">
        <f>"9"</f>
        <v>9</v>
      </c>
      <c r="E2880" t="str">
        <f>"1-153-9"</f>
        <v>1-153-9</v>
      </c>
      <c r="F2880" t="s">
        <v>15</v>
      </c>
      <c r="G2880" t="s">
        <v>20</v>
      </c>
      <c r="H2880" t="s">
        <v>21</v>
      </c>
      <c r="I2880">
        <v>0</v>
      </c>
      <c r="J2880">
        <v>1</v>
      </c>
      <c r="K2880">
        <v>0</v>
      </c>
    </row>
    <row r="2881" spans="1:11" x14ac:dyDescent="0.25">
      <c r="A2881" t="str">
        <f>"3631"</f>
        <v>3631</v>
      </c>
      <c r="B2881" t="str">
        <f t="shared" si="184"/>
        <v>1</v>
      </c>
      <c r="C2881" t="str">
        <f t="shared" si="185"/>
        <v>153</v>
      </c>
      <c r="D2881" t="str">
        <f>"7"</f>
        <v>7</v>
      </c>
      <c r="E2881" t="str">
        <f>"1-153-7"</f>
        <v>1-153-7</v>
      </c>
      <c r="F2881" t="s">
        <v>15</v>
      </c>
      <c r="G2881" t="s">
        <v>20</v>
      </c>
      <c r="H2881" t="s">
        <v>21</v>
      </c>
      <c r="I2881">
        <v>0</v>
      </c>
      <c r="J2881">
        <v>1</v>
      </c>
      <c r="K2881">
        <v>0</v>
      </c>
    </row>
    <row r="2882" spans="1:11" x14ac:dyDescent="0.25">
      <c r="A2882" t="str">
        <f>"3632"</f>
        <v>3632</v>
      </c>
      <c r="B2882" t="str">
        <f t="shared" si="184"/>
        <v>1</v>
      </c>
      <c r="C2882" t="str">
        <f t="shared" si="185"/>
        <v>153</v>
      </c>
      <c r="D2882" t="str">
        <f>"5"</f>
        <v>5</v>
      </c>
      <c r="E2882" t="str">
        <f>"1-153-5"</f>
        <v>1-153-5</v>
      </c>
      <c r="F2882" t="s">
        <v>15</v>
      </c>
      <c r="G2882" t="s">
        <v>20</v>
      </c>
      <c r="H2882" t="s">
        <v>21</v>
      </c>
      <c r="I2882">
        <v>0</v>
      </c>
      <c r="J2882">
        <v>1</v>
      </c>
      <c r="K2882">
        <v>0</v>
      </c>
    </row>
    <row r="2883" spans="1:11" x14ac:dyDescent="0.25">
      <c r="A2883" t="str">
        <f>"3633"</f>
        <v>3633</v>
      </c>
      <c r="B2883" t="str">
        <f t="shared" si="184"/>
        <v>1</v>
      </c>
      <c r="C2883" t="str">
        <f t="shared" si="185"/>
        <v>153</v>
      </c>
      <c r="D2883" t="str">
        <f>"13"</f>
        <v>13</v>
      </c>
      <c r="E2883" t="str">
        <f>"1-153-13"</f>
        <v>1-153-13</v>
      </c>
      <c r="F2883" t="s">
        <v>15</v>
      </c>
      <c r="G2883" t="s">
        <v>20</v>
      </c>
      <c r="H2883" t="s">
        <v>21</v>
      </c>
      <c r="I2883">
        <v>0</v>
      </c>
      <c r="J2883">
        <v>0</v>
      </c>
      <c r="K2883">
        <v>1</v>
      </c>
    </row>
    <row r="2884" spans="1:11" x14ac:dyDescent="0.25">
      <c r="A2884" t="str">
        <f>"3634"</f>
        <v>3634</v>
      </c>
      <c r="B2884" t="str">
        <f t="shared" si="184"/>
        <v>1</v>
      </c>
      <c r="C2884" t="str">
        <f t="shared" si="185"/>
        <v>153</v>
      </c>
      <c r="D2884" t="str">
        <f>"4"</f>
        <v>4</v>
      </c>
      <c r="E2884" t="str">
        <f>"1-153-4"</f>
        <v>1-153-4</v>
      </c>
      <c r="F2884" t="s">
        <v>15</v>
      </c>
      <c r="G2884" t="s">
        <v>20</v>
      </c>
      <c r="H2884" t="s">
        <v>21</v>
      </c>
      <c r="I2884">
        <v>0</v>
      </c>
      <c r="J2884">
        <v>0</v>
      </c>
      <c r="K2884">
        <v>1</v>
      </c>
    </row>
    <row r="2885" spans="1:11" x14ac:dyDescent="0.25">
      <c r="A2885" t="str">
        <f>"3635"</f>
        <v>3635</v>
      </c>
      <c r="B2885" t="str">
        <f t="shared" si="184"/>
        <v>1</v>
      </c>
      <c r="C2885" t="str">
        <f t="shared" si="185"/>
        <v>153</v>
      </c>
      <c r="D2885" t="str">
        <f>"10"</f>
        <v>10</v>
      </c>
      <c r="E2885" t="str">
        <f>"1-153-10"</f>
        <v>1-153-10</v>
      </c>
      <c r="F2885" t="s">
        <v>15</v>
      </c>
      <c r="G2885" t="s">
        <v>20</v>
      </c>
      <c r="H2885" t="s">
        <v>21</v>
      </c>
      <c r="I2885">
        <v>0</v>
      </c>
      <c r="J2885">
        <v>1</v>
      </c>
      <c r="K2885">
        <v>0</v>
      </c>
    </row>
    <row r="2886" spans="1:11" x14ac:dyDescent="0.25">
      <c r="A2886" t="str">
        <f>"3636"</f>
        <v>3636</v>
      </c>
      <c r="B2886" t="str">
        <f t="shared" si="184"/>
        <v>1</v>
      </c>
      <c r="C2886" t="str">
        <f t="shared" si="185"/>
        <v>153</v>
      </c>
      <c r="D2886" t="str">
        <f>"11"</f>
        <v>11</v>
      </c>
      <c r="E2886" t="str">
        <f>"1-153-11"</f>
        <v>1-153-11</v>
      </c>
      <c r="F2886" t="s">
        <v>15</v>
      </c>
      <c r="G2886" t="s">
        <v>20</v>
      </c>
      <c r="H2886" t="s">
        <v>21</v>
      </c>
      <c r="I2886">
        <v>0</v>
      </c>
      <c r="J2886">
        <v>0</v>
      </c>
      <c r="K2886">
        <v>0</v>
      </c>
    </row>
    <row r="2887" spans="1:11" x14ac:dyDescent="0.25">
      <c r="A2887" t="str">
        <f>"3637"</f>
        <v>3637</v>
      </c>
      <c r="B2887" t="str">
        <f t="shared" si="184"/>
        <v>1</v>
      </c>
      <c r="C2887" t="str">
        <f t="shared" si="185"/>
        <v>153</v>
      </c>
      <c r="D2887" t="str">
        <f>"20"</f>
        <v>20</v>
      </c>
      <c r="E2887" t="str">
        <f>"1-153-20"</f>
        <v>1-153-20</v>
      </c>
      <c r="F2887" t="s">
        <v>15</v>
      </c>
      <c r="G2887" t="s">
        <v>20</v>
      </c>
      <c r="H2887" t="s">
        <v>21</v>
      </c>
      <c r="I2887">
        <v>0</v>
      </c>
      <c r="J2887">
        <v>1</v>
      </c>
      <c r="K2887">
        <v>0</v>
      </c>
    </row>
    <row r="2888" spans="1:11" x14ac:dyDescent="0.25">
      <c r="A2888" t="str">
        <f>"3640"</f>
        <v>3640</v>
      </c>
      <c r="B2888" t="str">
        <f t="shared" si="184"/>
        <v>1</v>
      </c>
      <c r="C2888" t="str">
        <f t="shared" ref="C2888:C2897" si="186">"154"</f>
        <v>154</v>
      </c>
      <c r="D2888" t="str">
        <f>"4"</f>
        <v>4</v>
      </c>
      <c r="E2888" t="str">
        <f>"1-154-4"</f>
        <v>1-154-4</v>
      </c>
      <c r="F2888" t="s">
        <v>15</v>
      </c>
      <c r="G2888" t="s">
        <v>20</v>
      </c>
      <c r="H2888" t="s">
        <v>21</v>
      </c>
      <c r="I2888">
        <v>0</v>
      </c>
      <c r="J2888">
        <v>0</v>
      </c>
      <c r="K2888">
        <v>1</v>
      </c>
    </row>
    <row r="2889" spans="1:11" x14ac:dyDescent="0.25">
      <c r="A2889" t="str">
        <f>"3645"</f>
        <v>3645</v>
      </c>
      <c r="B2889" t="str">
        <f t="shared" si="184"/>
        <v>1</v>
      </c>
      <c r="C2889" t="str">
        <f t="shared" si="186"/>
        <v>154</v>
      </c>
      <c r="D2889" t="str">
        <f>"13"</f>
        <v>13</v>
      </c>
      <c r="E2889" t="str">
        <f>"1-154-13"</f>
        <v>1-154-13</v>
      </c>
      <c r="F2889" t="s">
        <v>15</v>
      </c>
      <c r="G2889" t="s">
        <v>20</v>
      </c>
      <c r="H2889" t="s">
        <v>21</v>
      </c>
      <c r="I2889">
        <v>1</v>
      </c>
      <c r="J2889">
        <v>0</v>
      </c>
      <c r="K2889">
        <v>0</v>
      </c>
    </row>
    <row r="2890" spans="1:11" x14ac:dyDescent="0.25">
      <c r="A2890" t="str">
        <f>"3646"</f>
        <v>3646</v>
      </c>
      <c r="B2890" t="str">
        <f t="shared" si="184"/>
        <v>1</v>
      </c>
      <c r="C2890" t="str">
        <f t="shared" si="186"/>
        <v>154</v>
      </c>
      <c r="D2890" t="str">
        <f>"14"</f>
        <v>14</v>
      </c>
      <c r="E2890" t="str">
        <f>"1-154-14"</f>
        <v>1-154-14</v>
      </c>
      <c r="F2890" t="s">
        <v>15</v>
      </c>
      <c r="G2890" t="s">
        <v>20</v>
      </c>
      <c r="H2890" t="s">
        <v>21</v>
      </c>
      <c r="I2890">
        <v>0</v>
      </c>
      <c r="J2890">
        <v>0</v>
      </c>
      <c r="K2890">
        <v>1</v>
      </c>
    </row>
    <row r="2891" spans="1:11" x14ac:dyDescent="0.25">
      <c r="A2891" t="str">
        <f>"3647"</f>
        <v>3647</v>
      </c>
      <c r="B2891" t="str">
        <f t="shared" si="184"/>
        <v>1</v>
      </c>
      <c r="C2891" t="str">
        <f t="shared" si="186"/>
        <v>154</v>
      </c>
      <c r="D2891" t="str">
        <f>"6"</f>
        <v>6</v>
      </c>
      <c r="E2891" t="str">
        <f>"1-154-6"</f>
        <v>1-154-6</v>
      </c>
      <c r="F2891" t="s">
        <v>15</v>
      </c>
      <c r="G2891" t="s">
        <v>20</v>
      </c>
      <c r="H2891" t="s">
        <v>21</v>
      </c>
      <c r="I2891">
        <v>0</v>
      </c>
      <c r="J2891">
        <v>0</v>
      </c>
      <c r="K2891">
        <v>1</v>
      </c>
    </row>
    <row r="2892" spans="1:11" x14ac:dyDescent="0.25">
      <c r="A2892" t="str">
        <f>"3648"</f>
        <v>3648</v>
      </c>
      <c r="B2892" t="str">
        <f t="shared" si="184"/>
        <v>1</v>
      </c>
      <c r="C2892" t="str">
        <f t="shared" si="186"/>
        <v>154</v>
      </c>
      <c r="D2892" t="str">
        <f>"12"</f>
        <v>12</v>
      </c>
      <c r="E2892" t="str">
        <f>"1-154-12"</f>
        <v>1-154-12</v>
      </c>
      <c r="F2892" t="s">
        <v>15</v>
      </c>
      <c r="G2892" t="s">
        <v>20</v>
      </c>
      <c r="H2892" t="s">
        <v>21</v>
      </c>
      <c r="I2892">
        <v>0</v>
      </c>
      <c r="J2892">
        <v>0</v>
      </c>
      <c r="K2892">
        <v>1</v>
      </c>
    </row>
    <row r="2893" spans="1:11" x14ac:dyDescent="0.25">
      <c r="A2893" t="str">
        <f>"3649"</f>
        <v>3649</v>
      </c>
      <c r="B2893" t="str">
        <f t="shared" si="184"/>
        <v>1</v>
      </c>
      <c r="C2893" t="str">
        <f t="shared" si="186"/>
        <v>154</v>
      </c>
      <c r="D2893" t="str">
        <f>"11"</f>
        <v>11</v>
      </c>
      <c r="E2893" t="str">
        <f>"1-154-11"</f>
        <v>1-154-11</v>
      </c>
      <c r="F2893" t="s">
        <v>15</v>
      </c>
      <c r="G2893" t="s">
        <v>20</v>
      </c>
      <c r="H2893" t="s">
        <v>21</v>
      </c>
      <c r="I2893">
        <v>0</v>
      </c>
      <c r="J2893">
        <v>1</v>
      </c>
      <c r="K2893">
        <v>0</v>
      </c>
    </row>
    <row r="2894" spans="1:11" x14ac:dyDescent="0.25">
      <c r="A2894" t="str">
        <f>"3650"</f>
        <v>3650</v>
      </c>
      <c r="B2894" t="str">
        <f t="shared" si="184"/>
        <v>1</v>
      </c>
      <c r="C2894" t="str">
        <f t="shared" si="186"/>
        <v>154</v>
      </c>
      <c r="D2894" t="str">
        <f>"3"</f>
        <v>3</v>
      </c>
      <c r="E2894" t="str">
        <f>"1-154-3"</f>
        <v>1-154-3</v>
      </c>
      <c r="F2894" t="s">
        <v>15</v>
      </c>
      <c r="G2894" t="s">
        <v>20</v>
      </c>
      <c r="H2894" t="s">
        <v>21</v>
      </c>
      <c r="I2894">
        <v>0</v>
      </c>
      <c r="J2894">
        <v>0</v>
      </c>
      <c r="K2894">
        <v>1</v>
      </c>
    </row>
    <row r="2895" spans="1:11" x14ac:dyDescent="0.25">
      <c r="A2895" t="str">
        <f>"3651"</f>
        <v>3651</v>
      </c>
      <c r="B2895" t="str">
        <f t="shared" si="184"/>
        <v>1</v>
      </c>
      <c r="C2895" t="str">
        <f t="shared" si="186"/>
        <v>154</v>
      </c>
      <c r="D2895" t="str">
        <f>"8"</f>
        <v>8</v>
      </c>
      <c r="E2895" t="str">
        <f>"1-154-8"</f>
        <v>1-154-8</v>
      </c>
      <c r="F2895" t="s">
        <v>15</v>
      </c>
      <c r="G2895" t="s">
        <v>20</v>
      </c>
      <c r="H2895" t="s">
        <v>21</v>
      </c>
      <c r="I2895">
        <v>0</v>
      </c>
      <c r="J2895">
        <v>0</v>
      </c>
      <c r="K2895">
        <v>0</v>
      </c>
    </row>
    <row r="2896" spans="1:11" x14ac:dyDescent="0.25">
      <c r="A2896" t="str">
        <f>"3652"</f>
        <v>3652</v>
      </c>
      <c r="B2896" t="str">
        <f t="shared" si="184"/>
        <v>1</v>
      </c>
      <c r="C2896" t="str">
        <f t="shared" si="186"/>
        <v>154</v>
      </c>
      <c r="D2896" t="str">
        <f>"9"</f>
        <v>9</v>
      </c>
      <c r="E2896" t="str">
        <f>"1-154-9"</f>
        <v>1-154-9</v>
      </c>
      <c r="F2896" t="s">
        <v>15</v>
      </c>
      <c r="G2896" t="s">
        <v>20</v>
      </c>
      <c r="H2896" t="s">
        <v>21</v>
      </c>
      <c r="I2896">
        <v>0</v>
      </c>
      <c r="J2896">
        <v>0</v>
      </c>
      <c r="K2896">
        <v>0</v>
      </c>
    </row>
    <row r="2897" spans="1:11" x14ac:dyDescent="0.25">
      <c r="A2897" t="str">
        <f>"3653"</f>
        <v>3653</v>
      </c>
      <c r="B2897" t="str">
        <f t="shared" si="184"/>
        <v>1</v>
      </c>
      <c r="C2897" t="str">
        <f t="shared" si="186"/>
        <v>154</v>
      </c>
      <c r="D2897" t="str">
        <f>"15"</f>
        <v>15</v>
      </c>
      <c r="E2897" t="str">
        <f>"1-154-15"</f>
        <v>1-154-15</v>
      </c>
      <c r="F2897" t="s">
        <v>15</v>
      </c>
      <c r="G2897" t="s">
        <v>20</v>
      </c>
      <c r="H2897" t="s">
        <v>21</v>
      </c>
      <c r="I2897">
        <v>0</v>
      </c>
      <c r="J2897">
        <v>0</v>
      </c>
      <c r="K2897">
        <v>0</v>
      </c>
    </row>
    <row r="2898" spans="1:11" x14ac:dyDescent="0.25">
      <c r="A2898" t="str">
        <f>"3654"</f>
        <v>3654</v>
      </c>
      <c r="B2898" t="str">
        <f t="shared" si="184"/>
        <v>1</v>
      </c>
      <c r="C2898" t="str">
        <f t="shared" ref="C2898:C2915" si="187">"155"</f>
        <v>155</v>
      </c>
      <c r="D2898" t="str">
        <f>"22"</f>
        <v>22</v>
      </c>
      <c r="E2898" t="str">
        <f>"1-155-22"</f>
        <v>1-155-22</v>
      </c>
      <c r="F2898" t="s">
        <v>15</v>
      </c>
      <c r="G2898" t="s">
        <v>18</v>
      </c>
      <c r="H2898" t="s">
        <v>19</v>
      </c>
      <c r="I2898">
        <v>0</v>
      </c>
      <c r="J2898">
        <v>0</v>
      </c>
      <c r="K2898">
        <v>1</v>
      </c>
    </row>
    <row r="2899" spans="1:11" x14ac:dyDescent="0.25">
      <c r="A2899" t="str">
        <f>"3655"</f>
        <v>3655</v>
      </c>
      <c r="B2899" t="str">
        <f t="shared" si="184"/>
        <v>1</v>
      </c>
      <c r="C2899" t="str">
        <f t="shared" si="187"/>
        <v>155</v>
      </c>
      <c r="D2899" t="str">
        <f>"15"</f>
        <v>15</v>
      </c>
      <c r="E2899" t="str">
        <f>"1-155-15"</f>
        <v>1-155-15</v>
      </c>
      <c r="F2899" t="s">
        <v>15</v>
      </c>
      <c r="G2899" t="s">
        <v>18</v>
      </c>
      <c r="H2899" t="s">
        <v>19</v>
      </c>
      <c r="I2899">
        <v>0</v>
      </c>
      <c r="J2899">
        <v>0</v>
      </c>
      <c r="K2899">
        <v>1</v>
      </c>
    </row>
    <row r="2900" spans="1:11" x14ac:dyDescent="0.25">
      <c r="A2900" t="str">
        <f>"3656"</f>
        <v>3656</v>
      </c>
      <c r="B2900" t="str">
        <f t="shared" si="184"/>
        <v>1</v>
      </c>
      <c r="C2900" t="str">
        <f t="shared" si="187"/>
        <v>155</v>
      </c>
      <c r="D2900" t="str">
        <f>"2"</f>
        <v>2</v>
      </c>
      <c r="E2900" t="str">
        <f>"1-155-2"</f>
        <v>1-155-2</v>
      </c>
      <c r="F2900" t="s">
        <v>15</v>
      </c>
      <c r="G2900" t="s">
        <v>18</v>
      </c>
      <c r="H2900" t="s">
        <v>19</v>
      </c>
      <c r="I2900">
        <v>0</v>
      </c>
      <c r="J2900">
        <v>0</v>
      </c>
      <c r="K2900">
        <v>1</v>
      </c>
    </row>
    <row r="2901" spans="1:11" x14ac:dyDescent="0.25">
      <c r="A2901" t="str">
        <f>"3658"</f>
        <v>3658</v>
      </c>
      <c r="B2901" t="str">
        <f t="shared" si="184"/>
        <v>1</v>
      </c>
      <c r="C2901" t="str">
        <f t="shared" si="187"/>
        <v>155</v>
      </c>
      <c r="D2901" t="str">
        <f>"16"</f>
        <v>16</v>
      </c>
      <c r="E2901" t="str">
        <f>"1-155-16"</f>
        <v>1-155-16</v>
      </c>
      <c r="F2901" t="s">
        <v>15</v>
      </c>
      <c r="G2901" t="s">
        <v>18</v>
      </c>
      <c r="H2901" t="s">
        <v>19</v>
      </c>
      <c r="I2901">
        <v>0</v>
      </c>
      <c r="J2901">
        <v>0</v>
      </c>
      <c r="K2901">
        <v>1</v>
      </c>
    </row>
    <row r="2902" spans="1:11" x14ac:dyDescent="0.25">
      <c r="A2902" t="str">
        <f>"3659"</f>
        <v>3659</v>
      </c>
      <c r="B2902" t="str">
        <f t="shared" si="184"/>
        <v>1</v>
      </c>
      <c r="C2902" t="str">
        <f t="shared" si="187"/>
        <v>155</v>
      </c>
      <c r="D2902" t="str">
        <f>"11"</f>
        <v>11</v>
      </c>
      <c r="E2902" t="str">
        <f>"1-155-11"</f>
        <v>1-155-11</v>
      </c>
      <c r="F2902" t="s">
        <v>15</v>
      </c>
      <c r="G2902" t="s">
        <v>18</v>
      </c>
      <c r="H2902" t="s">
        <v>19</v>
      </c>
      <c r="I2902">
        <v>0</v>
      </c>
      <c r="J2902">
        <v>1</v>
      </c>
      <c r="K2902">
        <v>0</v>
      </c>
    </row>
    <row r="2903" spans="1:11" x14ac:dyDescent="0.25">
      <c r="A2903" t="str">
        <f>"3661"</f>
        <v>3661</v>
      </c>
      <c r="B2903" t="str">
        <f t="shared" si="184"/>
        <v>1</v>
      </c>
      <c r="C2903" t="str">
        <f t="shared" si="187"/>
        <v>155</v>
      </c>
      <c r="D2903" t="str">
        <f>"6"</f>
        <v>6</v>
      </c>
      <c r="E2903" t="str">
        <f>"1-155-6"</f>
        <v>1-155-6</v>
      </c>
      <c r="F2903" t="s">
        <v>15</v>
      </c>
      <c r="G2903" t="s">
        <v>18</v>
      </c>
      <c r="H2903" t="s">
        <v>19</v>
      </c>
      <c r="I2903">
        <v>0</v>
      </c>
      <c r="J2903">
        <v>1</v>
      </c>
      <c r="K2903">
        <v>0</v>
      </c>
    </row>
    <row r="2904" spans="1:11" x14ac:dyDescent="0.25">
      <c r="A2904" t="str">
        <f>"3662"</f>
        <v>3662</v>
      </c>
      <c r="B2904" t="str">
        <f t="shared" si="184"/>
        <v>1</v>
      </c>
      <c r="C2904" t="str">
        <f t="shared" si="187"/>
        <v>155</v>
      </c>
      <c r="D2904" t="str">
        <f>"18"</f>
        <v>18</v>
      </c>
      <c r="E2904" t="str">
        <f>"1-155-18"</f>
        <v>1-155-18</v>
      </c>
      <c r="F2904" t="s">
        <v>15</v>
      </c>
      <c r="G2904" t="s">
        <v>18</v>
      </c>
      <c r="H2904" t="s">
        <v>19</v>
      </c>
      <c r="I2904">
        <v>0</v>
      </c>
      <c r="J2904">
        <v>1</v>
      </c>
      <c r="K2904">
        <v>0</v>
      </c>
    </row>
    <row r="2905" spans="1:11" x14ac:dyDescent="0.25">
      <c r="A2905" t="str">
        <f>"3667"</f>
        <v>3667</v>
      </c>
      <c r="B2905" t="str">
        <f t="shared" si="184"/>
        <v>1</v>
      </c>
      <c r="C2905" t="str">
        <f t="shared" si="187"/>
        <v>155</v>
      </c>
      <c r="D2905" t="str">
        <f>"21"</f>
        <v>21</v>
      </c>
      <c r="E2905" t="str">
        <f>"1-155-21"</f>
        <v>1-155-21</v>
      </c>
      <c r="F2905" t="s">
        <v>15</v>
      </c>
      <c r="G2905" t="s">
        <v>18</v>
      </c>
      <c r="H2905" t="s">
        <v>19</v>
      </c>
      <c r="I2905">
        <v>0</v>
      </c>
      <c r="J2905">
        <v>0</v>
      </c>
      <c r="K2905">
        <v>1</v>
      </c>
    </row>
    <row r="2906" spans="1:11" x14ac:dyDescent="0.25">
      <c r="A2906" t="str">
        <f>"3668"</f>
        <v>3668</v>
      </c>
      <c r="B2906" t="str">
        <f t="shared" si="184"/>
        <v>1</v>
      </c>
      <c r="C2906" t="str">
        <f t="shared" si="187"/>
        <v>155</v>
      </c>
      <c r="D2906" t="str">
        <f>"7"</f>
        <v>7</v>
      </c>
      <c r="E2906" t="str">
        <f>"1-155-7"</f>
        <v>1-155-7</v>
      </c>
      <c r="F2906" t="s">
        <v>15</v>
      </c>
      <c r="G2906" t="s">
        <v>18</v>
      </c>
      <c r="H2906" t="s">
        <v>19</v>
      </c>
      <c r="I2906">
        <v>0</v>
      </c>
      <c r="J2906">
        <v>0</v>
      </c>
      <c r="K2906">
        <v>1</v>
      </c>
    </row>
    <row r="2907" spans="1:11" x14ac:dyDescent="0.25">
      <c r="A2907" t="str">
        <f>"3670"</f>
        <v>3670</v>
      </c>
      <c r="B2907" t="str">
        <f t="shared" si="184"/>
        <v>1</v>
      </c>
      <c r="C2907" t="str">
        <f t="shared" si="187"/>
        <v>155</v>
      </c>
      <c r="D2907" t="str">
        <f>"3"</f>
        <v>3</v>
      </c>
      <c r="E2907" t="str">
        <f>"1-155-3"</f>
        <v>1-155-3</v>
      </c>
      <c r="F2907" t="s">
        <v>15</v>
      </c>
      <c r="G2907" t="s">
        <v>18</v>
      </c>
      <c r="H2907" t="s">
        <v>19</v>
      </c>
      <c r="I2907">
        <v>0</v>
      </c>
      <c r="J2907">
        <v>1</v>
      </c>
      <c r="K2907">
        <v>0</v>
      </c>
    </row>
    <row r="2908" spans="1:11" x14ac:dyDescent="0.25">
      <c r="A2908" t="str">
        <f>"3671"</f>
        <v>3671</v>
      </c>
      <c r="B2908" t="str">
        <f t="shared" si="184"/>
        <v>1</v>
      </c>
      <c r="C2908" t="str">
        <f t="shared" si="187"/>
        <v>155</v>
      </c>
      <c r="D2908" t="str">
        <f>"25"</f>
        <v>25</v>
      </c>
      <c r="E2908" t="str">
        <f>"1-155-25"</f>
        <v>1-155-25</v>
      </c>
      <c r="F2908" t="s">
        <v>15</v>
      </c>
      <c r="G2908" t="s">
        <v>18</v>
      </c>
      <c r="H2908" t="s">
        <v>19</v>
      </c>
      <c r="I2908">
        <v>0</v>
      </c>
      <c r="J2908">
        <v>0</v>
      </c>
      <c r="K2908">
        <v>1</v>
      </c>
    </row>
    <row r="2909" spans="1:11" x14ac:dyDescent="0.25">
      <c r="A2909" t="str">
        <f>"3672"</f>
        <v>3672</v>
      </c>
      <c r="B2909" t="str">
        <f t="shared" si="184"/>
        <v>1</v>
      </c>
      <c r="C2909" t="str">
        <f t="shared" si="187"/>
        <v>155</v>
      </c>
      <c r="D2909" t="str">
        <f>"12"</f>
        <v>12</v>
      </c>
      <c r="E2909" t="str">
        <f>"1-155-12"</f>
        <v>1-155-12</v>
      </c>
      <c r="F2909" t="s">
        <v>15</v>
      </c>
      <c r="G2909" t="s">
        <v>18</v>
      </c>
      <c r="H2909" t="s">
        <v>19</v>
      </c>
      <c r="I2909">
        <v>0</v>
      </c>
      <c r="J2909">
        <v>1</v>
      </c>
      <c r="K2909">
        <v>0</v>
      </c>
    </row>
    <row r="2910" spans="1:11" x14ac:dyDescent="0.25">
      <c r="A2910" t="str">
        <f>"3673"</f>
        <v>3673</v>
      </c>
      <c r="B2910" t="str">
        <f t="shared" si="184"/>
        <v>1</v>
      </c>
      <c r="C2910" t="str">
        <f t="shared" si="187"/>
        <v>155</v>
      </c>
      <c r="D2910" t="str">
        <f>"10"</f>
        <v>10</v>
      </c>
      <c r="E2910" t="str">
        <f>"1-155-10"</f>
        <v>1-155-10</v>
      </c>
      <c r="F2910" t="s">
        <v>15</v>
      </c>
      <c r="G2910" t="s">
        <v>18</v>
      </c>
      <c r="H2910" t="s">
        <v>19</v>
      </c>
      <c r="I2910">
        <v>0</v>
      </c>
      <c r="J2910">
        <v>0</v>
      </c>
      <c r="K2910">
        <v>1</v>
      </c>
    </row>
    <row r="2911" spans="1:11" x14ac:dyDescent="0.25">
      <c r="A2911" t="str">
        <f>"3674"</f>
        <v>3674</v>
      </c>
      <c r="B2911" t="str">
        <f t="shared" ref="B2911:B2963" si="188">"1"</f>
        <v>1</v>
      </c>
      <c r="C2911" t="str">
        <f t="shared" si="187"/>
        <v>155</v>
      </c>
      <c r="D2911" t="str">
        <f>"8"</f>
        <v>8</v>
      </c>
      <c r="E2911" t="str">
        <f>"1-155-8"</f>
        <v>1-155-8</v>
      </c>
      <c r="F2911" t="s">
        <v>15</v>
      </c>
      <c r="G2911" t="s">
        <v>18</v>
      </c>
      <c r="H2911" t="s">
        <v>19</v>
      </c>
      <c r="I2911">
        <v>0</v>
      </c>
      <c r="J2911">
        <v>0</v>
      </c>
      <c r="K2911">
        <v>1</v>
      </c>
    </row>
    <row r="2912" spans="1:11" x14ac:dyDescent="0.25">
      <c r="A2912" t="str">
        <f>"3675"</f>
        <v>3675</v>
      </c>
      <c r="B2912" t="str">
        <f t="shared" si="188"/>
        <v>1</v>
      </c>
      <c r="C2912" t="str">
        <f t="shared" si="187"/>
        <v>155</v>
      </c>
      <c r="D2912" t="str">
        <f>"13"</f>
        <v>13</v>
      </c>
      <c r="E2912" t="str">
        <f>"1-155-13"</f>
        <v>1-155-13</v>
      </c>
      <c r="F2912" t="s">
        <v>15</v>
      </c>
      <c r="G2912" t="s">
        <v>18</v>
      </c>
      <c r="H2912" t="s">
        <v>19</v>
      </c>
      <c r="I2912">
        <v>0</v>
      </c>
      <c r="J2912">
        <v>1</v>
      </c>
      <c r="K2912">
        <v>0</v>
      </c>
    </row>
    <row r="2913" spans="1:11" x14ac:dyDescent="0.25">
      <c r="A2913" t="str">
        <f>"3676"</f>
        <v>3676</v>
      </c>
      <c r="B2913" t="str">
        <f t="shared" si="188"/>
        <v>1</v>
      </c>
      <c r="C2913" t="str">
        <f t="shared" si="187"/>
        <v>155</v>
      </c>
      <c r="D2913" t="str">
        <f>"4"</f>
        <v>4</v>
      </c>
      <c r="E2913" t="str">
        <f>"1-155-4"</f>
        <v>1-155-4</v>
      </c>
      <c r="F2913" t="s">
        <v>15</v>
      </c>
      <c r="G2913" t="s">
        <v>18</v>
      </c>
      <c r="H2913" t="s">
        <v>19</v>
      </c>
      <c r="I2913">
        <v>0</v>
      </c>
      <c r="J2913">
        <v>1</v>
      </c>
      <c r="K2913">
        <v>0</v>
      </c>
    </row>
    <row r="2914" spans="1:11" x14ac:dyDescent="0.25">
      <c r="A2914" t="str">
        <f>"3677"</f>
        <v>3677</v>
      </c>
      <c r="B2914" t="str">
        <f t="shared" si="188"/>
        <v>1</v>
      </c>
      <c r="C2914" t="str">
        <f t="shared" si="187"/>
        <v>155</v>
      </c>
      <c r="D2914" t="str">
        <f>"5"</f>
        <v>5</v>
      </c>
      <c r="E2914" t="str">
        <f>"1-155-5"</f>
        <v>1-155-5</v>
      </c>
      <c r="F2914" t="s">
        <v>15</v>
      </c>
      <c r="G2914" t="s">
        <v>18</v>
      </c>
      <c r="H2914" t="s">
        <v>19</v>
      </c>
      <c r="I2914">
        <v>0</v>
      </c>
      <c r="J2914">
        <v>0</v>
      </c>
      <c r="K2914">
        <v>1</v>
      </c>
    </row>
    <row r="2915" spans="1:11" x14ac:dyDescent="0.25">
      <c r="A2915" t="str">
        <f>"3678"</f>
        <v>3678</v>
      </c>
      <c r="B2915" t="str">
        <f t="shared" si="188"/>
        <v>1</v>
      </c>
      <c r="C2915" t="str">
        <f t="shared" si="187"/>
        <v>155</v>
      </c>
      <c r="D2915" t="str">
        <f>"9"</f>
        <v>9</v>
      </c>
      <c r="E2915" t="str">
        <f>"1-155-9"</f>
        <v>1-155-9</v>
      </c>
      <c r="F2915" t="s">
        <v>15</v>
      </c>
      <c r="G2915" t="s">
        <v>18</v>
      </c>
      <c r="H2915" t="s">
        <v>19</v>
      </c>
      <c r="I2915">
        <v>0</v>
      </c>
      <c r="J2915">
        <v>0</v>
      </c>
      <c r="K2915">
        <v>0</v>
      </c>
    </row>
    <row r="2916" spans="1:11" x14ac:dyDescent="0.25">
      <c r="A2916" t="str">
        <f>"3679"</f>
        <v>3679</v>
      </c>
      <c r="B2916" t="str">
        <f t="shared" si="188"/>
        <v>1</v>
      </c>
      <c r="C2916" t="str">
        <f t="shared" ref="C2916:C2937" si="189">"156"</f>
        <v>156</v>
      </c>
      <c r="D2916" t="str">
        <f>"21"</f>
        <v>21</v>
      </c>
      <c r="E2916" t="str">
        <f>"1-156-21"</f>
        <v>1-156-21</v>
      </c>
      <c r="F2916" t="s">
        <v>15</v>
      </c>
      <c r="G2916" t="s">
        <v>16</v>
      </c>
      <c r="H2916" t="s">
        <v>17</v>
      </c>
      <c r="I2916">
        <v>0</v>
      </c>
      <c r="J2916">
        <v>0</v>
      </c>
      <c r="K2916">
        <v>1</v>
      </c>
    </row>
    <row r="2917" spans="1:11" x14ac:dyDescent="0.25">
      <c r="A2917" t="str">
        <f>"3680"</f>
        <v>3680</v>
      </c>
      <c r="B2917" t="str">
        <f t="shared" si="188"/>
        <v>1</v>
      </c>
      <c r="C2917" t="str">
        <f t="shared" si="189"/>
        <v>156</v>
      </c>
      <c r="D2917" t="str">
        <f>"15"</f>
        <v>15</v>
      </c>
      <c r="E2917" t="str">
        <f>"1-156-15"</f>
        <v>1-156-15</v>
      </c>
      <c r="F2917" t="s">
        <v>15</v>
      </c>
      <c r="G2917" t="s">
        <v>16</v>
      </c>
      <c r="H2917" t="s">
        <v>17</v>
      </c>
      <c r="I2917">
        <v>1</v>
      </c>
      <c r="J2917">
        <v>0</v>
      </c>
      <c r="K2917">
        <v>0</v>
      </c>
    </row>
    <row r="2918" spans="1:11" x14ac:dyDescent="0.25">
      <c r="A2918" t="str">
        <f>"3683"</f>
        <v>3683</v>
      </c>
      <c r="B2918" t="str">
        <f t="shared" si="188"/>
        <v>1</v>
      </c>
      <c r="C2918" t="str">
        <f t="shared" si="189"/>
        <v>156</v>
      </c>
      <c r="D2918" t="str">
        <f>"16"</f>
        <v>16</v>
      </c>
      <c r="E2918" t="str">
        <f>"1-156-16"</f>
        <v>1-156-16</v>
      </c>
      <c r="F2918" t="s">
        <v>15</v>
      </c>
      <c r="G2918" t="s">
        <v>18</v>
      </c>
      <c r="H2918" t="s">
        <v>19</v>
      </c>
      <c r="I2918">
        <v>0</v>
      </c>
      <c r="J2918">
        <v>0</v>
      </c>
      <c r="K2918">
        <v>1</v>
      </c>
    </row>
    <row r="2919" spans="1:11" x14ac:dyDescent="0.25">
      <c r="A2919" t="str">
        <f>"3684"</f>
        <v>3684</v>
      </c>
      <c r="B2919" t="str">
        <f t="shared" si="188"/>
        <v>1</v>
      </c>
      <c r="C2919" t="str">
        <f t="shared" si="189"/>
        <v>156</v>
      </c>
      <c r="D2919" t="str">
        <f>"3"</f>
        <v>3</v>
      </c>
      <c r="E2919" t="str">
        <f>"1-156-3"</f>
        <v>1-156-3</v>
      </c>
      <c r="F2919" t="s">
        <v>15</v>
      </c>
      <c r="G2919" t="s">
        <v>18</v>
      </c>
      <c r="H2919" t="s">
        <v>19</v>
      </c>
      <c r="I2919">
        <v>1</v>
      </c>
      <c r="J2919">
        <v>0</v>
      </c>
      <c r="K2919">
        <v>0</v>
      </c>
    </row>
    <row r="2920" spans="1:11" x14ac:dyDescent="0.25">
      <c r="A2920" t="str">
        <f>"3685"</f>
        <v>3685</v>
      </c>
      <c r="B2920" t="str">
        <f t="shared" si="188"/>
        <v>1</v>
      </c>
      <c r="C2920" t="str">
        <f t="shared" si="189"/>
        <v>156</v>
      </c>
      <c r="D2920" t="str">
        <f>"17"</f>
        <v>17</v>
      </c>
      <c r="E2920" t="str">
        <f>"1-156-17"</f>
        <v>1-156-17</v>
      </c>
      <c r="F2920" t="s">
        <v>15</v>
      </c>
      <c r="G2920" t="s">
        <v>18</v>
      </c>
      <c r="H2920" t="s">
        <v>19</v>
      </c>
      <c r="I2920">
        <v>0</v>
      </c>
      <c r="J2920">
        <v>0</v>
      </c>
      <c r="K2920">
        <v>1</v>
      </c>
    </row>
    <row r="2921" spans="1:11" x14ac:dyDescent="0.25">
      <c r="A2921" t="str">
        <f>"3686"</f>
        <v>3686</v>
      </c>
      <c r="B2921" t="str">
        <f t="shared" si="188"/>
        <v>1</v>
      </c>
      <c r="C2921" t="str">
        <f t="shared" si="189"/>
        <v>156</v>
      </c>
      <c r="D2921" t="str">
        <f>"9"</f>
        <v>9</v>
      </c>
      <c r="E2921" t="str">
        <f>"1-156-9"</f>
        <v>1-156-9</v>
      </c>
      <c r="F2921" t="s">
        <v>15</v>
      </c>
      <c r="G2921" t="s">
        <v>16</v>
      </c>
      <c r="H2921" t="s">
        <v>17</v>
      </c>
      <c r="I2921">
        <v>0</v>
      </c>
      <c r="J2921">
        <v>1</v>
      </c>
      <c r="K2921">
        <v>0</v>
      </c>
    </row>
    <row r="2922" spans="1:11" x14ac:dyDescent="0.25">
      <c r="A2922" t="str">
        <f>"3687"</f>
        <v>3687</v>
      </c>
      <c r="B2922" t="str">
        <f t="shared" si="188"/>
        <v>1</v>
      </c>
      <c r="C2922" t="str">
        <f t="shared" si="189"/>
        <v>156</v>
      </c>
      <c r="D2922" t="str">
        <f>"18"</f>
        <v>18</v>
      </c>
      <c r="E2922" t="str">
        <f>"1-156-18"</f>
        <v>1-156-18</v>
      </c>
      <c r="F2922" t="s">
        <v>15</v>
      </c>
      <c r="G2922" t="s">
        <v>16</v>
      </c>
      <c r="H2922" t="s">
        <v>17</v>
      </c>
      <c r="I2922">
        <v>0</v>
      </c>
      <c r="J2922">
        <v>1</v>
      </c>
      <c r="K2922">
        <v>0</v>
      </c>
    </row>
    <row r="2923" spans="1:11" x14ac:dyDescent="0.25">
      <c r="A2923" t="str">
        <f>"3688"</f>
        <v>3688</v>
      </c>
      <c r="B2923" t="str">
        <f t="shared" si="188"/>
        <v>1</v>
      </c>
      <c r="C2923" t="str">
        <f t="shared" si="189"/>
        <v>156</v>
      </c>
      <c r="D2923" t="str">
        <f>"10"</f>
        <v>10</v>
      </c>
      <c r="E2923" t="str">
        <f>"1-156-10"</f>
        <v>1-156-10</v>
      </c>
      <c r="F2923" t="s">
        <v>15</v>
      </c>
      <c r="G2923" t="s">
        <v>16</v>
      </c>
      <c r="H2923" t="s">
        <v>17</v>
      </c>
      <c r="I2923">
        <v>0</v>
      </c>
      <c r="J2923">
        <v>0</v>
      </c>
      <c r="K2923">
        <v>1</v>
      </c>
    </row>
    <row r="2924" spans="1:11" x14ac:dyDescent="0.25">
      <c r="A2924" t="str">
        <f>"3689"</f>
        <v>3689</v>
      </c>
      <c r="B2924" t="str">
        <f t="shared" si="188"/>
        <v>1</v>
      </c>
      <c r="C2924" t="str">
        <f t="shared" si="189"/>
        <v>156</v>
      </c>
      <c r="D2924" t="str">
        <f>"19"</f>
        <v>19</v>
      </c>
      <c r="E2924" t="str">
        <f>"1-156-19"</f>
        <v>1-156-19</v>
      </c>
      <c r="F2924" t="s">
        <v>15</v>
      </c>
      <c r="G2924" t="s">
        <v>18</v>
      </c>
      <c r="H2924" t="s">
        <v>19</v>
      </c>
      <c r="I2924">
        <v>0</v>
      </c>
      <c r="J2924">
        <v>0</v>
      </c>
      <c r="K2924">
        <v>1</v>
      </c>
    </row>
    <row r="2925" spans="1:11" x14ac:dyDescent="0.25">
      <c r="A2925" t="str">
        <f>"3691"</f>
        <v>3691</v>
      </c>
      <c r="B2925" t="str">
        <f t="shared" si="188"/>
        <v>1</v>
      </c>
      <c r="C2925" t="str">
        <f t="shared" si="189"/>
        <v>156</v>
      </c>
      <c r="D2925" t="str">
        <f>"20"</f>
        <v>20</v>
      </c>
      <c r="E2925" t="str">
        <f>"1-156-20"</f>
        <v>1-156-20</v>
      </c>
      <c r="F2925" t="s">
        <v>15</v>
      </c>
      <c r="G2925" t="s">
        <v>16</v>
      </c>
      <c r="H2925" t="s">
        <v>17</v>
      </c>
      <c r="I2925">
        <v>0</v>
      </c>
      <c r="J2925">
        <v>1</v>
      </c>
      <c r="K2925">
        <v>0</v>
      </c>
    </row>
    <row r="2926" spans="1:11" x14ac:dyDescent="0.25">
      <c r="A2926" t="str">
        <f>"3693"</f>
        <v>3693</v>
      </c>
      <c r="B2926" t="str">
        <f t="shared" si="188"/>
        <v>1</v>
      </c>
      <c r="C2926" t="str">
        <f t="shared" si="189"/>
        <v>156</v>
      </c>
      <c r="D2926" t="str">
        <f>"22"</f>
        <v>22</v>
      </c>
      <c r="E2926" t="str">
        <f>"1-156-22"</f>
        <v>1-156-22</v>
      </c>
      <c r="F2926" t="s">
        <v>15</v>
      </c>
      <c r="G2926" t="s">
        <v>16</v>
      </c>
      <c r="H2926" t="s">
        <v>17</v>
      </c>
      <c r="I2926">
        <v>0</v>
      </c>
      <c r="J2926">
        <v>0</v>
      </c>
      <c r="K2926">
        <v>1</v>
      </c>
    </row>
    <row r="2927" spans="1:11" x14ac:dyDescent="0.25">
      <c r="A2927" t="str">
        <f>"3694"</f>
        <v>3694</v>
      </c>
      <c r="B2927" t="str">
        <f t="shared" si="188"/>
        <v>1</v>
      </c>
      <c r="C2927" t="str">
        <f t="shared" si="189"/>
        <v>156</v>
      </c>
      <c r="D2927" t="str">
        <f>"23"</f>
        <v>23</v>
      </c>
      <c r="E2927" t="str">
        <f>"1-156-23"</f>
        <v>1-156-23</v>
      </c>
      <c r="F2927" t="s">
        <v>15</v>
      </c>
      <c r="G2927" t="s">
        <v>18</v>
      </c>
      <c r="H2927" t="s">
        <v>19</v>
      </c>
      <c r="I2927">
        <v>0</v>
      </c>
      <c r="J2927">
        <v>1</v>
      </c>
      <c r="K2927">
        <v>0</v>
      </c>
    </row>
    <row r="2928" spans="1:11" x14ac:dyDescent="0.25">
      <c r="A2928" t="str">
        <f>"3695"</f>
        <v>3695</v>
      </c>
      <c r="B2928" t="str">
        <f t="shared" si="188"/>
        <v>1</v>
      </c>
      <c r="C2928" t="str">
        <f t="shared" si="189"/>
        <v>156</v>
      </c>
      <c r="D2928" t="str">
        <f>"7"</f>
        <v>7</v>
      </c>
      <c r="E2928" t="str">
        <f>"1-156-7"</f>
        <v>1-156-7</v>
      </c>
      <c r="F2928" t="s">
        <v>15</v>
      </c>
      <c r="G2928" t="s">
        <v>16</v>
      </c>
      <c r="H2928" t="s">
        <v>17</v>
      </c>
      <c r="I2928">
        <v>0</v>
      </c>
      <c r="J2928">
        <v>1</v>
      </c>
      <c r="K2928">
        <v>0</v>
      </c>
    </row>
    <row r="2929" spans="1:11" x14ac:dyDescent="0.25">
      <c r="A2929" t="str">
        <f>"3696"</f>
        <v>3696</v>
      </c>
      <c r="B2929" t="str">
        <f t="shared" si="188"/>
        <v>1</v>
      </c>
      <c r="C2929" t="str">
        <f t="shared" si="189"/>
        <v>156</v>
      </c>
      <c r="D2929" t="str">
        <f>"24"</f>
        <v>24</v>
      </c>
      <c r="E2929" t="str">
        <f>"1-156-24"</f>
        <v>1-156-24</v>
      </c>
      <c r="F2929" t="s">
        <v>15</v>
      </c>
      <c r="G2929" t="s">
        <v>18</v>
      </c>
      <c r="H2929" t="s">
        <v>19</v>
      </c>
      <c r="I2929">
        <v>0</v>
      </c>
      <c r="J2929">
        <v>1</v>
      </c>
      <c r="K2929">
        <v>0</v>
      </c>
    </row>
    <row r="2930" spans="1:11" x14ac:dyDescent="0.25">
      <c r="A2930" t="str">
        <f>"3697"</f>
        <v>3697</v>
      </c>
      <c r="B2930" t="str">
        <f t="shared" si="188"/>
        <v>1</v>
      </c>
      <c r="C2930" t="str">
        <f t="shared" si="189"/>
        <v>156</v>
      </c>
      <c r="D2930" t="str">
        <f>"12"</f>
        <v>12</v>
      </c>
      <c r="E2930" t="str">
        <f>"1-156-12"</f>
        <v>1-156-12</v>
      </c>
      <c r="F2930" t="s">
        <v>15</v>
      </c>
      <c r="G2930" t="s">
        <v>16</v>
      </c>
      <c r="H2930" t="s">
        <v>17</v>
      </c>
      <c r="I2930">
        <v>0</v>
      </c>
      <c r="J2930">
        <v>1</v>
      </c>
      <c r="K2930">
        <v>0</v>
      </c>
    </row>
    <row r="2931" spans="1:11" x14ac:dyDescent="0.25">
      <c r="A2931" t="str">
        <f>"3698"</f>
        <v>3698</v>
      </c>
      <c r="B2931" t="str">
        <f t="shared" si="188"/>
        <v>1</v>
      </c>
      <c r="C2931" t="str">
        <f t="shared" si="189"/>
        <v>156</v>
      </c>
      <c r="D2931" t="str">
        <f>"25"</f>
        <v>25</v>
      </c>
      <c r="E2931" t="str">
        <f>"1-156-25"</f>
        <v>1-156-25</v>
      </c>
      <c r="F2931" t="s">
        <v>15</v>
      </c>
      <c r="G2931" t="s">
        <v>16</v>
      </c>
      <c r="H2931" t="s">
        <v>17</v>
      </c>
      <c r="I2931">
        <v>0</v>
      </c>
      <c r="J2931">
        <v>0</v>
      </c>
      <c r="K2931">
        <v>1</v>
      </c>
    </row>
    <row r="2932" spans="1:11" x14ac:dyDescent="0.25">
      <c r="A2932" t="str">
        <f>"3700"</f>
        <v>3700</v>
      </c>
      <c r="B2932" t="str">
        <f t="shared" si="188"/>
        <v>1</v>
      </c>
      <c r="C2932" t="str">
        <f t="shared" si="189"/>
        <v>156</v>
      </c>
      <c r="D2932" t="str">
        <f>"2"</f>
        <v>2</v>
      </c>
      <c r="E2932" t="str">
        <f>"1-156-2"</f>
        <v>1-156-2</v>
      </c>
      <c r="F2932" t="s">
        <v>15</v>
      </c>
      <c r="G2932" t="s">
        <v>18</v>
      </c>
      <c r="H2932" t="s">
        <v>19</v>
      </c>
      <c r="I2932">
        <v>1</v>
      </c>
      <c r="J2932">
        <v>0</v>
      </c>
      <c r="K2932">
        <v>0</v>
      </c>
    </row>
    <row r="2933" spans="1:11" x14ac:dyDescent="0.25">
      <c r="A2933" t="str">
        <f>"3701"</f>
        <v>3701</v>
      </c>
      <c r="B2933" t="str">
        <f t="shared" si="188"/>
        <v>1</v>
      </c>
      <c r="C2933" t="str">
        <f t="shared" si="189"/>
        <v>156</v>
      </c>
      <c r="D2933" t="str">
        <f>"11"</f>
        <v>11</v>
      </c>
      <c r="E2933" t="str">
        <f>"1-156-11"</f>
        <v>1-156-11</v>
      </c>
      <c r="F2933" t="s">
        <v>15</v>
      </c>
      <c r="G2933" t="s">
        <v>16</v>
      </c>
      <c r="H2933" t="s">
        <v>17</v>
      </c>
      <c r="I2933">
        <v>1</v>
      </c>
      <c r="J2933">
        <v>0</v>
      </c>
      <c r="K2933">
        <v>0</v>
      </c>
    </row>
    <row r="2934" spans="1:11" x14ac:dyDescent="0.25">
      <c r="A2934" t="str">
        <f>"3702"</f>
        <v>3702</v>
      </c>
      <c r="B2934" t="str">
        <f t="shared" si="188"/>
        <v>1</v>
      </c>
      <c r="C2934" t="str">
        <f t="shared" si="189"/>
        <v>156</v>
      </c>
      <c r="D2934" t="str">
        <f>"6"</f>
        <v>6</v>
      </c>
      <c r="E2934" t="str">
        <f>"1-156-6"</f>
        <v>1-156-6</v>
      </c>
      <c r="F2934" t="s">
        <v>15</v>
      </c>
      <c r="G2934" t="s">
        <v>16</v>
      </c>
      <c r="H2934" t="s">
        <v>17</v>
      </c>
      <c r="I2934">
        <v>0</v>
      </c>
      <c r="J2934">
        <v>0</v>
      </c>
      <c r="K2934">
        <v>1</v>
      </c>
    </row>
    <row r="2935" spans="1:11" x14ac:dyDescent="0.25">
      <c r="A2935" t="str">
        <f>"3703"</f>
        <v>3703</v>
      </c>
      <c r="B2935" t="str">
        <f t="shared" si="188"/>
        <v>1</v>
      </c>
      <c r="C2935" t="str">
        <f t="shared" si="189"/>
        <v>156</v>
      </c>
      <c r="D2935" t="str">
        <f>"5"</f>
        <v>5</v>
      </c>
      <c r="E2935" t="str">
        <f>"1-156-5"</f>
        <v>1-156-5</v>
      </c>
      <c r="F2935" t="s">
        <v>15</v>
      </c>
      <c r="G2935" t="s">
        <v>16</v>
      </c>
      <c r="H2935" t="s">
        <v>17</v>
      </c>
      <c r="I2935">
        <v>1</v>
      </c>
      <c r="J2935">
        <v>0</v>
      </c>
      <c r="K2935">
        <v>0</v>
      </c>
    </row>
    <row r="2936" spans="1:11" x14ac:dyDescent="0.25">
      <c r="A2936" t="str">
        <f>"3704"</f>
        <v>3704</v>
      </c>
      <c r="B2936" t="str">
        <f t="shared" si="188"/>
        <v>1</v>
      </c>
      <c r="C2936" t="str">
        <f t="shared" si="189"/>
        <v>156</v>
      </c>
      <c r="D2936" t="str">
        <f>"4"</f>
        <v>4</v>
      </c>
      <c r="E2936" t="str">
        <f>"1-156-4"</f>
        <v>1-156-4</v>
      </c>
      <c r="F2936" t="s">
        <v>15</v>
      </c>
      <c r="G2936" t="s">
        <v>16</v>
      </c>
      <c r="H2936" t="s">
        <v>17</v>
      </c>
      <c r="I2936">
        <v>0</v>
      </c>
      <c r="J2936">
        <v>0</v>
      </c>
      <c r="K2936">
        <v>0</v>
      </c>
    </row>
    <row r="2937" spans="1:11" x14ac:dyDescent="0.25">
      <c r="A2937" t="str">
        <f>"3705"</f>
        <v>3705</v>
      </c>
      <c r="B2937" t="str">
        <f t="shared" si="188"/>
        <v>1</v>
      </c>
      <c r="C2937" t="str">
        <f t="shared" si="189"/>
        <v>156</v>
      </c>
      <c r="D2937" t="str">
        <f>"13"</f>
        <v>13</v>
      </c>
      <c r="E2937" t="str">
        <f>"1-156-13"</f>
        <v>1-156-13</v>
      </c>
      <c r="F2937" t="s">
        <v>15</v>
      </c>
      <c r="G2937" t="s">
        <v>16</v>
      </c>
      <c r="H2937" t="s">
        <v>17</v>
      </c>
      <c r="I2937">
        <v>0</v>
      </c>
      <c r="J2937">
        <v>0</v>
      </c>
      <c r="K2937">
        <v>0</v>
      </c>
    </row>
    <row r="2938" spans="1:11" x14ac:dyDescent="0.25">
      <c r="A2938" t="str">
        <f>"3706"</f>
        <v>3706</v>
      </c>
      <c r="B2938" t="str">
        <f t="shared" si="188"/>
        <v>1</v>
      </c>
      <c r="C2938" t="str">
        <f t="shared" ref="C2938:C2953" si="190">"157"</f>
        <v>157</v>
      </c>
      <c r="D2938" t="str">
        <f>"15"</f>
        <v>15</v>
      </c>
      <c r="E2938" t="str">
        <f>"1-157-15"</f>
        <v>1-157-15</v>
      </c>
      <c r="F2938" t="s">
        <v>15</v>
      </c>
      <c r="G2938" t="s">
        <v>18</v>
      </c>
      <c r="H2938" t="s">
        <v>19</v>
      </c>
      <c r="I2938">
        <v>0</v>
      </c>
      <c r="J2938">
        <v>1</v>
      </c>
      <c r="K2938">
        <v>0</v>
      </c>
    </row>
    <row r="2939" spans="1:11" x14ac:dyDescent="0.25">
      <c r="A2939" t="str">
        <f>"3708"</f>
        <v>3708</v>
      </c>
      <c r="B2939" t="str">
        <f t="shared" si="188"/>
        <v>1</v>
      </c>
      <c r="C2939" t="str">
        <f t="shared" si="190"/>
        <v>157</v>
      </c>
      <c r="D2939" t="str">
        <f>"16"</f>
        <v>16</v>
      </c>
      <c r="E2939" t="str">
        <f>"1-157-16"</f>
        <v>1-157-16</v>
      </c>
      <c r="F2939" t="s">
        <v>15</v>
      </c>
      <c r="G2939" t="s">
        <v>18</v>
      </c>
      <c r="H2939" t="s">
        <v>19</v>
      </c>
      <c r="I2939">
        <v>1</v>
      </c>
      <c r="J2939">
        <v>0</v>
      </c>
      <c r="K2939">
        <v>0</v>
      </c>
    </row>
    <row r="2940" spans="1:11" x14ac:dyDescent="0.25">
      <c r="A2940" t="str">
        <f>"3709"</f>
        <v>3709</v>
      </c>
      <c r="B2940" t="str">
        <f t="shared" si="188"/>
        <v>1</v>
      </c>
      <c r="C2940" t="str">
        <f t="shared" si="190"/>
        <v>157</v>
      </c>
      <c r="D2940" t="str">
        <f>"4"</f>
        <v>4</v>
      </c>
      <c r="E2940" t="str">
        <f>"1-157-4"</f>
        <v>1-157-4</v>
      </c>
      <c r="F2940" t="s">
        <v>15</v>
      </c>
      <c r="G2940" t="s">
        <v>16</v>
      </c>
      <c r="H2940" t="s">
        <v>17</v>
      </c>
      <c r="I2940">
        <v>1</v>
      </c>
      <c r="J2940">
        <v>0</v>
      </c>
      <c r="K2940">
        <v>0</v>
      </c>
    </row>
    <row r="2941" spans="1:11" x14ac:dyDescent="0.25">
      <c r="A2941" t="str">
        <f>"3710"</f>
        <v>3710</v>
      </c>
      <c r="B2941" t="str">
        <f t="shared" si="188"/>
        <v>1</v>
      </c>
      <c r="C2941" t="str">
        <f t="shared" si="190"/>
        <v>157</v>
      </c>
      <c r="D2941" t="str">
        <f>"17"</f>
        <v>17</v>
      </c>
      <c r="E2941" t="str">
        <f>"1-157-17"</f>
        <v>1-157-17</v>
      </c>
      <c r="F2941" t="s">
        <v>15</v>
      </c>
      <c r="G2941" t="s">
        <v>18</v>
      </c>
      <c r="H2941" t="s">
        <v>19</v>
      </c>
      <c r="I2941">
        <v>0</v>
      </c>
      <c r="J2941">
        <v>0</v>
      </c>
      <c r="K2941">
        <v>1</v>
      </c>
    </row>
    <row r="2942" spans="1:11" x14ac:dyDescent="0.25">
      <c r="A2942" t="str">
        <f>"3711"</f>
        <v>3711</v>
      </c>
      <c r="B2942" t="str">
        <f t="shared" si="188"/>
        <v>1</v>
      </c>
      <c r="C2942" t="str">
        <f t="shared" si="190"/>
        <v>157</v>
      </c>
      <c r="D2942" t="str">
        <f>"2"</f>
        <v>2</v>
      </c>
      <c r="E2942" t="str">
        <f>"1-157-2"</f>
        <v>1-157-2</v>
      </c>
      <c r="F2942" t="s">
        <v>15</v>
      </c>
      <c r="G2942" t="s">
        <v>18</v>
      </c>
      <c r="H2942" t="s">
        <v>19</v>
      </c>
      <c r="I2942">
        <v>0</v>
      </c>
      <c r="J2942">
        <v>0</v>
      </c>
      <c r="K2942">
        <v>1</v>
      </c>
    </row>
    <row r="2943" spans="1:11" x14ac:dyDescent="0.25">
      <c r="A2943" t="str">
        <f>"3712"</f>
        <v>3712</v>
      </c>
      <c r="B2943" t="str">
        <f t="shared" si="188"/>
        <v>1</v>
      </c>
      <c r="C2943" t="str">
        <f t="shared" si="190"/>
        <v>157</v>
      </c>
      <c r="D2943" t="str">
        <f>"18"</f>
        <v>18</v>
      </c>
      <c r="E2943" t="str">
        <f>"1-157-18"</f>
        <v>1-157-18</v>
      </c>
      <c r="F2943" t="s">
        <v>15</v>
      </c>
      <c r="G2943" t="s">
        <v>18</v>
      </c>
      <c r="H2943" t="s">
        <v>19</v>
      </c>
      <c r="I2943">
        <v>1</v>
      </c>
      <c r="J2943">
        <v>0</v>
      </c>
      <c r="K2943">
        <v>0</v>
      </c>
    </row>
    <row r="2944" spans="1:11" x14ac:dyDescent="0.25">
      <c r="A2944" t="str">
        <f>"3713"</f>
        <v>3713</v>
      </c>
      <c r="B2944" t="str">
        <f t="shared" si="188"/>
        <v>1</v>
      </c>
      <c r="C2944" t="str">
        <f t="shared" si="190"/>
        <v>157</v>
      </c>
      <c r="D2944" t="str">
        <f>"13"</f>
        <v>13</v>
      </c>
      <c r="E2944" t="str">
        <f>"1-157-13"</f>
        <v>1-157-13</v>
      </c>
      <c r="F2944" t="s">
        <v>15</v>
      </c>
      <c r="G2944" t="s">
        <v>16</v>
      </c>
      <c r="H2944" t="s">
        <v>17</v>
      </c>
      <c r="I2944">
        <v>1</v>
      </c>
      <c r="J2944">
        <v>0</v>
      </c>
      <c r="K2944">
        <v>0</v>
      </c>
    </row>
    <row r="2945" spans="1:11" x14ac:dyDescent="0.25">
      <c r="A2945" t="str">
        <f>"3714"</f>
        <v>3714</v>
      </c>
      <c r="B2945" t="str">
        <f t="shared" si="188"/>
        <v>1</v>
      </c>
      <c r="C2945" t="str">
        <f t="shared" si="190"/>
        <v>157</v>
      </c>
      <c r="D2945" t="str">
        <f>"19"</f>
        <v>19</v>
      </c>
      <c r="E2945" t="str">
        <f>"1-157-19"</f>
        <v>1-157-19</v>
      </c>
      <c r="F2945" t="s">
        <v>15</v>
      </c>
      <c r="G2945" t="s">
        <v>18</v>
      </c>
      <c r="H2945" t="s">
        <v>19</v>
      </c>
      <c r="I2945">
        <v>1</v>
      </c>
      <c r="J2945">
        <v>0</v>
      </c>
      <c r="K2945">
        <v>0</v>
      </c>
    </row>
    <row r="2946" spans="1:11" x14ac:dyDescent="0.25">
      <c r="A2946" t="str">
        <f>"3717"</f>
        <v>3717</v>
      </c>
      <c r="B2946" t="str">
        <f t="shared" si="188"/>
        <v>1</v>
      </c>
      <c r="C2946" t="str">
        <f t="shared" si="190"/>
        <v>157</v>
      </c>
      <c r="D2946" t="str">
        <f>"1"</f>
        <v>1</v>
      </c>
      <c r="E2946" t="str">
        <f>"1-157-1"</f>
        <v>1-157-1</v>
      </c>
      <c r="F2946" t="s">
        <v>15</v>
      </c>
      <c r="G2946" t="s">
        <v>18</v>
      </c>
      <c r="H2946" t="s">
        <v>19</v>
      </c>
      <c r="I2946">
        <v>0</v>
      </c>
      <c r="J2946">
        <v>0</v>
      </c>
      <c r="K2946">
        <v>1</v>
      </c>
    </row>
    <row r="2947" spans="1:11" x14ac:dyDescent="0.25">
      <c r="A2947" t="str">
        <f>"3718"</f>
        <v>3718</v>
      </c>
      <c r="B2947" t="str">
        <f t="shared" si="188"/>
        <v>1</v>
      </c>
      <c r="C2947" t="str">
        <f t="shared" si="190"/>
        <v>157</v>
      </c>
      <c r="D2947" t="str">
        <f>"8"</f>
        <v>8</v>
      </c>
      <c r="E2947" t="str">
        <f>"1-157-8"</f>
        <v>1-157-8</v>
      </c>
      <c r="F2947" t="s">
        <v>15</v>
      </c>
      <c r="G2947" t="s">
        <v>18</v>
      </c>
      <c r="H2947" t="s">
        <v>19</v>
      </c>
      <c r="I2947">
        <v>1</v>
      </c>
      <c r="J2947">
        <v>0</v>
      </c>
      <c r="K2947">
        <v>0</v>
      </c>
    </row>
    <row r="2948" spans="1:11" x14ac:dyDescent="0.25">
      <c r="A2948" t="str">
        <f>"3719"</f>
        <v>3719</v>
      </c>
      <c r="B2948" t="str">
        <f t="shared" si="188"/>
        <v>1</v>
      </c>
      <c r="C2948" t="str">
        <f t="shared" si="190"/>
        <v>157</v>
      </c>
      <c r="D2948" t="str">
        <f>"9"</f>
        <v>9</v>
      </c>
      <c r="E2948" t="str">
        <f>"1-157-9"</f>
        <v>1-157-9</v>
      </c>
      <c r="F2948" t="s">
        <v>15</v>
      </c>
      <c r="G2948" t="s">
        <v>18</v>
      </c>
      <c r="H2948" t="s">
        <v>19</v>
      </c>
      <c r="I2948">
        <v>1</v>
      </c>
      <c r="J2948">
        <v>0</v>
      </c>
      <c r="K2948">
        <v>0</v>
      </c>
    </row>
    <row r="2949" spans="1:11" x14ac:dyDescent="0.25">
      <c r="A2949" t="str">
        <f>"3720"</f>
        <v>3720</v>
      </c>
      <c r="B2949" t="str">
        <f t="shared" si="188"/>
        <v>1</v>
      </c>
      <c r="C2949" t="str">
        <f t="shared" si="190"/>
        <v>157</v>
      </c>
      <c r="D2949" t="str">
        <f>"6"</f>
        <v>6</v>
      </c>
      <c r="E2949" t="str">
        <f>"1-157-6"</f>
        <v>1-157-6</v>
      </c>
      <c r="F2949" t="s">
        <v>15</v>
      </c>
      <c r="G2949" t="s">
        <v>18</v>
      </c>
      <c r="H2949" t="s">
        <v>19</v>
      </c>
      <c r="I2949">
        <v>0</v>
      </c>
      <c r="J2949">
        <v>1</v>
      </c>
      <c r="K2949">
        <v>0</v>
      </c>
    </row>
    <row r="2950" spans="1:11" x14ac:dyDescent="0.25">
      <c r="A2950" t="str">
        <f>"3721"</f>
        <v>3721</v>
      </c>
      <c r="B2950" t="str">
        <f t="shared" si="188"/>
        <v>1</v>
      </c>
      <c r="C2950" t="str">
        <f t="shared" si="190"/>
        <v>157</v>
      </c>
      <c r="D2950" t="str">
        <f>"7"</f>
        <v>7</v>
      </c>
      <c r="E2950" t="str">
        <f>"1-157-7"</f>
        <v>1-157-7</v>
      </c>
      <c r="F2950" t="s">
        <v>15</v>
      </c>
      <c r="G2950" t="s">
        <v>18</v>
      </c>
      <c r="H2950" t="s">
        <v>19</v>
      </c>
      <c r="I2950">
        <v>0</v>
      </c>
      <c r="J2950">
        <v>0</v>
      </c>
      <c r="K2950">
        <v>1</v>
      </c>
    </row>
    <row r="2951" spans="1:11" x14ac:dyDescent="0.25">
      <c r="A2951" t="str">
        <f>"3722"</f>
        <v>3722</v>
      </c>
      <c r="B2951" t="str">
        <f t="shared" si="188"/>
        <v>1</v>
      </c>
      <c r="C2951" t="str">
        <f t="shared" si="190"/>
        <v>157</v>
      </c>
      <c r="D2951" t="str">
        <f>"10"</f>
        <v>10</v>
      </c>
      <c r="E2951" t="str">
        <f>"1-157-10"</f>
        <v>1-157-10</v>
      </c>
      <c r="F2951" t="s">
        <v>15</v>
      </c>
      <c r="G2951" t="s">
        <v>20</v>
      </c>
      <c r="H2951" t="s">
        <v>21</v>
      </c>
      <c r="I2951">
        <v>1</v>
      </c>
      <c r="J2951">
        <v>0</v>
      </c>
      <c r="K2951">
        <v>0</v>
      </c>
    </row>
    <row r="2952" spans="1:11" x14ac:dyDescent="0.25">
      <c r="A2952" t="str">
        <f>"3723"</f>
        <v>3723</v>
      </c>
      <c r="B2952" t="str">
        <f t="shared" si="188"/>
        <v>1</v>
      </c>
      <c r="C2952" t="str">
        <f t="shared" si="190"/>
        <v>157</v>
      </c>
      <c r="D2952" t="str">
        <f>"11"</f>
        <v>11</v>
      </c>
      <c r="E2952" t="str">
        <f>"1-157-11"</f>
        <v>1-157-11</v>
      </c>
      <c r="F2952" t="s">
        <v>15</v>
      </c>
      <c r="G2952" t="s">
        <v>18</v>
      </c>
      <c r="H2952" t="s">
        <v>19</v>
      </c>
      <c r="I2952">
        <v>1</v>
      </c>
      <c r="J2952">
        <v>0</v>
      </c>
      <c r="K2952">
        <v>0</v>
      </c>
    </row>
    <row r="2953" spans="1:11" x14ac:dyDescent="0.25">
      <c r="A2953" t="str">
        <f>"3724"</f>
        <v>3724</v>
      </c>
      <c r="B2953" t="str">
        <f t="shared" si="188"/>
        <v>1</v>
      </c>
      <c r="C2953" t="str">
        <f t="shared" si="190"/>
        <v>157</v>
      </c>
      <c r="D2953" t="str">
        <f>"14"</f>
        <v>14</v>
      </c>
      <c r="E2953" t="str">
        <f>"1-157-14"</f>
        <v>1-157-14</v>
      </c>
      <c r="F2953" t="s">
        <v>15</v>
      </c>
      <c r="G2953" t="s">
        <v>18</v>
      </c>
      <c r="H2953" t="s">
        <v>19</v>
      </c>
      <c r="I2953">
        <v>0</v>
      </c>
      <c r="J2953">
        <v>0</v>
      </c>
      <c r="K2953">
        <v>0</v>
      </c>
    </row>
    <row r="2954" spans="1:11" x14ac:dyDescent="0.25">
      <c r="A2954" t="str">
        <f>"3725"</f>
        <v>3725</v>
      </c>
      <c r="B2954" t="str">
        <f t="shared" si="188"/>
        <v>1</v>
      </c>
      <c r="C2954" t="str">
        <f t="shared" ref="C2954:C2972" si="191">"158"</f>
        <v>158</v>
      </c>
      <c r="D2954" t="str">
        <f>"23"</f>
        <v>23</v>
      </c>
      <c r="E2954" t="str">
        <f>"1-158-23"</f>
        <v>1-158-23</v>
      </c>
      <c r="F2954" t="s">
        <v>15</v>
      </c>
      <c r="G2954" t="s">
        <v>18</v>
      </c>
      <c r="H2954" t="s">
        <v>19</v>
      </c>
      <c r="I2954">
        <v>1</v>
      </c>
      <c r="J2954">
        <v>0</v>
      </c>
      <c r="K2954">
        <v>0</v>
      </c>
    </row>
    <row r="2955" spans="1:11" x14ac:dyDescent="0.25">
      <c r="A2955" t="str">
        <f>"3727"</f>
        <v>3727</v>
      </c>
      <c r="B2955" t="str">
        <f t="shared" si="188"/>
        <v>1</v>
      </c>
      <c r="C2955" t="str">
        <f t="shared" si="191"/>
        <v>158</v>
      </c>
      <c r="D2955" t="str">
        <f>"3"</f>
        <v>3</v>
      </c>
      <c r="E2955" t="str">
        <f>"1-158-3"</f>
        <v>1-158-3</v>
      </c>
      <c r="F2955" t="s">
        <v>15</v>
      </c>
      <c r="G2955" t="s">
        <v>16</v>
      </c>
      <c r="H2955" t="s">
        <v>17</v>
      </c>
      <c r="I2955">
        <v>0</v>
      </c>
      <c r="J2955">
        <v>1</v>
      </c>
      <c r="K2955">
        <v>0</v>
      </c>
    </row>
    <row r="2956" spans="1:11" x14ac:dyDescent="0.25">
      <c r="A2956" t="str">
        <f>"3728"</f>
        <v>3728</v>
      </c>
      <c r="B2956" t="str">
        <f t="shared" si="188"/>
        <v>1</v>
      </c>
      <c r="C2956" t="str">
        <f t="shared" si="191"/>
        <v>158</v>
      </c>
      <c r="D2956" t="str">
        <f>"16"</f>
        <v>16</v>
      </c>
      <c r="E2956" t="str">
        <f>"1-158-16"</f>
        <v>1-158-16</v>
      </c>
      <c r="F2956" t="s">
        <v>15</v>
      </c>
      <c r="G2956" t="s">
        <v>16</v>
      </c>
      <c r="H2956" t="s">
        <v>17</v>
      </c>
      <c r="I2956">
        <v>0</v>
      </c>
      <c r="J2956">
        <v>0</v>
      </c>
      <c r="K2956">
        <v>1</v>
      </c>
    </row>
    <row r="2957" spans="1:11" x14ac:dyDescent="0.25">
      <c r="A2957" t="str">
        <f>"3729"</f>
        <v>3729</v>
      </c>
      <c r="B2957" t="str">
        <f t="shared" si="188"/>
        <v>1</v>
      </c>
      <c r="C2957" t="str">
        <f t="shared" si="191"/>
        <v>158</v>
      </c>
      <c r="D2957" t="str">
        <f>"5"</f>
        <v>5</v>
      </c>
      <c r="E2957" t="str">
        <f>"1-158-5"</f>
        <v>1-158-5</v>
      </c>
      <c r="F2957" t="s">
        <v>15</v>
      </c>
      <c r="G2957" t="s">
        <v>20</v>
      </c>
      <c r="H2957" t="s">
        <v>21</v>
      </c>
      <c r="I2957">
        <v>0</v>
      </c>
      <c r="J2957">
        <v>1</v>
      </c>
      <c r="K2957">
        <v>0</v>
      </c>
    </row>
    <row r="2958" spans="1:11" x14ac:dyDescent="0.25">
      <c r="A2958" t="str">
        <f>"3730"</f>
        <v>3730</v>
      </c>
      <c r="B2958" t="str">
        <f t="shared" si="188"/>
        <v>1</v>
      </c>
      <c r="C2958" t="str">
        <f t="shared" si="191"/>
        <v>158</v>
      </c>
      <c r="D2958" t="str">
        <f>"7"</f>
        <v>7</v>
      </c>
      <c r="E2958" t="str">
        <f>"1-158-7"</f>
        <v>1-158-7</v>
      </c>
      <c r="F2958" t="s">
        <v>15</v>
      </c>
      <c r="G2958" t="s">
        <v>20</v>
      </c>
      <c r="H2958" t="s">
        <v>21</v>
      </c>
      <c r="I2958">
        <v>0</v>
      </c>
      <c r="J2958">
        <v>1</v>
      </c>
      <c r="K2958">
        <v>0</v>
      </c>
    </row>
    <row r="2959" spans="1:11" x14ac:dyDescent="0.25">
      <c r="A2959" t="str">
        <f>"3731"</f>
        <v>3731</v>
      </c>
      <c r="B2959" t="str">
        <f t="shared" si="188"/>
        <v>1</v>
      </c>
      <c r="C2959" t="str">
        <f t="shared" si="191"/>
        <v>158</v>
      </c>
      <c r="D2959" t="str">
        <f>"18"</f>
        <v>18</v>
      </c>
      <c r="E2959" t="str">
        <f>"1-158-18"</f>
        <v>1-158-18</v>
      </c>
      <c r="F2959" t="s">
        <v>15</v>
      </c>
      <c r="G2959" t="s">
        <v>16</v>
      </c>
      <c r="H2959" t="s">
        <v>17</v>
      </c>
      <c r="I2959">
        <v>0</v>
      </c>
      <c r="J2959">
        <v>0</v>
      </c>
      <c r="K2959">
        <v>1</v>
      </c>
    </row>
    <row r="2960" spans="1:11" x14ac:dyDescent="0.25">
      <c r="A2960" t="str">
        <f>"3732"</f>
        <v>3732</v>
      </c>
      <c r="B2960" t="str">
        <f t="shared" si="188"/>
        <v>1</v>
      </c>
      <c r="C2960" t="str">
        <f t="shared" si="191"/>
        <v>158</v>
      </c>
      <c r="D2960" t="str">
        <f>"12"</f>
        <v>12</v>
      </c>
      <c r="E2960" t="str">
        <f>"1-158-12"</f>
        <v>1-158-12</v>
      </c>
      <c r="F2960" t="s">
        <v>15</v>
      </c>
      <c r="G2960" t="s">
        <v>18</v>
      </c>
      <c r="H2960" t="s">
        <v>19</v>
      </c>
      <c r="I2960">
        <v>0</v>
      </c>
      <c r="J2960">
        <v>1</v>
      </c>
      <c r="K2960">
        <v>0</v>
      </c>
    </row>
    <row r="2961" spans="1:11" x14ac:dyDescent="0.25">
      <c r="A2961" t="str">
        <f>"3733"</f>
        <v>3733</v>
      </c>
      <c r="B2961" t="str">
        <f t="shared" si="188"/>
        <v>1</v>
      </c>
      <c r="C2961" t="str">
        <f t="shared" si="191"/>
        <v>158</v>
      </c>
      <c r="D2961" t="str">
        <f>"19"</f>
        <v>19</v>
      </c>
      <c r="E2961" t="str">
        <f>"1-158-19"</f>
        <v>1-158-19</v>
      </c>
      <c r="F2961" t="s">
        <v>15</v>
      </c>
      <c r="G2961" t="s">
        <v>16</v>
      </c>
      <c r="H2961" t="s">
        <v>17</v>
      </c>
      <c r="I2961">
        <v>0</v>
      </c>
      <c r="J2961">
        <v>0</v>
      </c>
      <c r="K2961">
        <v>1</v>
      </c>
    </row>
    <row r="2962" spans="1:11" x14ac:dyDescent="0.25">
      <c r="A2962" t="str">
        <f>"3735"</f>
        <v>3735</v>
      </c>
      <c r="B2962" t="str">
        <f t="shared" si="188"/>
        <v>1</v>
      </c>
      <c r="C2962" t="str">
        <f t="shared" si="191"/>
        <v>158</v>
      </c>
      <c r="D2962" t="str">
        <f>"20"</f>
        <v>20</v>
      </c>
      <c r="E2962" t="str">
        <f>"1-158-20"</f>
        <v>1-158-20</v>
      </c>
      <c r="F2962" t="s">
        <v>15</v>
      </c>
      <c r="G2962" t="s">
        <v>16</v>
      </c>
      <c r="H2962" t="s">
        <v>17</v>
      </c>
      <c r="I2962">
        <v>0</v>
      </c>
      <c r="J2962">
        <v>1</v>
      </c>
      <c r="K2962">
        <v>0</v>
      </c>
    </row>
    <row r="2963" spans="1:11" x14ac:dyDescent="0.25">
      <c r="A2963" t="str">
        <f>"3737"</f>
        <v>3737</v>
      </c>
      <c r="B2963" t="str">
        <f t="shared" si="188"/>
        <v>1</v>
      </c>
      <c r="C2963" t="str">
        <f t="shared" si="191"/>
        <v>158</v>
      </c>
      <c r="D2963" t="str">
        <f>"21"</f>
        <v>21</v>
      </c>
      <c r="E2963" t="str">
        <f>"1-158-21"</f>
        <v>1-158-21</v>
      </c>
      <c r="F2963" t="s">
        <v>15</v>
      </c>
      <c r="G2963" t="s">
        <v>18</v>
      </c>
      <c r="H2963" t="s">
        <v>19</v>
      </c>
      <c r="I2963">
        <v>0</v>
      </c>
      <c r="J2963">
        <v>0</v>
      </c>
      <c r="K2963">
        <v>1</v>
      </c>
    </row>
    <row r="2964" spans="1:11" x14ac:dyDescent="0.25">
      <c r="A2964" t="str">
        <f>"3741"</f>
        <v>3741</v>
      </c>
      <c r="B2964" t="str">
        <f t="shared" ref="B2964:B3012" si="192">"1"</f>
        <v>1</v>
      </c>
      <c r="C2964" t="str">
        <f t="shared" si="191"/>
        <v>158</v>
      </c>
      <c r="D2964" t="str">
        <f>"24"</f>
        <v>24</v>
      </c>
      <c r="E2964" t="str">
        <f>"1-158-24"</f>
        <v>1-158-24</v>
      </c>
      <c r="F2964" t="s">
        <v>15</v>
      </c>
      <c r="G2964" t="s">
        <v>18</v>
      </c>
      <c r="H2964" t="s">
        <v>19</v>
      </c>
      <c r="I2964">
        <v>0</v>
      </c>
      <c r="J2964">
        <v>1</v>
      </c>
      <c r="K2964">
        <v>0</v>
      </c>
    </row>
    <row r="2965" spans="1:11" x14ac:dyDescent="0.25">
      <c r="A2965" t="str">
        <f>"3742"</f>
        <v>3742</v>
      </c>
      <c r="B2965" t="str">
        <f t="shared" si="192"/>
        <v>1</v>
      </c>
      <c r="C2965" t="str">
        <f t="shared" si="191"/>
        <v>158</v>
      </c>
      <c r="D2965" t="str">
        <f>"2"</f>
        <v>2</v>
      </c>
      <c r="E2965" t="str">
        <f>"1-158-2"</f>
        <v>1-158-2</v>
      </c>
      <c r="F2965" t="s">
        <v>15</v>
      </c>
      <c r="G2965" t="s">
        <v>18</v>
      </c>
      <c r="H2965" t="s">
        <v>19</v>
      </c>
      <c r="I2965">
        <v>1</v>
      </c>
      <c r="J2965">
        <v>0</v>
      </c>
      <c r="K2965">
        <v>0</v>
      </c>
    </row>
    <row r="2966" spans="1:11" x14ac:dyDescent="0.25">
      <c r="A2966" t="str">
        <f>"3743"</f>
        <v>3743</v>
      </c>
      <c r="B2966" t="str">
        <f t="shared" si="192"/>
        <v>1</v>
      </c>
      <c r="C2966" t="str">
        <f t="shared" si="191"/>
        <v>158</v>
      </c>
      <c r="D2966" t="str">
        <f>"25"</f>
        <v>25</v>
      </c>
      <c r="E2966" t="str">
        <f>"1-158-25"</f>
        <v>1-158-25</v>
      </c>
      <c r="F2966" t="s">
        <v>15</v>
      </c>
      <c r="G2966" t="s">
        <v>18</v>
      </c>
      <c r="H2966" t="s">
        <v>19</v>
      </c>
      <c r="I2966">
        <v>0</v>
      </c>
      <c r="J2966">
        <v>1</v>
      </c>
      <c r="K2966">
        <v>0</v>
      </c>
    </row>
    <row r="2967" spans="1:11" x14ac:dyDescent="0.25">
      <c r="A2967" t="str">
        <f>"3744"</f>
        <v>3744</v>
      </c>
      <c r="B2967" t="str">
        <f t="shared" si="192"/>
        <v>1</v>
      </c>
      <c r="C2967" t="str">
        <f t="shared" si="191"/>
        <v>158</v>
      </c>
      <c r="D2967" t="str">
        <f>"8"</f>
        <v>8</v>
      </c>
      <c r="E2967" t="str">
        <f>"1-158-8"</f>
        <v>1-158-8</v>
      </c>
      <c r="F2967" t="s">
        <v>15</v>
      </c>
      <c r="G2967" t="s">
        <v>20</v>
      </c>
      <c r="H2967" t="s">
        <v>21</v>
      </c>
      <c r="I2967">
        <v>0</v>
      </c>
      <c r="J2967">
        <v>1</v>
      </c>
      <c r="K2967">
        <v>0</v>
      </c>
    </row>
    <row r="2968" spans="1:11" x14ac:dyDescent="0.25">
      <c r="A2968" t="str">
        <f>"3745"</f>
        <v>3745</v>
      </c>
      <c r="B2968" t="str">
        <f t="shared" si="192"/>
        <v>1</v>
      </c>
      <c r="C2968" t="str">
        <f t="shared" si="191"/>
        <v>158</v>
      </c>
      <c r="D2968" t="str">
        <f>"4"</f>
        <v>4</v>
      </c>
      <c r="E2968" t="str">
        <f>"1-158-4"</f>
        <v>1-158-4</v>
      </c>
      <c r="F2968" t="s">
        <v>15</v>
      </c>
      <c r="G2968" t="s">
        <v>16</v>
      </c>
      <c r="H2968" t="s">
        <v>17</v>
      </c>
      <c r="I2968">
        <v>0</v>
      </c>
      <c r="J2968">
        <v>1</v>
      </c>
      <c r="K2968">
        <v>0</v>
      </c>
    </row>
    <row r="2969" spans="1:11" x14ac:dyDescent="0.25">
      <c r="A2969" t="str">
        <f>"3746"</f>
        <v>3746</v>
      </c>
      <c r="B2969" t="str">
        <f t="shared" si="192"/>
        <v>1</v>
      </c>
      <c r="C2969" t="str">
        <f t="shared" si="191"/>
        <v>158</v>
      </c>
      <c r="D2969" t="str">
        <f>"11"</f>
        <v>11</v>
      </c>
      <c r="E2969" t="str">
        <f>"1-158-11"</f>
        <v>1-158-11</v>
      </c>
      <c r="F2969" t="s">
        <v>15</v>
      </c>
      <c r="G2969" t="s">
        <v>18</v>
      </c>
      <c r="H2969" t="s">
        <v>19</v>
      </c>
      <c r="I2969">
        <v>1</v>
      </c>
      <c r="J2969">
        <v>0</v>
      </c>
      <c r="K2969">
        <v>0</v>
      </c>
    </row>
    <row r="2970" spans="1:11" x14ac:dyDescent="0.25">
      <c r="A2970" t="str">
        <f>"3747"</f>
        <v>3747</v>
      </c>
      <c r="B2970" t="str">
        <f t="shared" si="192"/>
        <v>1</v>
      </c>
      <c r="C2970" t="str">
        <f t="shared" si="191"/>
        <v>158</v>
      </c>
      <c r="D2970" t="str">
        <f>"13"</f>
        <v>13</v>
      </c>
      <c r="E2970" t="str">
        <f>"1-158-13"</f>
        <v>1-158-13</v>
      </c>
      <c r="F2970" t="s">
        <v>15</v>
      </c>
      <c r="G2970" t="s">
        <v>18</v>
      </c>
      <c r="H2970" t="s">
        <v>19</v>
      </c>
      <c r="I2970">
        <v>0</v>
      </c>
      <c r="J2970">
        <v>1</v>
      </c>
      <c r="K2970">
        <v>0</v>
      </c>
    </row>
    <row r="2971" spans="1:11" x14ac:dyDescent="0.25">
      <c r="A2971" t="str">
        <f>"3748"</f>
        <v>3748</v>
      </c>
      <c r="B2971" t="str">
        <f t="shared" si="192"/>
        <v>1</v>
      </c>
      <c r="C2971" t="str">
        <f t="shared" si="191"/>
        <v>158</v>
      </c>
      <c r="D2971" t="str">
        <f>"14"</f>
        <v>14</v>
      </c>
      <c r="E2971" t="str">
        <f>"1-158-14"</f>
        <v>1-158-14</v>
      </c>
      <c r="F2971" t="s">
        <v>15</v>
      </c>
      <c r="G2971" t="s">
        <v>16</v>
      </c>
      <c r="H2971" t="s">
        <v>17</v>
      </c>
      <c r="I2971">
        <v>0</v>
      </c>
      <c r="J2971">
        <v>1</v>
      </c>
      <c r="K2971">
        <v>0</v>
      </c>
    </row>
    <row r="2972" spans="1:11" x14ac:dyDescent="0.25">
      <c r="A2972" t="str">
        <f>"3749"</f>
        <v>3749</v>
      </c>
      <c r="B2972" t="str">
        <f t="shared" si="192"/>
        <v>1</v>
      </c>
      <c r="C2972" t="str">
        <f t="shared" si="191"/>
        <v>158</v>
      </c>
      <c r="D2972" t="str">
        <f>"17"</f>
        <v>17</v>
      </c>
      <c r="E2972" t="str">
        <f>"1-158-17"</f>
        <v>1-158-17</v>
      </c>
      <c r="F2972" t="s">
        <v>15</v>
      </c>
      <c r="G2972" t="s">
        <v>16</v>
      </c>
      <c r="H2972" t="s">
        <v>17</v>
      </c>
      <c r="I2972">
        <v>0</v>
      </c>
      <c r="J2972">
        <v>0</v>
      </c>
      <c r="K2972">
        <v>0</v>
      </c>
    </row>
    <row r="2973" spans="1:11" x14ac:dyDescent="0.25">
      <c r="A2973" t="str">
        <f>"3750"</f>
        <v>3750</v>
      </c>
      <c r="B2973" t="str">
        <f t="shared" si="192"/>
        <v>1</v>
      </c>
      <c r="C2973" t="str">
        <f t="shared" ref="C2973:C2993" si="193">"159"</f>
        <v>159</v>
      </c>
      <c r="D2973" t="str">
        <f>"15"</f>
        <v>15</v>
      </c>
      <c r="E2973" t="str">
        <f>"1-159-15"</f>
        <v>1-159-15</v>
      </c>
      <c r="F2973" t="s">
        <v>15</v>
      </c>
      <c r="G2973" t="s">
        <v>16</v>
      </c>
      <c r="H2973" t="s">
        <v>17</v>
      </c>
      <c r="I2973">
        <v>0</v>
      </c>
      <c r="J2973">
        <v>0</v>
      </c>
      <c r="K2973">
        <v>1</v>
      </c>
    </row>
    <row r="2974" spans="1:11" x14ac:dyDescent="0.25">
      <c r="A2974" t="str">
        <f>"3751"</f>
        <v>3751</v>
      </c>
      <c r="B2974" t="str">
        <f t="shared" si="192"/>
        <v>1</v>
      </c>
      <c r="C2974" t="str">
        <f t="shared" si="193"/>
        <v>159</v>
      </c>
      <c r="D2974" t="str">
        <f>"5"</f>
        <v>5</v>
      </c>
      <c r="E2974" t="str">
        <f>"1-159-5"</f>
        <v>1-159-5</v>
      </c>
      <c r="F2974" t="s">
        <v>15</v>
      </c>
      <c r="G2974" t="s">
        <v>16</v>
      </c>
      <c r="H2974" t="s">
        <v>17</v>
      </c>
      <c r="I2974">
        <v>0</v>
      </c>
      <c r="J2974">
        <v>1</v>
      </c>
      <c r="K2974">
        <v>0</v>
      </c>
    </row>
    <row r="2975" spans="1:11" x14ac:dyDescent="0.25">
      <c r="A2975" t="str">
        <f>"3753"</f>
        <v>3753</v>
      </c>
      <c r="B2975" t="str">
        <f t="shared" si="192"/>
        <v>1</v>
      </c>
      <c r="C2975" t="str">
        <f t="shared" si="193"/>
        <v>159</v>
      </c>
      <c r="D2975" t="str">
        <f>"4"</f>
        <v>4</v>
      </c>
      <c r="E2975" t="str">
        <f>"1-159-4"</f>
        <v>1-159-4</v>
      </c>
      <c r="F2975" t="s">
        <v>15</v>
      </c>
      <c r="G2975" t="s">
        <v>18</v>
      </c>
      <c r="H2975" t="s">
        <v>19</v>
      </c>
      <c r="I2975">
        <v>1</v>
      </c>
      <c r="J2975">
        <v>0</v>
      </c>
      <c r="K2975">
        <v>0</v>
      </c>
    </row>
    <row r="2976" spans="1:11" x14ac:dyDescent="0.25">
      <c r="A2976" t="str">
        <f>"3755"</f>
        <v>3755</v>
      </c>
      <c r="B2976" t="str">
        <f t="shared" si="192"/>
        <v>1</v>
      </c>
      <c r="C2976" t="str">
        <f t="shared" si="193"/>
        <v>159</v>
      </c>
      <c r="D2976" t="str">
        <f>"3"</f>
        <v>3</v>
      </c>
      <c r="E2976" t="str">
        <f>"1-159-3"</f>
        <v>1-159-3</v>
      </c>
      <c r="F2976" t="s">
        <v>15</v>
      </c>
      <c r="G2976" t="s">
        <v>18</v>
      </c>
      <c r="H2976" t="s">
        <v>19</v>
      </c>
      <c r="I2976">
        <v>0</v>
      </c>
      <c r="J2976">
        <v>0</v>
      </c>
      <c r="K2976">
        <v>1</v>
      </c>
    </row>
    <row r="2977" spans="1:11" x14ac:dyDescent="0.25">
      <c r="A2977" t="str">
        <f>"3756"</f>
        <v>3756</v>
      </c>
      <c r="B2977" t="str">
        <f t="shared" si="192"/>
        <v>1</v>
      </c>
      <c r="C2977" t="str">
        <f t="shared" si="193"/>
        <v>159</v>
      </c>
      <c r="D2977" t="str">
        <f>"18"</f>
        <v>18</v>
      </c>
      <c r="E2977" t="str">
        <f>"1-159-18"</f>
        <v>1-159-18</v>
      </c>
      <c r="F2977" t="s">
        <v>15</v>
      </c>
      <c r="G2977" t="s">
        <v>18</v>
      </c>
      <c r="H2977" t="s">
        <v>19</v>
      </c>
      <c r="I2977">
        <v>1</v>
      </c>
      <c r="J2977">
        <v>0</v>
      </c>
      <c r="K2977">
        <v>0</v>
      </c>
    </row>
    <row r="2978" spans="1:11" x14ac:dyDescent="0.25">
      <c r="A2978" t="str">
        <f>"3757"</f>
        <v>3757</v>
      </c>
      <c r="B2978" t="str">
        <f t="shared" si="192"/>
        <v>1</v>
      </c>
      <c r="C2978" t="str">
        <f t="shared" si="193"/>
        <v>159</v>
      </c>
      <c r="D2978" t="str">
        <f>"11"</f>
        <v>11</v>
      </c>
      <c r="E2978" t="str">
        <f>"1-159-11"</f>
        <v>1-159-11</v>
      </c>
      <c r="F2978" t="s">
        <v>15</v>
      </c>
      <c r="G2978" t="s">
        <v>16</v>
      </c>
      <c r="H2978" t="s">
        <v>17</v>
      </c>
      <c r="I2978">
        <v>0</v>
      </c>
      <c r="J2978">
        <v>0</v>
      </c>
      <c r="K2978">
        <v>1</v>
      </c>
    </row>
    <row r="2979" spans="1:11" x14ac:dyDescent="0.25">
      <c r="A2979" t="str">
        <f>"3761"</f>
        <v>3761</v>
      </c>
      <c r="B2979" t="str">
        <f t="shared" si="192"/>
        <v>1</v>
      </c>
      <c r="C2979" t="str">
        <f t="shared" si="193"/>
        <v>159</v>
      </c>
      <c r="D2979" t="str">
        <f>"2"</f>
        <v>2</v>
      </c>
      <c r="E2979" t="str">
        <f>"1-159-2"</f>
        <v>1-159-2</v>
      </c>
      <c r="F2979" t="s">
        <v>15</v>
      </c>
      <c r="G2979" t="s">
        <v>20</v>
      </c>
      <c r="H2979" t="s">
        <v>21</v>
      </c>
      <c r="I2979">
        <v>0</v>
      </c>
      <c r="J2979">
        <v>0</v>
      </c>
      <c r="K2979">
        <v>1</v>
      </c>
    </row>
    <row r="2980" spans="1:11" x14ac:dyDescent="0.25">
      <c r="A2980" t="str">
        <f>"3762"</f>
        <v>3762</v>
      </c>
      <c r="B2980" t="str">
        <f t="shared" si="192"/>
        <v>1</v>
      </c>
      <c r="C2980" t="str">
        <f t="shared" si="193"/>
        <v>159</v>
      </c>
      <c r="D2980" t="str">
        <f>"9"</f>
        <v>9</v>
      </c>
      <c r="E2980" t="str">
        <f>"1-159-9"</f>
        <v>1-159-9</v>
      </c>
      <c r="F2980" t="s">
        <v>15</v>
      </c>
      <c r="G2980" t="s">
        <v>20</v>
      </c>
      <c r="H2980" t="s">
        <v>21</v>
      </c>
      <c r="I2980">
        <v>1</v>
      </c>
      <c r="J2980">
        <v>0</v>
      </c>
      <c r="K2980">
        <v>0</v>
      </c>
    </row>
    <row r="2981" spans="1:11" x14ac:dyDescent="0.25">
      <c r="A2981" t="str">
        <f>"3763"</f>
        <v>3763</v>
      </c>
      <c r="B2981" t="str">
        <f t="shared" si="192"/>
        <v>1</v>
      </c>
      <c r="C2981" t="str">
        <f t="shared" si="193"/>
        <v>159</v>
      </c>
      <c r="D2981" t="str">
        <f>"22"</f>
        <v>22</v>
      </c>
      <c r="E2981" t="str">
        <f>"1-159-22"</f>
        <v>1-159-22</v>
      </c>
      <c r="F2981" t="s">
        <v>15</v>
      </c>
      <c r="G2981" t="s">
        <v>16</v>
      </c>
      <c r="H2981" t="s">
        <v>17</v>
      </c>
      <c r="I2981">
        <v>0</v>
      </c>
      <c r="J2981">
        <v>1</v>
      </c>
      <c r="K2981">
        <v>0</v>
      </c>
    </row>
    <row r="2982" spans="1:11" x14ac:dyDescent="0.25">
      <c r="A2982" t="str">
        <f>"3764"</f>
        <v>3764</v>
      </c>
      <c r="B2982" t="str">
        <f t="shared" si="192"/>
        <v>1</v>
      </c>
      <c r="C2982" t="str">
        <f t="shared" si="193"/>
        <v>159</v>
      </c>
      <c r="D2982" t="str">
        <f>"13"</f>
        <v>13</v>
      </c>
      <c r="E2982" t="str">
        <f>"1-159-13"</f>
        <v>1-159-13</v>
      </c>
      <c r="F2982" t="s">
        <v>15</v>
      </c>
      <c r="G2982" t="s">
        <v>16</v>
      </c>
      <c r="H2982" t="s">
        <v>17</v>
      </c>
      <c r="I2982">
        <v>0</v>
      </c>
      <c r="J2982">
        <v>0</v>
      </c>
      <c r="K2982">
        <v>1</v>
      </c>
    </row>
    <row r="2983" spans="1:11" x14ac:dyDescent="0.25">
      <c r="A2983" t="str">
        <f>"3765"</f>
        <v>3765</v>
      </c>
      <c r="B2983" t="str">
        <f t="shared" si="192"/>
        <v>1</v>
      </c>
      <c r="C2983" t="str">
        <f t="shared" si="193"/>
        <v>159</v>
      </c>
      <c r="D2983" t="str">
        <f>"23"</f>
        <v>23</v>
      </c>
      <c r="E2983" t="str">
        <f>"1-159-23"</f>
        <v>1-159-23</v>
      </c>
      <c r="F2983" t="s">
        <v>15</v>
      </c>
      <c r="G2983" t="s">
        <v>16</v>
      </c>
      <c r="H2983" t="s">
        <v>17</v>
      </c>
      <c r="I2983">
        <v>0</v>
      </c>
      <c r="J2983">
        <v>0</v>
      </c>
      <c r="K2983">
        <v>1</v>
      </c>
    </row>
    <row r="2984" spans="1:11" x14ac:dyDescent="0.25">
      <c r="A2984" t="str">
        <f>"3766"</f>
        <v>3766</v>
      </c>
      <c r="B2984" t="str">
        <f t="shared" si="192"/>
        <v>1</v>
      </c>
      <c r="C2984" t="str">
        <f t="shared" si="193"/>
        <v>159</v>
      </c>
      <c r="D2984" t="str">
        <f>"10"</f>
        <v>10</v>
      </c>
      <c r="E2984" t="str">
        <f>"1-159-10"</f>
        <v>1-159-10</v>
      </c>
      <c r="F2984" t="s">
        <v>15</v>
      </c>
      <c r="G2984" t="s">
        <v>16</v>
      </c>
      <c r="H2984" t="s">
        <v>17</v>
      </c>
      <c r="I2984">
        <v>0</v>
      </c>
      <c r="J2984">
        <v>0</v>
      </c>
      <c r="K2984">
        <v>1</v>
      </c>
    </row>
    <row r="2985" spans="1:11" x14ac:dyDescent="0.25">
      <c r="A2985" t="str">
        <f>"3767"</f>
        <v>3767</v>
      </c>
      <c r="B2985" t="str">
        <f t="shared" si="192"/>
        <v>1</v>
      </c>
      <c r="C2985" t="str">
        <f t="shared" si="193"/>
        <v>159</v>
      </c>
      <c r="D2985" t="str">
        <f>"24"</f>
        <v>24</v>
      </c>
      <c r="E2985" t="str">
        <f>"1-159-24"</f>
        <v>1-159-24</v>
      </c>
      <c r="F2985" t="s">
        <v>15</v>
      </c>
      <c r="G2985" t="s">
        <v>16</v>
      </c>
      <c r="H2985" t="s">
        <v>17</v>
      </c>
      <c r="I2985">
        <v>0</v>
      </c>
      <c r="J2985">
        <v>0</v>
      </c>
      <c r="K2985">
        <v>1</v>
      </c>
    </row>
    <row r="2986" spans="1:11" x14ac:dyDescent="0.25">
      <c r="A2986" t="str">
        <f>"3768"</f>
        <v>3768</v>
      </c>
      <c r="B2986" t="str">
        <f t="shared" si="192"/>
        <v>1</v>
      </c>
      <c r="C2986" t="str">
        <f t="shared" si="193"/>
        <v>159</v>
      </c>
      <c r="D2986" t="str">
        <f>"6"</f>
        <v>6</v>
      </c>
      <c r="E2986" t="str">
        <f>"1-159-6"</f>
        <v>1-159-6</v>
      </c>
      <c r="F2986" t="s">
        <v>15</v>
      </c>
      <c r="G2986" t="s">
        <v>16</v>
      </c>
      <c r="H2986" t="s">
        <v>17</v>
      </c>
      <c r="I2986">
        <v>0</v>
      </c>
      <c r="J2986">
        <v>1</v>
      </c>
      <c r="K2986">
        <v>0</v>
      </c>
    </row>
    <row r="2987" spans="1:11" x14ac:dyDescent="0.25">
      <c r="A2987" t="str">
        <f>"3769"</f>
        <v>3769</v>
      </c>
      <c r="B2987" t="str">
        <f t="shared" si="192"/>
        <v>1</v>
      </c>
      <c r="C2987" t="str">
        <f t="shared" si="193"/>
        <v>159</v>
      </c>
      <c r="D2987" t="str">
        <f>"25"</f>
        <v>25</v>
      </c>
      <c r="E2987" t="str">
        <f>"1-159-25"</f>
        <v>1-159-25</v>
      </c>
      <c r="F2987" t="s">
        <v>15</v>
      </c>
      <c r="G2987" t="s">
        <v>16</v>
      </c>
      <c r="H2987" t="s">
        <v>17</v>
      </c>
      <c r="I2987">
        <v>1</v>
      </c>
      <c r="J2987">
        <v>0</v>
      </c>
      <c r="K2987">
        <v>0</v>
      </c>
    </row>
    <row r="2988" spans="1:11" x14ac:dyDescent="0.25">
      <c r="A2988" t="str">
        <f>"3770"</f>
        <v>3770</v>
      </c>
      <c r="B2988" t="str">
        <f t="shared" si="192"/>
        <v>1</v>
      </c>
      <c r="C2988" t="str">
        <f t="shared" si="193"/>
        <v>159</v>
      </c>
      <c r="D2988" t="str">
        <f>"1"</f>
        <v>1</v>
      </c>
      <c r="E2988" t="str">
        <f>"1-159-1"</f>
        <v>1-159-1</v>
      </c>
      <c r="F2988" t="s">
        <v>15</v>
      </c>
      <c r="G2988" t="s">
        <v>20</v>
      </c>
      <c r="H2988" t="s">
        <v>21</v>
      </c>
      <c r="I2988">
        <v>0</v>
      </c>
      <c r="J2988">
        <v>1</v>
      </c>
      <c r="K2988">
        <v>0</v>
      </c>
    </row>
    <row r="2989" spans="1:11" x14ac:dyDescent="0.25">
      <c r="A2989" t="str">
        <f>"3771"</f>
        <v>3771</v>
      </c>
      <c r="B2989" t="str">
        <f t="shared" si="192"/>
        <v>1</v>
      </c>
      <c r="C2989" t="str">
        <f t="shared" si="193"/>
        <v>159</v>
      </c>
      <c r="D2989" t="str">
        <f>"12"</f>
        <v>12</v>
      </c>
      <c r="E2989" t="str">
        <f>"1-159-12"</f>
        <v>1-159-12</v>
      </c>
      <c r="F2989" t="s">
        <v>15</v>
      </c>
      <c r="G2989" t="s">
        <v>16</v>
      </c>
      <c r="H2989" t="s">
        <v>17</v>
      </c>
      <c r="I2989">
        <v>0</v>
      </c>
      <c r="J2989">
        <v>1</v>
      </c>
      <c r="K2989">
        <v>0</v>
      </c>
    </row>
    <row r="2990" spans="1:11" x14ac:dyDescent="0.25">
      <c r="A2990" t="str">
        <f>"3772"</f>
        <v>3772</v>
      </c>
      <c r="B2990" t="str">
        <f t="shared" si="192"/>
        <v>1</v>
      </c>
      <c r="C2990" t="str">
        <f t="shared" si="193"/>
        <v>159</v>
      </c>
      <c r="D2990" t="str">
        <f>"7"</f>
        <v>7</v>
      </c>
      <c r="E2990" t="str">
        <f>"1-159-7"</f>
        <v>1-159-7</v>
      </c>
      <c r="F2990" t="s">
        <v>15</v>
      </c>
      <c r="G2990" t="s">
        <v>16</v>
      </c>
      <c r="H2990" t="s">
        <v>17</v>
      </c>
      <c r="I2990">
        <v>1</v>
      </c>
      <c r="J2990">
        <v>0</v>
      </c>
      <c r="K2990">
        <v>0</v>
      </c>
    </row>
    <row r="2991" spans="1:11" x14ac:dyDescent="0.25">
      <c r="A2991" t="str">
        <f>"3773"</f>
        <v>3773</v>
      </c>
      <c r="B2991" t="str">
        <f t="shared" si="192"/>
        <v>1</v>
      </c>
      <c r="C2991" t="str">
        <f t="shared" si="193"/>
        <v>159</v>
      </c>
      <c r="D2991" t="str">
        <f>"26"</f>
        <v>26</v>
      </c>
      <c r="E2991" t="str">
        <f>"1-159-26"</f>
        <v>1-159-26</v>
      </c>
      <c r="F2991" t="s">
        <v>15</v>
      </c>
      <c r="G2991" t="s">
        <v>16</v>
      </c>
      <c r="H2991" t="s">
        <v>17</v>
      </c>
      <c r="I2991">
        <v>0</v>
      </c>
      <c r="J2991">
        <v>0</v>
      </c>
      <c r="K2991">
        <v>0</v>
      </c>
    </row>
    <row r="2992" spans="1:11" x14ac:dyDescent="0.25">
      <c r="A2992" t="str">
        <f>"3774"</f>
        <v>3774</v>
      </c>
      <c r="B2992" t="str">
        <f t="shared" si="192"/>
        <v>1</v>
      </c>
      <c r="C2992" t="str">
        <f t="shared" si="193"/>
        <v>159</v>
      </c>
      <c r="D2992" t="str">
        <f>"21"</f>
        <v>21</v>
      </c>
      <c r="E2992" t="str">
        <f>"1-159-21"</f>
        <v>1-159-21</v>
      </c>
      <c r="F2992" t="s">
        <v>15</v>
      </c>
      <c r="G2992" t="s">
        <v>18</v>
      </c>
      <c r="H2992" t="s">
        <v>19</v>
      </c>
      <c r="I2992">
        <v>0</v>
      </c>
      <c r="J2992">
        <v>0</v>
      </c>
      <c r="K2992">
        <v>0</v>
      </c>
    </row>
    <row r="2993" spans="1:11" x14ac:dyDescent="0.25">
      <c r="A2993" t="str">
        <f>"3775"</f>
        <v>3775</v>
      </c>
      <c r="B2993" t="str">
        <f t="shared" si="192"/>
        <v>1</v>
      </c>
      <c r="C2993" t="str">
        <f t="shared" si="193"/>
        <v>159</v>
      </c>
      <c r="D2993" t="str">
        <f>"14"</f>
        <v>14</v>
      </c>
      <c r="E2993" t="str">
        <f>"1-159-14"</f>
        <v>1-159-14</v>
      </c>
      <c r="F2993" t="s">
        <v>15</v>
      </c>
      <c r="G2993" t="s">
        <v>16</v>
      </c>
      <c r="H2993" t="s">
        <v>17</v>
      </c>
      <c r="I2993">
        <v>0</v>
      </c>
      <c r="J2993">
        <v>0</v>
      </c>
      <c r="K2993">
        <v>0</v>
      </c>
    </row>
    <row r="2994" spans="1:11" x14ac:dyDescent="0.25">
      <c r="A2994" t="str">
        <f>"3776"</f>
        <v>3776</v>
      </c>
      <c r="B2994" t="str">
        <f t="shared" si="192"/>
        <v>1</v>
      </c>
      <c r="C2994" t="str">
        <f t="shared" ref="C2994:C3005" si="194">"160"</f>
        <v>160</v>
      </c>
      <c r="D2994" t="str">
        <f>"15"</f>
        <v>15</v>
      </c>
      <c r="E2994" t="str">
        <f>"1-160-15"</f>
        <v>1-160-15</v>
      </c>
      <c r="F2994" t="s">
        <v>15</v>
      </c>
      <c r="G2994" t="s">
        <v>20</v>
      </c>
      <c r="H2994" t="s">
        <v>21</v>
      </c>
      <c r="I2994">
        <v>0</v>
      </c>
      <c r="J2994">
        <v>0</v>
      </c>
      <c r="K2994">
        <v>1</v>
      </c>
    </row>
    <row r="2995" spans="1:11" x14ac:dyDescent="0.25">
      <c r="A2995" t="str">
        <f>"3778"</f>
        <v>3778</v>
      </c>
      <c r="B2995" t="str">
        <f t="shared" si="192"/>
        <v>1</v>
      </c>
      <c r="C2995" t="str">
        <f t="shared" si="194"/>
        <v>160</v>
      </c>
      <c r="D2995" t="str">
        <f>"4"</f>
        <v>4</v>
      </c>
      <c r="E2995" t="str">
        <f>"1-160-4"</f>
        <v>1-160-4</v>
      </c>
      <c r="F2995" t="s">
        <v>15</v>
      </c>
      <c r="G2995" t="s">
        <v>16</v>
      </c>
      <c r="H2995" t="s">
        <v>17</v>
      </c>
      <c r="I2995">
        <v>0</v>
      </c>
      <c r="J2995">
        <v>0</v>
      </c>
      <c r="K2995">
        <v>1</v>
      </c>
    </row>
    <row r="2996" spans="1:11" x14ac:dyDescent="0.25">
      <c r="A2996" t="str">
        <f>"3780"</f>
        <v>3780</v>
      </c>
      <c r="B2996" t="str">
        <f t="shared" si="192"/>
        <v>1</v>
      </c>
      <c r="C2996" t="str">
        <f t="shared" si="194"/>
        <v>160</v>
      </c>
      <c r="D2996" t="str">
        <f>"2"</f>
        <v>2</v>
      </c>
      <c r="E2996" t="str">
        <f>"1-160-2"</f>
        <v>1-160-2</v>
      </c>
      <c r="F2996" t="s">
        <v>15</v>
      </c>
      <c r="G2996" t="s">
        <v>16</v>
      </c>
      <c r="H2996" t="s">
        <v>17</v>
      </c>
      <c r="I2996">
        <v>0</v>
      </c>
      <c r="J2996">
        <v>1</v>
      </c>
      <c r="K2996">
        <v>0</v>
      </c>
    </row>
    <row r="2997" spans="1:11" x14ac:dyDescent="0.25">
      <c r="A2997" t="str">
        <f>"3782"</f>
        <v>3782</v>
      </c>
      <c r="B2997" t="str">
        <f t="shared" si="192"/>
        <v>1</v>
      </c>
      <c r="C2997" t="str">
        <f t="shared" si="194"/>
        <v>160</v>
      </c>
      <c r="D2997" t="str">
        <f>"11"</f>
        <v>11</v>
      </c>
      <c r="E2997" t="str">
        <f>"1-160-11"</f>
        <v>1-160-11</v>
      </c>
      <c r="F2997" t="s">
        <v>15</v>
      </c>
      <c r="G2997" t="s">
        <v>20</v>
      </c>
      <c r="H2997" t="s">
        <v>21</v>
      </c>
      <c r="I2997">
        <v>0</v>
      </c>
      <c r="J2997">
        <v>0</v>
      </c>
      <c r="K2997">
        <v>1</v>
      </c>
    </row>
    <row r="2998" spans="1:11" x14ac:dyDescent="0.25">
      <c r="A2998" t="str">
        <f>"3783"</f>
        <v>3783</v>
      </c>
      <c r="B2998" t="str">
        <f t="shared" si="192"/>
        <v>1</v>
      </c>
      <c r="C2998" t="str">
        <f t="shared" si="194"/>
        <v>160</v>
      </c>
      <c r="D2998" t="str">
        <f>"8"</f>
        <v>8</v>
      </c>
      <c r="E2998" t="str">
        <f>"1-160-8"</f>
        <v>1-160-8</v>
      </c>
      <c r="F2998" t="s">
        <v>15</v>
      </c>
      <c r="G2998" t="s">
        <v>18</v>
      </c>
      <c r="H2998" t="s">
        <v>19</v>
      </c>
      <c r="I2998">
        <v>0</v>
      </c>
      <c r="J2998">
        <v>1</v>
      </c>
      <c r="K2998">
        <v>0</v>
      </c>
    </row>
    <row r="2999" spans="1:11" x14ac:dyDescent="0.25">
      <c r="A2999" t="str">
        <f>"3784"</f>
        <v>3784</v>
      </c>
      <c r="B2999" t="str">
        <f t="shared" si="192"/>
        <v>1</v>
      </c>
      <c r="C2999" t="str">
        <f t="shared" si="194"/>
        <v>160</v>
      </c>
      <c r="D2999" t="str">
        <f>"1"</f>
        <v>1</v>
      </c>
      <c r="E2999" t="str">
        <f>"1-160-1"</f>
        <v>1-160-1</v>
      </c>
      <c r="F2999" t="s">
        <v>15</v>
      </c>
      <c r="G2999" t="s">
        <v>16</v>
      </c>
      <c r="H2999" t="s">
        <v>17</v>
      </c>
      <c r="I2999">
        <v>1</v>
      </c>
      <c r="J2999">
        <v>0</v>
      </c>
      <c r="K2999">
        <v>0</v>
      </c>
    </row>
    <row r="3000" spans="1:11" x14ac:dyDescent="0.25">
      <c r="A3000" t="str">
        <f>"3785"</f>
        <v>3785</v>
      </c>
      <c r="B3000" t="str">
        <f t="shared" si="192"/>
        <v>1</v>
      </c>
      <c r="C3000" t="str">
        <f t="shared" si="194"/>
        <v>160</v>
      </c>
      <c r="D3000" t="str">
        <f>"12"</f>
        <v>12</v>
      </c>
      <c r="E3000" t="str">
        <f>"1-160-12"</f>
        <v>1-160-12</v>
      </c>
      <c r="F3000" t="s">
        <v>15</v>
      </c>
      <c r="G3000" t="s">
        <v>20</v>
      </c>
      <c r="H3000" t="s">
        <v>21</v>
      </c>
      <c r="I3000">
        <v>0</v>
      </c>
      <c r="J3000">
        <v>0</v>
      </c>
      <c r="K3000">
        <v>1</v>
      </c>
    </row>
    <row r="3001" spans="1:11" x14ac:dyDescent="0.25">
      <c r="A3001" t="str">
        <f>"3786"</f>
        <v>3786</v>
      </c>
      <c r="B3001" t="str">
        <f t="shared" si="192"/>
        <v>1</v>
      </c>
      <c r="C3001" t="str">
        <f t="shared" si="194"/>
        <v>160</v>
      </c>
      <c r="D3001" t="str">
        <f>"10"</f>
        <v>10</v>
      </c>
      <c r="E3001" t="str">
        <f>"1-160-10"</f>
        <v>1-160-10</v>
      </c>
      <c r="F3001" t="s">
        <v>15</v>
      </c>
      <c r="G3001" t="s">
        <v>16</v>
      </c>
      <c r="H3001" t="s">
        <v>17</v>
      </c>
      <c r="I3001">
        <v>0</v>
      </c>
      <c r="J3001">
        <v>1</v>
      </c>
      <c r="K3001">
        <v>0</v>
      </c>
    </row>
    <row r="3002" spans="1:11" x14ac:dyDescent="0.25">
      <c r="A3002" t="str">
        <f>"3787"</f>
        <v>3787</v>
      </c>
      <c r="B3002" t="str">
        <f t="shared" si="192"/>
        <v>1</v>
      </c>
      <c r="C3002" t="str">
        <f t="shared" si="194"/>
        <v>160</v>
      </c>
      <c r="D3002" t="str">
        <f>"3"</f>
        <v>3</v>
      </c>
      <c r="E3002" t="str">
        <f>"1-160-3"</f>
        <v>1-160-3</v>
      </c>
      <c r="F3002" t="s">
        <v>15</v>
      </c>
      <c r="G3002" t="s">
        <v>16</v>
      </c>
      <c r="H3002" t="s">
        <v>17</v>
      </c>
      <c r="I3002">
        <v>0</v>
      </c>
      <c r="J3002">
        <v>0</v>
      </c>
      <c r="K3002">
        <v>1</v>
      </c>
    </row>
    <row r="3003" spans="1:11" x14ac:dyDescent="0.25">
      <c r="A3003" t="str">
        <f>"3788"</f>
        <v>3788</v>
      </c>
      <c r="B3003" t="str">
        <f t="shared" si="192"/>
        <v>1</v>
      </c>
      <c r="C3003" t="str">
        <f t="shared" si="194"/>
        <v>160</v>
      </c>
      <c r="D3003" t="str">
        <f>"5"</f>
        <v>5</v>
      </c>
      <c r="E3003" t="str">
        <f>"1-160-5"</f>
        <v>1-160-5</v>
      </c>
      <c r="F3003" t="s">
        <v>15</v>
      </c>
      <c r="G3003" t="s">
        <v>16</v>
      </c>
      <c r="H3003" t="s">
        <v>17</v>
      </c>
      <c r="I3003">
        <v>0</v>
      </c>
      <c r="J3003">
        <v>0</v>
      </c>
      <c r="K3003">
        <v>1</v>
      </c>
    </row>
    <row r="3004" spans="1:11" x14ac:dyDescent="0.25">
      <c r="A3004" t="str">
        <f>"3789"</f>
        <v>3789</v>
      </c>
      <c r="B3004" t="str">
        <f t="shared" si="192"/>
        <v>1</v>
      </c>
      <c r="C3004" t="str">
        <f t="shared" si="194"/>
        <v>160</v>
      </c>
      <c r="D3004" t="str">
        <f>"14"</f>
        <v>14</v>
      </c>
      <c r="E3004" t="str">
        <f>"1-160-14"</f>
        <v>1-160-14</v>
      </c>
      <c r="F3004" t="s">
        <v>15</v>
      </c>
      <c r="G3004" t="s">
        <v>20</v>
      </c>
      <c r="H3004" t="s">
        <v>21</v>
      </c>
      <c r="I3004">
        <v>0</v>
      </c>
      <c r="J3004">
        <v>0</v>
      </c>
      <c r="K3004">
        <v>1</v>
      </c>
    </row>
    <row r="3005" spans="1:11" x14ac:dyDescent="0.25">
      <c r="A3005" t="str">
        <f>"3790"</f>
        <v>3790</v>
      </c>
      <c r="B3005" t="str">
        <f t="shared" si="192"/>
        <v>1</v>
      </c>
      <c r="C3005" t="str">
        <f t="shared" si="194"/>
        <v>160</v>
      </c>
      <c r="D3005" t="str">
        <f>"7"</f>
        <v>7</v>
      </c>
      <c r="E3005" t="str">
        <f>"1-160-7"</f>
        <v>1-160-7</v>
      </c>
      <c r="F3005" t="s">
        <v>15</v>
      </c>
      <c r="G3005" t="s">
        <v>20</v>
      </c>
      <c r="H3005" t="s">
        <v>21</v>
      </c>
      <c r="I3005">
        <v>0</v>
      </c>
      <c r="J3005">
        <v>0</v>
      </c>
      <c r="K3005">
        <v>0</v>
      </c>
    </row>
    <row r="3006" spans="1:11" x14ac:dyDescent="0.25">
      <c r="A3006" t="str">
        <f>"3792"</f>
        <v>3792</v>
      </c>
      <c r="B3006" t="str">
        <f t="shared" si="192"/>
        <v>1</v>
      </c>
      <c r="C3006" t="str">
        <f t="shared" ref="C3006:C3025" si="195">"161"</f>
        <v>161</v>
      </c>
      <c r="D3006" t="str">
        <f>"17"</f>
        <v>17</v>
      </c>
      <c r="E3006" t="str">
        <f>"1-161-17"</f>
        <v>1-161-17</v>
      </c>
      <c r="F3006" t="s">
        <v>15</v>
      </c>
      <c r="G3006" t="s">
        <v>18</v>
      </c>
      <c r="H3006" t="s">
        <v>19</v>
      </c>
      <c r="I3006">
        <v>0</v>
      </c>
      <c r="J3006">
        <v>0</v>
      </c>
      <c r="K3006">
        <v>1</v>
      </c>
    </row>
    <row r="3007" spans="1:11" x14ac:dyDescent="0.25">
      <c r="A3007" t="str">
        <f>"3793"</f>
        <v>3793</v>
      </c>
      <c r="B3007" t="str">
        <f t="shared" si="192"/>
        <v>1</v>
      </c>
      <c r="C3007" t="str">
        <f t="shared" si="195"/>
        <v>161</v>
      </c>
      <c r="D3007" t="str">
        <f>"15"</f>
        <v>15</v>
      </c>
      <c r="E3007" t="str">
        <f>"1-161-15"</f>
        <v>1-161-15</v>
      </c>
      <c r="F3007" t="s">
        <v>15</v>
      </c>
      <c r="G3007" t="s">
        <v>20</v>
      </c>
      <c r="H3007" t="s">
        <v>21</v>
      </c>
      <c r="I3007">
        <v>0</v>
      </c>
      <c r="J3007">
        <v>0</v>
      </c>
      <c r="K3007">
        <v>1</v>
      </c>
    </row>
    <row r="3008" spans="1:11" x14ac:dyDescent="0.25">
      <c r="A3008" t="str">
        <f>"3794"</f>
        <v>3794</v>
      </c>
      <c r="B3008" t="str">
        <f t="shared" si="192"/>
        <v>1</v>
      </c>
      <c r="C3008" t="str">
        <f t="shared" si="195"/>
        <v>161</v>
      </c>
      <c r="D3008" t="str">
        <f>"3"</f>
        <v>3</v>
      </c>
      <c r="E3008" t="str">
        <f>"1-161-3"</f>
        <v>1-161-3</v>
      </c>
      <c r="F3008" t="s">
        <v>15</v>
      </c>
      <c r="G3008" t="s">
        <v>16</v>
      </c>
      <c r="H3008" t="s">
        <v>17</v>
      </c>
      <c r="I3008">
        <v>0</v>
      </c>
      <c r="J3008">
        <v>0</v>
      </c>
      <c r="K3008">
        <v>1</v>
      </c>
    </row>
    <row r="3009" spans="1:11" x14ac:dyDescent="0.25">
      <c r="A3009" t="str">
        <f>"3796"</f>
        <v>3796</v>
      </c>
      <c r="B3009" t="str">
        <f t="shared" si="192"/>
        <v>1</v>
      </c>
      <c r="C3009" t="str">
        <f t="shared" si="195"/>
        <v>161</v>
      </c>
      <c r="D3009" t="str">
        <f>"16"</f>
        <v>16</v>
      </c>
      <c r="E3009" t="str">
        <f>"1-161-16"</f>
        <v>1-161-16</v>
      </c>
      <c r="F3009" t="s">
        <v>15</v>
      </c>
      <c r="G3009" t="s">
        <v>20</v>
      </c>
      <c r="H3009" t="s">
        <v>21</v>
      </c>
      <c r="I3009">
        <v>1</v>
      </c>
      <c r="J3009">
        <v>0</v>
      </c>
      <c r="K3009">
        <v>0</v>
      </c>
    </row>
    <row r="3010" spans="1:11" x14ac:dyDescent="0.25">
      <c r="A3010" t="str">
        <f>"3797"</f>
        <v>3797</v>
      </c>
      <c r="B3010" t="str">
        <f t="shared" si="192"/>
        <v>1</v>
      </c>
      <c r="C3010" t="str">
        <f t="shared" si="195"/>
        <v>161</v>
      </c>
      <c r="D3010" t="str">
        <f>"5"</f>
        <v>5</v>
      </c>
      <c r="E3010" t="str">
        <f>"1-161-5"</f>
        <v>1-161-5</v>
      </c>
      <c r="F3010" t="s">
        <v>15</v>
      </c>
      <c r="G3010" t="s">
        <v>18</v>
      </c>
      <c r="H3010" t="s">
        <v>19</v>
      </c>
      <c r="I3010">
        <v>0</v>
      </c>
      <c r="J3010">
        <v>0</v>
      </c>
      <c r="K3010">
        <v>1</v>
      </c>
    </row>
    <row r="3011" spans="1:11" x14ac:dyDescent="0.25">
      <c r="A3011" t="str">
        <f>"3798"</f>
        <v>3798</v>
      </c>
      <c r="B3011" t="str">
        <f t="shared" si="192"/>
        <v>1</v>
      </c>
      <c r="C3011" t="str">
        <f t="shared" si="195"/>
        <v>161</v>
      </c>
      <c r="D3011" t="str">
        <f>"18"</f>
        <v>18</v>
      </c>
      <c r="E3011" t="str">
        <f>"1-161-18"</f>
        <v>1-161-18</v>
      </c>
      <c r="F3011" t="s">
        <v>15</v>
      </c>
      <c r="G3011" t="s">
        <v>18</v>
      </c>
      <c r="H3011" t="s">
        <v>19</v>
      </c>
      <c r="I3011">
        <v>1</v>
      </c>
      <c r="J3011">
        <v>0</v>
      </c>
      <c r="K3011">
        <v>0</v>
      </c>
    </row>
    <row r="3012" spans="1:11" x14ac:dyDescent="0.25">
      <c r="A3012" t="str">
        <f>"3800"</f>
        <v>3800</v>
      </c>
      <c r="B3012" t="str">
        <f t="shared" si="192"/>
        <v>1</v>
      </c>
      <c r="C3012" t="str">
        <f t="shared" si="195"/>
        <v>161</v>
      </c>
      <c r="D3012" t="str">
        <f>"19"</f>
        <v>19</v>
      </c>
      <c r="E3012" t="str">
        <f>"1-161-19"</f>
        <v>1-161-19</v>
      </c>
      <c r="F3012" t="s">
        <v>15</v>
      </c>
      <c r="G3012" t="s">
        <v>16</v>
      </c>
      <c r="H3012" t="s">
        <v>17</v>
      </c>
      <c r="I3012">
        <v>0</v>
      </c>
      <c r="J3012">
        <v>0</v>
      </c>
      <c r="K3012">
        <v>1</v>
      </c>
    </row>
    <row r="3013" spans="1:11" x14ac:dyDescent="0.25">
      <c r="A3013" t="str">
        <f>"3802"</f>
        <v>3802</v>
      </c>
      <c r="B3013" t="str">
        <f t="shared" ref="B3013:B3068" si="196">"1"</f>
        <v>1</v>
      </c>
      <c r="C3013" t="str">
        <f t="shared" si="195"/>
        <v>161</v>
      </c>
      <c r="D3013" t="str">
        <f>"20"</f>
        <v>20</v>
      </c>
      <c r="E3013" t="str">
        <f>"1-161-20"</f>
        <v>1-161-20</v>
      </c>
      <c r="F3013" t="s">
        <v>15</v>
      </c>
      <c r="G3013" t="s">
        <v>20</v>
      </c>
      <c r="H3013" t="s">
        <v>21</v>
      </c>
      <c r="I3013">
        <v>0</v>
      </c>
      <c r="J3013">
        <v>0</v>
      </c>
      <c r="K3013">
        <v>1</v>
      </c>
    </row>
    <row r="3014" spans="1:11" x14ac:dyDescent="0.25">
      <c r="A3014" t="str">
        <f>"3803"</f>
        <v>3803</v>
      </c>
      <c r="B3014" t="str">
        <f t="shared" si="196"/>
        <v>1</v>
      </c>
      <c r="C3014" t="str">
        <f t="shared" si="195"/>
        <v>161</v>
      </c>
      <c r="D3014" t="str">
        <f>"1"</f>
        <v>1</v>
      </c>
      <c r="E3014" t="str">
        <f>"1-161-1"</f>
        <v>1-161-1</v>
      </c>
      <c r="F3014" t="s">
        <v>15</v>
      </c>
      <c r="G3014" t="s">
        <v>16</v>
      </c>
      <c r="H3014" t="s">
        <v>17</v>
      </c>
      <c r="I3014">
        <v>0</v>
      </c>
      <c r="J3014">
        <v>0</v>
      </c>
      <c r="K3014">
        <v>1</v>
      </c>
    </row>
    <row r="3015" spans="1:11" x14ac:dyDescent="0.25">
      <c r="A3015" t="str">
        <f>"3805"</f>
        <v>3805</v>
      </c>
      <c r="B3015" t="str">
        <f t="shared" si="196"/>
        <v>1</v>
      </c>
      <c r="C3015" t="str">
        <f t="shared" si="195"/>
        <v>161</v>
      </c>
      <c r="D3015" t="str">
        <f>"22"</f>
        <v>22</v>
      </c>
      <c r="E3015" t="str">
        <f>"1-161-22"</f>
        <v>1-161-22</v>
      </c>
      <c r="F3015" t="s">
        <v>15</v>
      </c>
      <c r="G3015" t="s">
        <v>20</v>
      </c>
      <c r="H3015" t="s">
        <v>21</v>
      </c>
      <c r="I3015">
        <v>0</v>
      </c>
      <c r="J3015">
        <v>0</v>
      </c>
      <c r="K3015">
        <v>1</v>
      </c>
    </row>
    <row r="3016" spans="1:11" x14ac:dyDescent="0.25">
      <c r="A3016" t="str">
        <f>"3806"</f>
        <v>3806</v>
      </c>
      <c r="B3016" t="str">
        <f t="shared" si="196"/>
        <v>1</v>
      </c>
      <c r="C3016" t="str">
        <f t="shared" si="195"/>
        <v>161</v>
      </c>
      <c r="D3016" t="str">
        <f>"7"</f>
        <v>7</v>
      </c>
      <c r="E3016" t="str">
        <f>"1-161-7"</f>
        <v>1-161-7</v>
      </c>
      <c r="F3016" t="s">
        <v>15</v>
      </c>
      <c r="G3016" t="s">
        <v>16</v>
      </c>
      <c r="H3016" t="s">
        <v>17</v>
      </c>
      <c r="I3016">
        <v>0</v>
      </c>
      <c r="J3016">
        <v>0</v>
      </c>
      <c r="K3016">
        <v>1</v>
      </c>
    </row>
    <row r="3017" spans="1:11" x14ac:dyDescent="0.25">
      <c r="A3017" t="str">
        <f>"3807"</f>
        <v>3807</v>
      </c>
      <c r="B3017" t="str">
        <f t="shared" si="196"/>
        <v>1</v>
      </c>
      <c r="C3017" t="str">
        <f t="shared" si="195"/>
        <v>161</v>
      </c>
      <c r="D3017" t="str">
        <f>"23"</f>
        <v>23</v>
      </c>
      <c r="E3017" t="str">
        <f>"1-161-23"</f>
        <v>1-161-23</v>
      </c>
      <c r="F3017" t="s">
        <v>15</v>
      </c>
      <c r="G3017" t="s">
        <v>20</v>
      </c>
      <c r="H3017" t="s">
        <v>21</v>
      </c>
      <c r="I3017">
        <v>0</v>
      </c>
      <c r="J3017">
        <v>0</v>
      </c>
      <c r="K3017">
        <v>1</v>
      </c>
    </row>
    <row r="3018" spans="1:11" x14ac:dyDescent="0.25">
      <c r="A3018" t="str">
        <f>"3808"</f>
        <v>3808</v>
      </c>
      <c r="B3018" t="str">
        <f t="shared" si="196"/>
        <v>1</v>
      </c>
      <c r="C3018" t="str">
        <f t="shared" si="195"/>
        <v>161</v>
      </c>
      <c r="D3018" t="str">
        <f>"9"</f>
        <v>9</v>
      </c>
      <c r="E3018" t="str">
        <f>"1-161-9"</f>
        <v>1-161-9</v>
      </c>
      <c r="F3018" t="s">
        <v>15</v>
      </c>
      <c r="G3018" t="s">
        <v>16</v>
      </c>
      <c r="H3018" t="s">
        <v>17</v>
      </c>
      <c r="I3018">
        <v>1</v>
      </c>
      <c r="J3018">
        <v>0</v>
      </c>
      <c r="K3018">
        <v>0</v>
      </c>
    </row>
    <row r="3019" spans="1:11" x14ac:dyDescent="0.25">
      <c r="A3019" t="str">
        <f>"3809"</f>
        <v>3809</v>
      </c>
      <c r="B3019" t="str">
        <f t="shared" si="196"/>
        <v>1</v>
      </c>
      <c r="C3019" t="str">
        <f t="shared" si="195"/>
        <v>161</v>
      </c>
      <c r="D3019" t="str">
        <f>"12"</f>
        <v>12</v>
      </c>
      <c r="E3019" t="str">
        <f>"1-161-12"</f>
        <v>1-161-12</v>
      </c>
      <c r="F3019" t="s">
        <v>15</v>
      </c>
      <c r="G3019" t="s">
        <v>16</v>
      </c>
      <c r="H3019" t="s">
        <v>17</v>
      </c>
      <c r="I3019">
        <v>0</v>
      </c>
      <c r="J3019">
        <v>1</v>
      </c>
      <c r="K3019">
        <v>0</v>
      </c>
    </row>
    <row r="3020" spans="1:11" x14ac:dyDescent="0.25">
      <c r="A3020" t="str">
        <f>"3810"</f>
        <v>3810</v>
      </c>
      <c r="B3020" t="str">
        <f t="shared" si="196"/>
        <v>1</v>
      </c>
      <c r="C3020" t="str">
        <f t="shared" si="195"/>
        <v>161</v>
      </c>
      <c r="D3020" t="str">
        <f>"13"</f>
        <v>13</v>
      </c>
      <c r="E3020" t="str">
        <f>"1-161-13"</f>
        <v>1-161-13</v>
      </c>
      <c r="F3020" t="s">
        <v>15</v>
      </c>
      <c r="G3020" t="s">
        <v>16</v>
      </c>
      <c r="H3020" t="s">
        <v>17</v>
      </c>
      <c r="I3020">
        <v>0</v>
      </c>
      <c r="J3020">
        <v>1</v>
      </c>
      <c r="K3020">
        <v>0</v>
      </c>
    </row>
    <row r="3021" spans="1:11" x14ac:dyDescent="0.25">
      <c r="A3021" t="str">
        <f>"3811"</f>
        <v>3811</v>
      </c>
      <c r="B3021" t="str">
        <f t="shared" si="196"/>
        <v>1</v>
      </c>
      <c r="C3021" t="str">
        <f t="shared" si="195"/>
        <v>161</v>
      </c>
      <c r="D3021" t="str">
        <f>"8"</f>
        <v>8</v>
      </c>
      <c r="E3021" t="str">
        <f>"1-161-8"</f>
        <v>1-161-8</v>
      </c>
      <c r="F3021" t="s">
        <v>15</v>
      </c>
      <c r="G3021" t="s">
        <v>16</v>
      </c>
      <c r="H3021" t="s">
        <v>17</v>
      </c>
      <c r="I3021">
        <v>0</v>
      </c>
      <c r="J3021">
        <v>1</v>
      </c>
      <c r="K3021">
        <v>0</v>
      </c>
    </row>
    <row r="3022" spans="1:11" x14ac:dyDescent="0.25">
      <c r="A3022" t="str">
        <f>"3812"</f>
        <v>3812</v>
      </c>
      <c r="B3022" t="str">
        <f t="shared" si="196"/>
        <v>1</v>
      </c>
      <c r="C3022" t="str">
        <f t="shared" si="195"/>
        <v>161</v>
      </c>
      <c r="D3022" t="str">
        <f>"2"</f>
        <v>2</v>
      </c>
      <c r="E3022" t="str">
        <f>"1-161-2"</f>
        <v>1-161-2</v>
      </c>
      <c r="F3022" t="s">
        <v>15</v>
      </c>
      <c r="G3022" t="s">
        <v>16</v>
      </c>
      <c r="H3022" t="s">
        <v>17</v>
      </c>
      <c r="I3022">
        <v>0</v>
      </c>
      <c r="J3022">
        <v>0</v>
      </c>
      <c r="K3022">
        <v>1</v>
      </c>
    </row>
    <row r="3023" spans="1:11" x14ac:dyDescent="0.25">
      <c r="A3023" t="str">
        <f>"3813"</f>
        <v>3813</v>
      </c>
      <c r="B3023" t="str">
        <f t="shared" si="196"/>
        <v>1</v>
      </c>
      <c r="C3023" t="str">
        <f t="shared" si="195"/>
        <v>161</v>
      </c>
      <c r="D3023" t="str">
        <f>"6"</f>
        <v>6</v>
      </c>
      <c r="E3023" t="str">
        <f>"1-161-6"</f>
        <v>1-161-6</v>
      </c>
      <c r="F3023" t="s">
        <v>15</v>
      </c>
      <c r="G3023" t="s">
        <v>20</v>
      </c>
      <c r="H3023" t="s">
        <v>21</v>
      </c>
      <c r="I3023">
        <v>0</v>
      </c>
      <c r="J3023">
        <v>0</v>
      </c>
      <c r="K3023">
        <v>1</v>
      </c>
    </row>
    <row r="3024" spans="1:11" x14ac:dyDescent="0.25">
      <c r="A3024" t="str">
        <f>"3814"</f>
        <v>3814</v>
      </c>
      <c r="B3024" t="str">
        <f t="shared" si="196"/>
        <v>1</v>
      </c>
      <c r="C3024" t="str">
        <f t="shared" si="195"/>
        <v>161</v>
      </c>
      <c r="D3024" t="str">
        <f>"4"</f>
        <v>4</v>
      </c>
      <c r="E3024" t="str">
        <f>"1-161-4"</f>
        <v>1-161-4</v>
      </c>
      <c r="F3024" t="s">
        <v>15</v>
      </c>
      <c r="G3024" t="s">
        <v>18</v>
      </c>
      <c r="H3024" t="s">
        <v>19</v>
      </c>
      <c r="I3024">
        <v>0</v>
      </c>
      <c r="J3024">
        <v>0</v>
      </c>
      <c r="K3024">
        <v>0</v>
      </c>
    </row>
    <row r="3025" spans="1:11" x14ac:dyDescent="0.25">
      <c r="A3025" t="str">
        <f>"3815"</f>
        <v>3815</v>
      </c>
      <c r="B3025" t="str">
        <f t="shared" si="196"/>
        <v>1</v>
      </c>
      <c r="C3025" t="str">
        <f t="shared" si="195"/>
        <v>161</v>
      </c>
      <c r="D3025" t="str">
        <f>"11"</f>
        <v>11</v>
      </c>
      <c r="E3025" t="str">
        <f>"1-161-11"</f>
        <v>1-161-11</v>
      </c>
      <c r="F3025" t="s">
        <v>15</v>
      </c>
      <c r="G3025" t="s">
        <v>16</v>
      </c>
      <c r="H3025" t="s">
        <v>17</v>
      </c>
      <c r="I3025">
        <v>0</v>
      </c>
      <c r="J3025">
        <v>0</v>
      </c>
      <c r="K3025">
        <v>0</v>
      </c>
    </row>
    <row r="3026" spans="1:11" x14ac:dyDescent="0.25">
      <c r="A3026" t="str">
        <f>"3816"</f>
        <v>3816</v>
      </c>
      <c r="B3026" t="str">
        <f t="shared" si="196"/>
        <v>1</v>
      </c>
      <c r="C3026" t="str">
        <f t="shared" ref="C3026:C3041" si="197">"162"</f>
        <v>162</v>
      </c>
      <c r="D3026" t="str">
        <f>"17"</f>
        <v>17</v>
      </c>
      <c r="E3026" t="str">
        <f>"1-162-17"</f>
        <v>1-162-17</v>
      </c>
      <c r="F3026" t="s">
        <v>15</v>
      </c>
      <c r="G3026" t="s">
        <v>16</v>
      </c>
      <c r="H3026" t="s">
        <v>17</v>
      </c>
      <c r="I3026">
        <v>0</v>
      </c>
      <c r="J3026">
        <v>1</v>
      </c>
      <c r="K3026">
        <v>0</v>
      </c>
    </row>
    <row r="3027" spans="1:11" x14ac:dyDescent="0.25">
      <c r="A3027" t="str">
        <f>"3817"</f>
        <v>3817</v>
      </c>
      <c r="B3027" t="str">
        <f t="shared" si="196"/>
        <v>1</v>
      </c>
      <c r="C3027" t="str">
        <f t="shared" si="197"/>
        <v>162</v>
      </c>
      <c r="D3027" t="str">
        <f>"15"</f>
        <v>15</v>
      </c>
      <c r="E3027" t="str">
        <f>"1-162-15"</f>
        <v>1-162-15</v>
      </c>
      <c r="F3027" t="s">
        <v>15</v>
      </c>
      <c r="G3027" t="s">
        <v>20</v>
      </c>
      <c r="H3027" t="s">
        <v>21</v>
      </c>
      <c r="I3027">
        <v>1</v>
      </c>
      <c r="J3027">
        <v>0</v>
      </c>
      <c r="K3027">
        <v>0</v>
      </c>
    </row>
    <row r="3028" spans="1:11" x14ac:dyDescent="0.25">
      <c r="A3028" t="str">
        <f>"3818"</f>
        <v>3818</v>
      </c>
      <c r="B3028" t="str">
        <f t="shared" si="196"/>
        <v>1</v>
      </c>
      <c r="C3028" t="str">
        <f t="shared" si="197"/>
        <v>162</v>
      </c>
      <c r="D3028" t="str">
        <f>"3"</f>
        <v>3</v>
      </c>
      <c r="E3028" t="str">
        <f>"1-162-3"</f>
        <v>1-162-3</v>
      </c>
      <c r="F3028" t="s">
        <v>15</v>
      </c>
      <c r="G3028" t="s">
        <v>20</v>
      </c>
      <c r="H3028" t="s">
        <v>21</v>
      </c>
      <c r="I3028">
        <v>0</v>
      </c>
      <c r="J3028">
        <v>0</v>
      </c>
      <c r="K3028">
        <v>1</v>
      </c>
    </row>
    <row r="3029" spans="1:11" x14ac:dyDescent="0.25">
      <c r="A3029" t="str">
        <f>"3820"</f>
        <v>3820</v>
      </c>
      <c r="B3029" t="str">
        <f t="shared" si="196"/>
        <v>1</v>
      </c>
      <c r="C3029" t="str">
        <f t="shared" si="197"/>
        <v>162</v>
      </c>
      <c r="D3029" t="str">
        <f>"5"</f>
        <v>5</v>
      </c>
      <c r="E3029" t="str">
        <f>"1-162-5"</f>
        <v>1-162-5</v>
      </c>
      <c r="F3029" t="s">
        <v>15</v>
      </c>
      <c r="G3029" t="s">
        <v>20</v>
      </c>
      <c r="H3029" t="s">
        <v>21</v>
      </c>
      <c r="I3029">
        <v>0</v>
      </c>
      <c r="J3029">
        <v>0</v>
      </c>
      <c r="K3029">
        <v>1</v>
      </c>
    </row>
    <row r="3030" spans="1:11" x14ac:dyDescent="0.25">
      <c r="A3030" t="str">
        <f>"3822"</f>
        <v>3822</v>
      </c>
      <c r="B3030" t="str">
        <f t="shared" si="196"/>
        <v>1</v>
      </c>
      <c r="C3030" t="str">
        <f t="shared" si="197"/>
        <v>162</v>
      </c>
      <c r="D3030" t="str">
        <f>"19"</f>
        <v>19</v>
      </c>
      <c r="E3030" t="str">
        <f>"1-162-19"</f>
        <v>1-162-19</v>
      </c>
      <c r="F3030" t="s">
        <v>15</v>
      </c>
      <c r="G3030" t="s">
        <v>18</v>
      </c>
      <c r="H3030" t="s">
        <v>19</v>
      </c>
      <c r="I3030">
        <v>0</v>
      </c>
      <c r="J3030">
        <v>1</v>
      </c>
      <c r="K3030">
        <v>0</v>
      </c>
    </row>
    <row r="3031" spans="1:11" x14ac:dyDescent="0.25">
      <c r="A3031" t="str">
        <f>"3824"</f>
        <v>3824</v>
      </c>
      <c r="B3031" t="str">
        <f t="shared" si="196"/>
        <v>1</v>
      </c>
      <c r="C3031" t="str">
        <f t="shared" si="197"/>
        <v>162</v>
      </c>
      <c r="D3031" t="str">
        <f>"11"</f>
        <v>11</v>
      </c>
      <c r="E3031" t="str">
        <f>"1-162-11"</f>
        <v>1-162-11</v>
      </c>
      <c r="F3031" t="s">
        <v>15</v>
      </c>
      <c r="G3031" t="s">
        <v>20</v>
      </c>
      <c r="H3031" t="s">
        <v>21</v>
      </c>
      <c r="I3031">
        <v>0</v>
      </c>
      <c r="J3031">
        <v>0</v>
      </c>
      <c r="K3031">
        <v>1</v>
      </c>
    </row>
    <row r="3032" spans="1:11" x14ac:dyDescent="0.25">
      <c r="A3032" t="str">
        <f>"3825"</f>
        <v>3825</v>
      </c>
      <c r="B3032" t="str">
        <f t="shared" si="196"/>
        <v>1</v>
      </c>
      <c r="C3032" t="str">
        <f t="shared" si="197"/>
        <v>162</v>
      </c>
      <c r="D3032" t="str">
        <f>"7"</f>
        <v>7</v>
      </c>
      <c r="E3032" t="str">
        <f>"1-162-7"</f>
        <v>1-162-7</v>
      </c>
      <c r="F3032" t="s">
        <v>15</v>
      </c>
      <c r="G3032" t="s">
        <v>20</v>
      </c>
      <c r="H3032" t="s">
        <v>21</v>
      </c>
      <c r="I3032">
        <v>0</v>
      </c>
      <c r="J3032">
        <v>0</v>
      </c>
      <c r="K3032">
        <v>1</v>
      </c>
    </row>
    <row r="3033" spans="1:11" x14ac:dyDescent="0.25">
      <c r="A3033" t="str">
        <f>"3826"</f>
        <v>3826</v>
      </c>
      <c r="B3033" t="str">
        <f t="shared" si="196"/>
        <v>1</v>
      </c>
      <c r="C3033" t="str">
        <f t="shared" si="197"/>
        <v>162</v>
      </c>
      <c r="D3033" t="str">
        <f>"1"</f>
        <v>1</v>
      </c>
      <c r="E3033" t="str">
        <f>"1-162-1"</f>
        <v>1-162-1</v>
      </c>
      <c r="F3033" t="s">
        <v>15</v>
      </c>
      <c r="G3033" t="s">
        <v>20</v>
      </c>
      <c r="H3033" t="s">
        <v>21</v>
      </c>
      <c r="I3033">
        <v>1</v>
      </c>
      <c r="J3033">
        <v>0</v>
      </c>
      <c r="K3033">
        <v>0</v>
      </c>
    </row>
    <row r="3034" spans="1:11" x14ac:dyDescent="0.25">
      <c r="A3034" t="str">
        <f>"3827"</f>
        <v>3827</v>
      </c>
      <c r="B3034" t="str">
        <f t="shared" si="196"/>
        <v>1</v>
      </c>
      <c r="C3034" t="str">
        <f t="shared" si="197"/>
        <v>162</v>
      </c>
      <c r="D3034" t="str">
        <f>"10"</f>
        <v>10</v>
      </c>
      <c r="E3034" t="str">
        <f>"1-162-10"</f>
        <v>1-162-10</v>
      </c>
      <c r="F3034" t="s">
        <v>15</v>
      </c>
      <c r="G3034" t="s">
        <v>20</v>
      </c>
      <c r="H3034" t="s">
        <v>21</v>
      </c>
      <c r="I3034">
        <v>0</v>
      </c>
      <c r="J3034">
        <v>0</v>
      </c>
      <c r="K3034">
        <v>1</v>
      </c>
    </row>
    <row r="3035" spans="1:11" x14ac:dyDescent="0.25">
      <c r="A3035" t="str">
        <f>"3828"</f>
        <v>3828</v>
      </c>
      <c r="B3035" t="str">
        <f t="shared" si="196"/>
        <v>1</v>
      </c>
      <c r="C3035" t="str">
        <f t="shared" si="197"/>
        <v>162</v>
      </c>
      <c r="D3035" t="str">
        <f>"4"</f>
        <v>4</v>
      </c>
      <c r="E3035" t="str">
        <f>"1-162-4"</f>
        <v>1-162-4</v>
      </c>
      <c r="F3035" t="s">
        <v>15</v>
      </c>
      <c r="G3035" t="s">
        <v>20</v>
      </c>
      <c r="H3035" t="s">
        <v>21</v>
      </c>
      <c r="I3035">
        <v>0</v>
      </c>
      <c r="J3035">
        <v>0</v>
      </c>
      <c r="K3035">
        <v>1</v>
      </c>
    </row>
    <row r="3036" spans="1:11" x14ac:dyDescent="0.25">
      <c r="A3036" t="str">
        <f>"3829"</f>
        <v>3829</v>
      </c>
      <c r="B3036" t="str">
        <f t="shared" si="196"/>
        <v>1</v>
      </c>
      <c r="C3036" t="str">
        <f t="shared" si="197"/>
        <v>162</v>
      </c>
      <c r="D3036" t="str">
        <f>"14"</f>
        <v>14</v>
      </c>
      <c r="E3036" t="str">
        <f>"1-162-14"</f>
        <v>1-162-14</v>
      </c>
      <c r="F3036" t="s">
        <v>15</v>
      </c>
      <c r="G3036" t="s">
        <v>20</v>
      </c>
      <c r="H3036" t="s">
        <v>21</v>
      </c>
      <c r="I3036">
        <v>0</v>
      </c>
      <c r="J3036">
        <v>0</v>
      </c>
      <c r="K3036">
        <v>1</v>
      </c>
    </row>
    <row r="3037" spans="1:11" x14ac:dyDescent="0.25">
      <c r="A3037" t="str">
        <f>"3830"</f>
        <v>3830</v>
      </c>
      <c r="B3037" t="str">
        <f t="shared" si="196"/>
        <v>1</v>
      </c>
      <c r="C3037" t="str">
        <f t="shared" si="197"/>
        <v>162</v>
      </c>
      <c r="D3037" t="str">
        <f>"8"</f>
        <v>8</v>
      </c>
      <c r="E3037" t="str">
        <f>"1-162-8"</f>
        <v>1-162-8</v>
      </c>
      <c r="F3037" t="s">
        <v>15</v>
      </c>
      <c r="G3037" t="s">
        <v>20</v>
      </c>
      <c r="H3037" t="s">
        <v>21</v>
      </c>
      <c r="I3037">
        <v>0</v>
      </c>
      <c r="J3037">
        <v>0</v>
      </c>
      <c r="K3037">
        <v>1</v>
      </c>
    </row>
    <row r="3038" spans="1:11" x14ac:dyDescent="0.25">
      <c r="A3038" t="str">
        <f>"3831"</f>
        <v>3831</v>
      </c>
      <c r="B3038" t="str">
        <f t="shared" si="196"/>
        <v>1</v>
      </c>
      <c r="C3038" t="str">
        <f t="shared" si="197"/>
        <v>162</v>
      </c>
      <c r="D3038" t="str">
        <f>"9"</f>
        <v>9</v>
      </c>
      <c r="E3038" t="str">
        <f>"1-162-9"</f>
        <v>1-162-9</v>
      </c>
      <c r="F3038" t="s">
        <v>15</v>
      </c>
      <c r="G3038" t="s">
        <v>20</v>
      </c>
      <c r="H3038" t="s">
        <v>21</v>
      </c>
      <c r="I3038">
        <v>0</v>
      </c>
      <c r="J3038">
        <v>0</v>
      </c>
      <c r="K3038">
        <v>1</v>
      </c>
    </row>
    <row r="3039" spans="1:11" x14ac:dyDescent="0.25">
      <c r="A3039" t="str">
        <f>"3832"</f>
        <v>3832</v>
      </c>
      <c r="B3039" t="str">
        <f t="shared" si="196"/>
        <v>1</v>
      </c>
      <c r="C3039" t="str">
        <f t="shared" si="197"/>
        <v>162</v>
      </c>
      <c r="D3039" t="str">
        <f>"13"</f>
        <v>13</v>
      </c>
      <c r="E3039" t="str">
        <f>"1-162-13"</f>
        <v>1-162-13</v>
      </c>
      <c r="F3039" t="s">
        <v>15</v>
      </c>
      <c r="G3039" t="s">
        <v>20</v>
      </c>
      <c r="H3039" t="s">
        <v>21</v>
      </c>
      <c r="I3039">
        <v>0</v>
      </c>
      <c r="J3039">
        <v>0</v>
      </c>
      <c r="K3039">
        <v>1</v>
      </c>
    </row>
    <row r="3040" spans="1:11" x14ac:dyDescent="0.25">
      <c r="A3040" t="str">
        <f>"3833"</f>
        <v>3833</v>
      </c>
      <c r="B3040" t="str">
        <f t="shared" si="196"/>
        <v>1</v>
      </c>
      <c r="C3040" t="str">
        <f t="shared" si="197"/>
        <v>162</v>
      </c>
      <c r="D3040" t="str">
        <f>"12"</f>
        <v>12</v>
      </c>
      <c r="E3040" t="str">
        <f>"1-162-12"</f>
        <v>1-162-12</v>
      </c>
      <c r="F3040" t="s">
        <v>15</v>
      </c>
      <c r="G3040" t="s">
        <v>20</v>
      </c>
      <c r="H3040" t="s">
        <v>21</v>
      </c>
      <c r="I3040">
        <v>0</v>
      </c>
      <c r="J3040">
        <v>0</v>
      </c>
      <c r="K3040">
        <v>1</v>
      </c>
    </row>
    <row r="3041" spans="1:11" x14ac:dyDescent="0.25">
      <c r="A3041" t="str">
        <f>"3834"</f>
        <v>3834</v>
      </c>
      <c r="B3041" t="str">
        <f t="shared" si="196"/>
        <v>1</v>
      </c>
      <c r="C3041" t="str">
        <f t="shared" si="197"/>
        <v>162</v>
      </c>
      <c r="D3041" t="str">
        <f>"18"</f>
        <v>18</v>
      </c>
      <c r="E3041" t="str">
        <f>"1-162-18"</f>
        <v>1-162-18</v>
      </c>
      <c r="F3041" t="s">
        <v>15</v>
      </c>
      <c r="G3041" t="s">
        <v>20</v>
      </c>
      <c r="H3041" t="s">
        <v>21</v>
      </c>
      <c r="I3041">
        <v>0</v>
      </c>
      <c r="J3041">
        <v>0</v>
      </c>
      <c r="K3041">
        <v>0</v>
      </c>
    </row>
    <row r="3042" spans="1:11" x14ac:dyDescent="0.25">
      <c r="A3042" t="str">
        <f>"3835"</f>
        <v>3835</v>
      </c>
      <c r="B3042" t="str">
        <f t="shared" si="196"/>
        <v>1</v>
      </c>
      <c r="C3042" t="str">
        <f t="shared" ref="C3042:C3066" si="198">"163"</f>
        <v>163</v>
      </c>
      <c r="D3042" t="str">
        <f>"24"</f>
        <v>24</v>
      </c>
      <c r="E3042" t="str">
        <f>"1-163-24"</f>
        <v>1-163-24</v>
      </c>
      <c r="F3042" t="s">
        <v>15</v>
      </c>
      <c r="G3042" t="s">
        <v>16</v>
      </c>
      <c r="H3042" t="s">
        <v>17</v>
      </c>
      <c r="I3042">
        <v>0</v>
      </c>
      <c r="J3042">
        <v>1</v>
      </c>
      <c r="K3042">
        <v>0</v>
      </c>
    </row>
    <row r="3043" spans="1:11" x14ac:dyDescent="0.25">
      <c r="A3043" t="str">
        <f>"3836"</f>
        <v>3836</v>
      </c>
      <c r="B3043" t="str">
        <f t="shared" si="196"/>
        <v>1</v>
      </c>
      <c r="C3043" t="str">
        <f t="shared" si="198"/>
        <v>163</v>
      </c>
      <c r="D3043" t="str">
        <f>"15"</f>
        <v>15</v>
      </c>
      <c r="E3043" t="str">
        <f>"1-163-15"</f>
        <v>1-163-15</v>
      </c>
      <c r="F3043" t="s">
        <v>15</v>
      </c>
      <c r="G3043" t="s">
        <v>16</v>
      </c>
      <c r="H3043" t="s">
        <v>17</v>
      </c>
      <c r="I3043">
        <v>0</v>
      </c>
      <c r="J3043">
        <v>0</v>
      </c>
      <c r="K3043">
        <v>1</v>
      </c>
    </row>
    <row r="3044" spans="1:11" x14ac:dyDescent="0.25">
      <c r="A3044" t="str">
        <f>"3837"</f>
        <v>3837</v>
      </c>
      <c r="B3044" t="str">
        <f t="shared" si="196"/>
        <v>1</v>
      </c>
      <c r="C3044" t="str">
        <f t="shared" si="198"/>
        <v>163</v>
      </c>
      <c r="D3044" t="str">
        <f>"25"</f>
        <v>25</v>
      </c>
      <c r="E3044" t="str">
        <f>"1-163-25"</f>
        <v>1-163-25</v>
      </c>
      <c r="F3044" t="s">
        <v>15</v>
      </c>
      <c r="G3044" t="s">
        <v>16</v>
      </c>
      <c r="H3044" t="s">
        <v>17</v>
      </c>
      <c r="I3044">
        <v>0</v>
      </c>
      <c r="J3044">
        <v>1</v>
      </c>
      <c r="K3044">
        <v>0</v>
      </c>
    </row>
    <row r="3045" spans="1:11" x14ac:dyDescent="0.25">
      <c r="A3045" t="str">
        <f>"3838"</f>
        <v>3838</v>
      </c>
      <c r="B3045" t="str">
        <f t="shared" si="196"/>
        <v>1</v>
      </c>
      <c r="C3045" t="str">
        <f t="shared" si="198"/>
        <v>163</v>
      </c>
      <c r="D3045" t="str">
        <f>"16"</f>
        <v>16</v>
      </c>
      <c r="E3045" t="str">
        <f>"1-163-16"</f>
        <v>1-163-16</v>
      </c>
      <c r="F3045" t="s">
        <v>15</v>
      </c>
      <c r="G3045" t="s">
        <v>20</v>
      </c>
      <c r="H3045" t="s">
        <v>21</v>
      </c>
      <c r="I3045">
        <v>0</v>
      </c>
      <c r="J3045">
        <v>0</v>
      </c>
      <c r="K3045">
        <v>1</v>
      </c>
    </row>
    <row r="3046" spans="1:11" x14ac:dyDescent="0.25">
      <c r="A3046" t="str">
        <f>"3839"</f>
        <v>3839</v>
      </c>
      <c r="B3046" t="str">
        <f t="shared" si="196"/>
        <v>1</v>
      </c>
      <c r="C3046" t="str">
        <f t="shared" si="198"/>
        <v>163</v>
      </c>
      <c r="D3046" t="str">
        <f>"4"</f>
        <v>4</v>
      </c>
      <c r="E3046" t="str">
        <f>"1-163-4"</f>
        <v>1-163-4</v>
      </c>
      <c r="F3046" t="s">
        <v>15</v>
      </c>
      <c r="G3046" t="s">
        <v>18</v>
      </c>
      <c r="H3046" t="s">
        <v>19</v>
      </c>
      <c r="I3046">
        <v>1</v>
      </c>
      <c r="J3046">
        <v>0</v>
      </c>
      <c r="K3046">
        <v>0</v>
      </c>
    </row>
    <row r="3047" spans="1:11" x14ac:dyDescent="0.25">
      <c r="A3047" t="str">
        <f>"3841"</f>
        <v>3841</v>
      </c>
      <c r="B3047" t="str">
        <f t="shared" si="196"/>
        <v>1</v>
      </c>
      <c r="C3047" t="str">
        <f t="shared" si="198"/>
        <v>163</v>
      </c>
      <c r="D3047" t="str">
        <f>"13"</f>
        <v>13</v>
      </c>
      <c r="E3047" t="str">
        <f>"1-163-13"</f>
        <v>1-163-13</v>
      </c>
      <c r="F3047" t="s">
        <v>15</v>
      </c>
      <c r="G3047" t="s">
        <v>20</v>
      </c>
      <c r="H3047" t="s">
        <v>21</v>
      </c>
      <c r="I3047">
        <v>0</v>
      </c>
      <c r="J3047">
        <v>1</v>
      </c>
      <c r="K3047">
        <v>0</v>
      </c>
    </row>
    <row r="3048" spans="1:11" x14ac:dyDescent="0.25">
      <c r="A3048" t="str">
        <f>"3842"</f>
        <v>3842</v>
      </c>
      <c r="B3048" t="str">
        <f t="shared" si="196"/>
        <v>1</v>
      </c>
      <c r="C3048" t="str">
        <f t="shared" si="198"/>
        <v>163</v>
      </c>
      <c r="D3048" t="str">
        <f>"3"</f>
        <v>3</v>
      </c>
      <c r="E3048" t="str">
        <f>"1-163-3"</f>
        <v>1-163-3</v>
      </c>
      <c r="F3048" t="s">
        <v>15</v>
      </c>
      <c r="G3048" t="s">
        <v>18</v>
      </c>
      <c r="H3048" t="s">
        <v>19</v>
      </c>
      <c r="I3048">
        <v>0</v>
      </c>
      <c r="J3048">
        <v>0</v>
      </c>
      <c r="K3048">
        <v>1</v>
      </c>
    </row>
    <row r="3049" spans="1:11" x14ac:dyDescent="0.25">
      <c r="A3049" t="str">
        <f>"3845"</f>
        <v>3845</v>
      </c>
      <c r="B3049" t="str">
        <f t="shared" si="196"/>
        <v>1</v>
      </c>
      <c r="C3049" t="str">
        <f t="shared" si="198"/>
        <v>163</v>
      </c>
      <c r="D3049" t="str">
        <f>"20"</f>
        <v>20</v>
      </c>
      <c r="E3049" t="str">
        <f>"1-163-20"</f>
        <v>1-163-20</v>
      </c>
      <c r="F3049" t="s">
        <v>15</v>
      </c>
      <c r="G3049" t="s">
        <v>16</v>
      </c>
      <c r="H3049" t="s">
        <v>17</v>
      </c>
      <c r="I3049">
        <v>0</v>
      </c>
      <c r="J3049">
        <v>1</v>
      </c>
      <c r="K3049">
        <v>0</v>
      </c>
    </row>
    <row r="3050" spans="1:11" x14ac:dyDescent="0.25">
      <c r="A3050" t="str">
        <f>"3846"</f>
        <v>3846</v>
      </c>
      <c r="B3050" t="str">
        <f t="shared" si="196"/>
        <v>1</v>
      </c>
      <c r="C3050" t="str">
        <f t="shared" si="198"/>
        <v>163</v>
      </c>
      <c r="D3050" t="str">
        <f>"2"</f>
        <v>2</v>
      </c>
      <c r="E3050" t="str">
        <f>"1-163-2"</f>
        <v>1-163-2</v>
      </c>
      <c r="F3050" t="s">
        <v>15</v>
      </c>
      <c r="G3050" t="s">
        <v>16</v>
      </c>
      <c r="H3050" t="s">
        <v>17</v>
      </c>
      <c r="I3050">
        <v>0</v>
      </c>
      <c r="J3050">
        <v>0</v>
      </c>
      <c r="K3050">
        <v>1</v>
      </c>
    </row>
    <row r="3051" spans="1:11" x14ac:dyDescent="0.25">
      <c r="A3051" t="str">
        <f>"3847"</f>
        <v>3847</v>
      </c>
      <c r="B3051" t="str">
        <f t="shared" si="196"/>
        <v>1</v>
      </c>
      <c r="C3051" t="str">
        <f t="shared" si="198"/>
        <v>163</v>
      </c>
      <c r="D3051" t="str">
        <f>"10"</f>
        <v>10</v>
      </c>
      <c r="E3051" t="str">
        <f>"1-163-10"</f>
        <v>1-163-10</v>
      </c>
      <c r="F3051" t="s">
        <v>15</v>
      </c>
      <c r="G3051" t="s">
        <v>20</v>
      </c>
      <c r="H3051" t="s">
        <v>21</v>
      </c>
      <c r="I3051">
        <v>0</v>
      </c>
      <c r="J3051">
        <v>0</v>
      </c>
      <c r="K3051">
        <v>1</v>
      </c>
    </row>
    <row r="3052" spans="1:11" x14ac:dyDescent="0.25">
      <c r="A3052" t="str">
        <f>"3848"</f>
        <v>3848</v>
      </c>
      <c r="B3052" t="str">
        <f t="shared" si="196"/>
        <v>1</v>
      </c>
      <c r="C3052" t="str">
        <f t="shared" si="198"/>
        <v>163</v>
      </c>
      <c r="D3052" t="str">
        <f>"22"</f>
        <v>22</v>
      </c>
      <c r="E3052" t="str">
        <f>"1-163-22"</f>
        <v>1-163-22</v>
      </c>
      <c r="F3052" t="s">
        <v>15</v>
      </c>
      <c r="G3052" t="s">
        <v>20</v>
      </c>
      <c r="H3052" t="s">
        <v>21</v>
      </c>
      <c r="I3052">
        <v>0</v>
      </c>
      <c r="J3052">
        <v>1</v>
      </c>
      <c r="K3052">
        <v>0</v>
      </c>
    </row>
    <row r="3053" spans="1:11" x14ac:dyDescent="0.25">
      <c r="A3053" t="str">
        <f>"3849"</f>
        <v>3849</v>
      </c>
      <c r="B3053" t="str">
        <f t="shared" si="196"/>
        <v>1</v>
      </c>
      <c r="C3053" t="str">
        <f t="shared" si="198"/>
        <v>163</v>
      </c>
      <c r="D3053" t="str">
        <f>"23"</f>
        <v>23</v>
      </c>
      <c r="E3053" t="str">
        <f>"1-163-23"</f>
        <v>1-163-23</v>
      </c>
      <c r="F3053" t="s">
        <v>15</v>
      </c>
      <c r="G3053" t="s">
        <v>16</v>
      </c>
      <c r="H3053" t="s">
        <v>17</v>
      </c>
      <c r="I3053">
        <v>1</v>
      </c>
      <c r="J3053">
        <v>0</v>
      </c>
      <c r="K3053">
        <v>0</v>
      </c>
    </row>
    <row r="3054" spans="1:11" x14ac:dyDescent="0.25">
      <c r="A3054" t="str">
        <f>"3850"</f>
        <v>3850</v>
      </c>
      <c r="B3054" t="str">
        <f t="shared" si="196"/>
        <v>1</v>
      </c>
      <c r="C3054" t="str">
        <f t="shared" si="198"/>
        <v>163</v>
      </c>
      <c r="D3054" t="str">
        <f>"1"</f>
        <v>1</v>
      </c>
      <c r="E3054" t="str">
        <f>"1-163-1"</f>
        <v>1-163-1</v>
      </c>
      <c r="F3054" t="s">
        <v>15</v>
      </c>
      <c r="G3054" t="s">
        <v>16</v>
      </c>
      <c r="H3054" t="s">
        <v>17</v>
      </c>
      <c r="I3054">
        <v>0</v>
      </c>
      <c r="J3054">
        <v>0</v>
      </c>
      <c r="K3054">
        <v>1</v>
      </c>
    </row>
    <row r="3055" spans="1:11" x14ac:dyDescent="0.25">
      <c r="A3055" t="str">
        <f>"3851"</f>
        <v>3851</v>
      </c>
      <c r="B3055" t="str">
        <f t="shared" si="196"/>
        <v>1</v>
      </c>
      <c r="C3055" t="str">
        <f t="shared" si="198"/>
        <v>163</v>
      </c>
      <c r="D3055" t="str">
        <f>"26"</f>
        <v>26</v>
      </c>
      <c r="E3055" t="str">
        <f>"1-163-26"</f>
        <v>1-163-26</v>
      </c>
      <c r="F3055" t="s">
        <v>15</v>
      </c>
      <c r="G3055" t="s">
        <v>20</v>
      </c>
      <c r="H3055" t="s">
        <v>21</v>
      </c>
      <c r="I3055">
        <v>0</v>
      </c>
      <c r="J3055">
        <v>0</v>
      </c>
      <c r="K3055">
        <v>1</v>
      </c>
    </row>
    <row r="3056" spans="1:11" x14ac:dyDescent="0.25">
      <c r="A3056" t="str">
        <f>"3852"</f>
        <v>3852</v>
      </c>
      <c r="B3056" t="str">
        <f t="shared" si="196"/>
        <v>1</v>
      </c>
      <c r="C3056" t="str">
        <f t="shared" si="198"/>
        <v>163</v>
      </c>
      <c r="D3056" t="str">
        <f>"14"</f>
        <v>14</v>
      </c>
      <c r="E3056" t="str">
        <f>"1-163-14"</f>
        <v>1-163-14</v>
      </c>
      <c r="F3056" t="s">
        <v>15</v>
      </c>
      <c r="G3056" t="s">
        <v>20</v>
      </c>
      <c r="H3056" t="s">
        <v>21</v>
      </c>
      <c r="I3056">
        <v>0</v>
      </c>
      <c r="J3056">
        <v>0</v>
      </c>
      <c r="K3056">
        <v>1</v>
      </c>
    </row>
    <row r="3057" spans="1:11" x14ac:dyDescent="0.25">
      <c r="A3057" t="str">
        <f>"3853"</f>
        <v>3853</v>
      </c>
      <c r="B3057" t="str">
        <f t="shared" si="196"/>
        <v>1</v>
      </c>
      <c r="C3057" t="str">
        <f t="shared" si="198"/>
        <v>163</v>
      </c>
      <c r="D3057" t="str">
        <f>"5"</f>
        <v>5</v>
      </c>
      <c r="E3057" t="str">
        <f>"1-163-5"</f>
        <v>1-163-5</v>
      </c>
      <c r="F3057" t="s">
        <v>15</v>
      </c>
      <c r="G3057" t="s">
        <v>20</v>
      </c>
      <c r="H3057" t="s">
        <v>21</v>
      </c>
      <c r="I3057">
        <v>1</v>
      </c>
      <c r="J3057">
        <v>0</v>
      </c>
      <c r="K3057">
        <v>0</v>
      </c>
    </row>
    <row r="3058" spans="1:11" x14ac:dyDescent="0.25">
      <c r="A3058" t="str">
        <f>"3854"</f>
        <v>3854</v>
      </c>
      <c r="B3058" t="str">
        <f t="shared" si="196"/>
        <v>1</v>
      </c>
      <c r="C3058" t="str">
        <f t="shared" si="198"/>
        <v>163</v>
      </c>
      <c r="D3058" t="str">
        <f>"28"</f>
        <v>28</v>
      </c>
      <c r="E3058" t="str">
        <f>"1-163-28"</f>
        <v>1-163-28</v>
      </c>
      <c r="F3058" t="s">
        <v>15</v>
      </c>
      <c r="G3058" t="s">
        <v>20</v>
      </c>
      <c r="H3058" t="s">
        <v>21</v>
      </c>
      <c r="I3058">
        <v>1</v>
      </c>
      <c r="J3058">
        <v>0</v>
      </c>
      <c r="K3058">
        <v>0</v>
      </c>
    </row>
    <row r="3059" spans="1:11" x14ac:dyDescent="0.25">
      <c r="A3059" t="str">
        <f>"3855"</f>
        <v>3855</v>
      </c>
      <c r="B3059" t="str">
        <f t="shared" si="196"/>
        <v>1</v>
      </c>
      <c r="C3059" t="str">
        <f t="shared" si="198"/>
        <v>163</v>
      </c>
      <c r="D3059" t="str">
        <f>"7"</f>
        <v>7</v>
      </c>
      <c r="E3059" t="str">
        <f>"1-163-7"</f>
        <v>1-163-7</v>
      </c>
      <c r="F3059" t="s">
        <v>15</v>
      </c>
      <c r="G3059" t="s">
        <v>20</v>
      </c>
      <c r="H3059" t="s">
        <v>21</v>
      </c>
      <c r="I3059">
        <v>0</v>
      </c>
      <c r="J3059">
        <v>1</v>
      </c>
      <c r="K3059">
        <v>0</v>
      </c>
    </row>
    <row r="3060" spans="1:11" x14ac:dyDescent="0.25">
      <c r="A3060" t="str">
        <f>"3856"</f>
        <v>3856</v>
      </c>
      <c r="B3060" t="str">
        <f t="shared" si="196"/>
        <v>1</v>
      </c>
      <c r="C3060" t="str">
        <f t="shared" si="198"/>
        <v>163</v>
      </c>
      <c r="D3060" t="str">
        <f>"6"</f>
        <v>6</v>
      </c>
      <c r="E3060" t="str">
        <f>"1-163-6"</f>
        <v>1-163-6</v>
      </c>
      <c r="F3060" t="s">
        <v>15</v>
      </c>
      <c r="G3060" t="s">
        <v>20</v>
      </c>
      <c r="H3060" t="s">
        <v>21</v>
      </c>
      <c r="I3060">
        <v>0</v>
      </c>
      <c r="J3060">
        <v>0</v>
      </c>
      <c r="K3060">
        <v>0</v>
      </c>
    </row>
    <row r="3061" spans="1:11" x14ac:dyDescent="0.25">
      <c r="A3061" t="str">
        <f>"3857"</f>
        <v>3857</v>
      </c>
      <c r="B3061" t="str">
        <f t="shared" si="196"/>
        <v>1</v>
      </c>
      <c r="C3061" t="str">
        <f t="shared" si="198"/>
        <v>163</v>
      </c>
      <c r="D3061" t="str">
        <f>"8"</f>
        <v>8</v>
      </c>
      <c r="E3061" t="str">
        <f>"1-163-8"</f>
        <v>1-163-8</v>
      </c>
      <c r="F3061" t="s">
        <v>15</v>
      </c>
      <c r="G3061" t="s">
        <v>20</v>
      </c>
      <c r="H3061" t="s">
        <v>21</v>
      </c>
      <c r="I3061">
        <v>0</v>
      </c>
      <c r="J3061">
        <v>0</v>
      </c>
      <c r="K3061">
        <v>0</v>
      </c>
    </row>
    <row r="3062" spans="1:11" x14ac:dyDescent="0.25">
      <c r="A3062" t="str">
        <f>"3858"</f>
        <v>3858</v>
      </c>
      <c r="B3062" t="str">
        <f t="shared" si="196"/>
        <v>1</v>
      </c>
      <c r="C3062" t="str">
        <f t="shared" si="198"/>
        <v>163</v>
      </c>
      <c r="D3062" t="str">
        <f>"11"</f>
        <v>11</v>
      </c>
      <c r="E3062" t="str">
        <f>"1-163-11"</f>
        <v>1-163-11</v>
      </c>
      <c r="F3062" t="s">
        <v>15</v>
      </c>
      <c r="G3062" t="s">
        <v>20</v>
      </c>
      <c r="H3062" t="s">
        <v>21</v>
      </c>
      <c r="I3062">
        <v>0</v>
      </c>
      <c r="J3062">
        <v>0</v>
      </c>
      <c r="K3062">
        <v>0</v>
      </c>
    </row>
    <row r="3063" spans="1:11" x14ac:dyDescent="0.25">
      <c r="A3063" t="str">
        <f>"3859"</f>
        <v>3859</v>
      </c>
      <c r="B3063" t="str">
        <f t="shared" si="196"/>
        <v>1</v>
      </c>
      <c r="C3063" t="str">
        <f t="shared" si="198"/>
        <v>163</v>
      </c>
      <c r="D3063" t="str">
        <f>"18"</f>
        <v>18</v>
      </c>
      <c r="E3063" t="str">
        <f>"1-163-18"</f>
        <v>1-163-18</v>
      </c>
      <c r="F3063" t="s">
        <v>15</v>
      </c>
      <c r="G3063" t="s">
        <v>16</v>
      </c>
      <c r="H3063" t="s">
        <v>17</v>
      </c>
      <c r="I3063">
        <v>0</v>
      </c>
      <c r="J3063">
        <v>0</v>
      </c>
      <c r="K3063">
        <v>0</v>
      </c>
    </row>
    <row r="3064" spans="1:11" x14ac:dyDescent="0.25">
      <c r="A3064" t="str">
        <f>"3860"</f>
        <v>3860</v>
      </c>
      <c r="B3064" t="str">
        <f t="shared" si="196"/>
        <v>1</v>
      </c>
      <c r="C3064" t="str">
        <f t="shared" si="198"/>
        <v>163</v>
      </c>
      <c r="D3064" t="str">
        <f>"12"</f>
        <v>12</v>
      </c>
      <c r="E3064" t="str">
        <f>"1-163-12"</f>
        <v>1-163-12</v>
      </c>
      <c r="F3064" t="s">
        <v>15</v>
      </c>
      <c r="G3064" t="s">
        <v>20</v>
      </c>
      <c r="H3064" t="s">
        <v>21</v>
      </c>
      <c r="I3064">
        <v>0</v>
      </c>
      <c r="J3064">
        <v>0</v>
      </c>
      <c r="K3064">
        <v>0</v>
      </c>
    </row>
    <row r="3065" spans="1:11" x14ac:dyDescent="0.25">
      <c r="A3065" t="str">
        <f>"3861"</f>
        <v>3861</v>
      </c>
      <c r="B3065" t="str">
        <f t="shared" si="196"/>
        <v>1</v>
      </c>
      <c r="C3065" t="str">
        <f t="shared" si="198"/>
        <v>163</v>
      </c>
      <c r="D3065" t="str">
        <f>"21"</f>
        <v>21</v>
      </c>
      <c r="E3065" t="str">
        <f>"1-163-21"</f>
        <v>1-163-21</v>
      </c>
      <c r="F3065" t="s">
        <v>15</v>
      </c>
      <c r="G3065" t="s">
        <v>16</v>
      </c>
      <c r="H3065" t="s">
        <v>17</v>
      </c>
      <c r="I3065">
        <v>0</v>
      </c>
      <c r="J3065">
        <v>0</v>
      </c>
      <c r="K3065">
        <v>0</v>
      </c>
    </row>
    <row r="3066" spans="1:11" x14ac:dyDescent="0.25">
      <c r="A3066" t="str">
        <f>"3862"</f>
        <v>3862</v>
      </c>
      <c r="B3066" t="str">
        <f t="shared" si="196"/>
        <v>1</v>
      </c>
      <c r="C3066" t="str">
        <f t="shared" si="198"/>
        <v>163</v>
      </c>
      <c r="D3066" t="str">
        <f>"27"</f>
        <v>27</v>
      </c>
      <c r="E3066" t="str">
        <f>"1-163-27"</f>
        <v>1-163-27</v>
      </c>
      <c r="F3066" t="s">
        <v>15</v>
      </c>
      <c r="G3066" t="s">
        <v>16</v>
      </c>
      <c r="H3066" t="s">
        <v>17</v>
      </c>
      <c r="I3066">
        <v>0</v>
      </c>
      <c r="J3066">
        <v>0</v>
      </c>
      <c r="K3066">
        <v>0</v>
      </c>
    </row>
    <row r="3067" spans="1:11" x14ac:dyDescent="0.25">
      <c r="A3067" t="str">
        <f>"3863"</f>
        <v>3863</v>
      </c>
      <c r="B3067" t="str">
        <f t="shared" si="196"/>
        <v>1</v>
      </c>
      <c r="C3067" t="str">
        <f t="shared" ref="C3067:C3087" si="199">"164"</f>
        <v>164</v>
      </c>
      <c r="D3067" t="str">
        <f>"15"</f>
        <v>15</v>
      </c>
      <c r="E3067" t="str">
        <f>"1-164-15"</f>
        <v>1-164-15</v>
      </c>
      <c r="F3067" t="s">
        <v>15</v>
      </c>
      <c r="G3067" t="s">
        <v>16</v>
      </c>
      <c r="H3067" t="s">
        <v>17</v>
      </c>
      <c r="I3067">
        <v>0</v>
      </c>
      <c r="J3067">
        <v>0</v>
      </c>
      <c r="K3067">
        <v>1</v>
      </c>
    </row>
    <row r="3068" spans="1:11" x14ac:dyDescent="0.25">
      <c r="A3068" t="str">
        <f>"3865"</f>
        <v>3865</v>
      </c>
      <c r="B3068" t="str">
        <f t="shared" si="196"/>
        <v>1</v>
      </c>
      <c r="C3068" t="str">
        <f t="shared" si="199"/>
        <v>164</v>
      </c>
      <c r="D3068" t="str">
        <f>"20"</f>
        <v>20</v>
      </c>
      <c r="E3068" t="str">
        <f>"1-164-20"</f>
        <v>1-164-20</v>
      </c>
      <c r="F3068" t="s">
        <v>15</v>
      </c>
      <c r="G3068" t="s">
        <v>16</v>
      </c>
      <c r="H3068" t="s">
        <v>17</v>
      </c>
      <c r="I3068">
        <v>0</v>
      </c>
      <c r="J3068">
        <v>1</v>
      </c>
      <c r="K3068">
        <v>0</v>
      </c>
    </row>
    <row r="3069" spans="1:11" x14ac:dyDescent="0.25">
      <c r="A3069" t="str">
        <f>"3866"</f>
        <v>3866</v>
      </c>
      <c r="B3069" t="str">
        <f t="shared" ref="B3069:B3111" si="200">"1"</f>
        <v>1</v>
      </c>
      <c r="C3069" t="str">
        <f t="shared" si="199"/>
        <v>164</v>
      </c>
      <c r="D3069" t="str">
        <f>"16"</f>
        <v>16</v>
      </c>
      <c r="E3069" t="str">
        <f>"1-164-16"</f>
        <v>1-164-16</v>
      </c>
      <c r="F3069" t="s">
        <v>15</v>
      </c>
      <c r="G3069" t="s">
        <v>16</v>
      </c>
      <c r="H3069" t="s">
        <v>17</v>
      </c>
      <c r="I3069">
        <v>0</v>
      </c>
      <c r="J3069">
        <v>1</v>
      </c>
      <c r="K3069">
        <v>0</v>
      </c>
    </row>
    <row r="3070" spans="1:11" x14ac:dyDescent="0.25">
      <c r="A3070" t="str">
        <f>"3867"</f>
        <v>3867</v>
      </c>
      <c r="B3070" t="str">
        <f t="shared" si="200"/>
        <v>1</v>
      </c>
      <c r="C3070" t="str">
        <f t="shared" si="199"/>
        <v>164</v>
      </c>
      <c r="D3070" t="str">
        <f>"1"</f>
        <v>1</v>
      </c>
      <c r="E3070" t="str">
        <f>"1-164-1"</f>
        <v>1-164-1</v>
      </c>
      <c r="F3070" t="s">
        <v>15</v>
      </c>
      <c r="G3070" t="s">
        <v>18</v>
      </c>
      <c r="H3070" t="s">
        <v>19</v>
      </c>
      <c r="I3070">
        <v>0</v>
      </c>
      <c r="J3070">
        <v>1</v>
      </c>
      <c r="K3070">
        <v>0</v>
      </c>
    </row>
    <row r="3071" spans="1:11" x14ac:dyDescent="0.25">
      <c r="A3071" t="str">
        <f>"3870"</f>
        <v>3870</v>
      </c>
      <c r="B3071" t="str">
        <f t="shared" si="200"/>
        <v>1</v>
      </c>
      <c r="C3071" t="str">
        <f t="shared" si="199"/>
        <v>164</v>
      </c>
      <c r="D3071" t="str">
        <f>"18"</f>
        <v>18</v>
      </c>
      <c r="E3071" t="str">
        <f>"1-164-18"</f>
        <v>1-164-18</v>
      </c>
      <c r="F3071" t="s">
        <v>15</v>
      </c>
      <c r="G3071" t="s">
        <v>16</v>
      </c>
      <c r="H3071" t="s">
        <v>17</v>
      </c>
      <c r="I3071">
        <v>1</v>
      </c>
      <c r="J3071">
        <v>0</v>
      </c>
      <c r="K3071">
        <v>0</v>
      </c>
    </row>
    <row r="3072" spans="1:11" x14ac:dyDescent="0.25">
      <c r="A3072" t="str">
        <f>"3871"</f>
        <v>3871</v>
      </c>
      <c r="B3072" t="str">
        <f t="shared" si="200"/>
        <v>1</v>
      </c>
      <c r="C3072" t="str">
        <f t="shared" si="199"/>
        <v>164</v>
      </c>
      <c r="D3072" t="str">
        <f>"5"</f>
        <v>5</v>
      </c>
      <c r="E3072" t="str">
        <f>"1-164-5"</f>
        <v>1-164-5</v>
      </c>
      <c r="F3072" t="s">
        <v>15</v>
      </c>
      <c r="G3072" t="s">
        <v>16</v>
      </c>
      <c r="H3072" t="s">
        <v>17</v>
      </c>
      <c r="I3072">
        <v>0</v>
      </c>
      <c r="J3072">
        <v>0</v>
      </c>
      <c r="K3072">
        <v>1</v>
      </c>
    </row>
    <row r="3073" spans="1:11" x14ac:dyDescent="0.25">
      <c r="A3073" t="str">
        <f>"3872"</f>
        <v>3872</v>
      </c>
      <c r="B3073" t="str">
        <f t="shared" si="200"/>
        <v>1</v>
      </c>
      <c r="C3073" t="str">
        <f t="shared" si="199"/>
        <v>164</v>
      </c>
      <c r="D3073" t="str">
        <f>"19"</f>
        <v>19</v>
      </c>
      <c r="E3073" t="str">
        <f>"1-164-19"</f>
        <v>1-164-19</v>
      </c>
      <c r="F3073" t="s">
        <v>15</v>
      </c>
      <c r="G3073" t="s">
        <v>16</v>
      </c>
      <c r="H3073" t="s">
        <v>17</v>
      </c>
      <c r="I3073">
        <v>1</v>
      </c>
      <c r="J3073">
        <v>0</v>
      </c>
      <c r="K3073">
        <v>0</v>
      </c>
    </row>
    <row r="3074" spans="1:11" x14ac:dyDescent="0.25">
      <c r="A3074" t="str">
        <f>"3873"</f>
        <v>3873</v>
      </c>
      <c r="B3074" t="str">
        <f t="shared" si="200"/>
        <v>1</v>
      </c>
      <c r="C3074" t="str">
        <f t="shared" si="199"/>
        <v>164</v>
      </c>
      <c r="D3074" t="str">
        <f>"14"</f>
        <v>14</v>
      </c>
      <c r="E3074" t="str">
        <f>"1-164-14"</f>
        <v>1-164-14</v>
      </c>
      <c r="F3074" t="s">
        <v>15</v>
      </c>
      <c r="G3074" t="s">
        <v>16</v>
      </c>
      <c r="H3074" t="s">
        <v>17</v>
      </c>
      <c r="I3074">
        <v>1</v>
      </c>
      <c r="J3074">
        <v>0</v>
      </c>
      <c r="K3074">
        <v>0</v>
      </c>
    </row>
    <row r="3075" spans="1:11" x14ac:dyDescent="0.25">
      <c r="A3075" t="str">
        <f>"3874"</f>
        <v>3874</v>
      </c>
      <c r="B3075" t="str">
        <f t="shared" si="200"/>
        <v>1</v>
      </c>
      <c r="C3075" t="str">
        <f t="shared" si="199"/>
        <v>164</v>
      </c>
      <c r="D3075" t="str">
        <f>"21"</f>
        <v>21</v>
      </c>
      <c r="E3075" t="str">
        <f>"1-164-21"</f>
        <v>1-164-21</v>
      </c>
      <c r="F3075" t="s">
        <v>15</v>
      </c>
      <c r="G3075" t="s">
        <v>16</v>
      </c>
      <c r="H3075" t="s">
        <v>17</v>
      </c>
      <c r="I3075">
        <v>1</v>
      </c>
      <c r="J3075">
        <v>0</v>
      </c>
      <c r="K3075">
        <v>0</v>
      </c>
    </row>
    <row r="3076" spans="1:11" x14ac:dyDescent="0.25">
      <c r="A3076" t="str">
        <f>"3875"</f>
        <v>3875</v>
      </c>
      <c r="B3076" t="str">
        <f t="shared" si="200"/>
        <v>1</v>
      </c>
      <c r="C3076" t="str">
        <f t="shared" si="199"/>
        <v>164</v>
      </c>
      <c r="D3076" t="str">
        <f>"3"</f>
        <v>3</v>
      </c>
      <c r="E3076" t="str">
        <f>"1-164-3"</f>
        <v>1-164-3</v>
      </c>
      <c r="F3076" t="s">
        <v>15</v>
      </c>
      <c r="G3076" t="s">
        <v>16</v>
      </c>
      <c r="H3076" t="s">
        <v>17</v>
      </c>
      <c r="I3076">
        <v>0</v>
      </c>
      <c r="J3076">
        <v>0</v>
      </c>
      <c r="K3076">
        <v>1</v>
      </c>
    </row>
    <row r="3077" spans="1:11" x14ac:dyDescent="0.25">
      <c r="A3077" t="str">
        <f>"3876"</f>
        <v>3876</v>
      </c>
      <c r="B3077" t="str">
        <f t="shared" si="200"/>
        <v>1</v>
      </c>
      <c r="C3077" t="str">
        <f t="shared" si="199"/>
        <v>164</v>
      </c>
      <c r="D3077" t="str">
        <f>"22"</f>
        <v>22</v>
      </c>
      <c r="E3077" t="str">
        <f>"1-164-22"</f>
        <v>1-164-22</v>
      </c>
      <c r="F3077" t="s">
        <v>15</v>
      </c>
      <c r="G3077" t="s">
        <v>18</v>
      </c>
      <c r="H3077" t="s">
        <v>19</v>
      </c>
      <c r="I3077">
        <v>0</v>
      </c>
      <c r="J3077">
        <v>1</v>
      </c>
      <c r="K3077">
        <v>0</v>
      </c>
    </row>
    <row r="3078" spans="1:11" x14ac:dyDescent="0.25">
      <c r="A3078" t="str">
        <f>"3877"</f>
        <v>3877</v>
      </c>
      <c r="B3078" t="str">
        <f t="shared" si="200"/>
        <v>1</v>
      </c>
      <c r="C3078" t="str">
        <f t="shared" si="199"/>
        <v>164</v>
      </c>
      <c r="D3078" t="str">
        <f>"8"</f>
        <v>8</v>
      </c>
      <c r="E3078" t="str">
        <f>"1-164-8"</f>
        <v>1-164-8</v>
      </c>
      <c r="F3078" t="s">
        <v>15</v>
      </c>
      <c r="G3078" t="s">
        <v>18</v>
      </c>
      <c r="H3078" t="s">
        <v>19</v>
      </c>
      <c r="I3078">
        <v>0</v>
      </c>
      <c r="J3078">
        <v>0</v>
      </c>
      <c r="K3078">
        <v>1</v>
      </c>
    </row>
    <row r="3079" spans="1:11" x14ac:dyDescent="0.25">
      <c r="A3079" t="str">
        <f>"3878"</f>
        <v>3878</v>
      </c>
      <c r="B3079" t="str">
        <f t="shared" si="200"/>
        <v>1</v>
      </c>
      <c r="C3079" t="str">
        <f t="shared" si="199"/>
        <v>164</v>
      </c>
      <c r="D3079" t="str">
        <f>"23"</f>
        <v>23</v>
      </c>
      <c r="E3079" t="str">
        <f>"1-164-23"</f>
        <v>1-164-23</v>
      </c>
      <c r="F3079" t="s">
        <v>15</v>
      </c>
      <c r="G3079" t="s">
        <v>20</v>
      </c>
      <c r="H3079" t="s">
        <v>21</v>
      </c>
      <c r="I3079">
        <v>0</v>
      </c>
      <c r="J3079">
        <v>0</v>
      </c>
      <c r="K3079">
        <v>1</v>
      </c>
    </row>
    <row r="3080" spans="1:11" x14ac:dyDescent="0.25">
      <c r="A3080" t="str">
        <f>"3879"</f>
        <v>3879</v>
      </c>
      <c r="B3080" t="str">
        <f t="shared" si="200"/>
        <v>1</v>
      </c>
      <c r="C3080" t="str">
        <f t="shared" si="199"/>
        <v>164</v>
      </c>
      <c r="D3080" t="str">
        <f>"7"</f>
        <v>7</v>
      </c>
      <c r="E3080" t="str">
        <f>"1-164-7"</f>
        <v>1-164-7</v>
      </c>
      <c r="F3080" t="s">
        <v>15</v>
      </c>
      <c r="G3080" t="s">
        <v>16</v>
      </c>
      <c r="H3080" t="s">
        <v>17</v>
      </c>
      <c r="I3080">
        <v>0</v>
      </c>
      <c r="J3080">
        <v>1</v>
      </c>
      <c r="K3080">
        <v>0</v>
      </c>
    </row>
    <row r="3081" spans="1:11" x14ac:dyDescent="0.25">
      <c r="A3081" t="str">
        <f>"3881"</f>
        <v>3881</v>
      </c>
      <c r="B3081" t="str">
        <f t="shared" si="200"/>
        <v>1</v>
      </c>
      <c r="C3081" t="str">
        <f t="shared" si="199"/>
        <v>164</v>
      </c>
      <c r="D3081" t="str">
        <f>"2"</f>
        <v>2</v>
      </c>
      <c r="E3081" t="str">
        <f>"1-164-2"</f>
        <v>1-164-2</v>
      </c>
      <c r="F3081" t="s">
        <v>15</v>
      </c>
      <c r="G3081" t="s">
        <v>18</v>
      </c>
      <c r="H3081" t="s">
        <v>19</v>
      </c>
      <c r="I3081">
        <v>0</v>
      </c>
      <c r="J3081">
        <v>1</v>
      </c>
      <c r="K3081">
        <v>0</v>
      </c>
    </row>
    <row r="3082" spans="1:11" x14ac:dyDescent="0.25">
      <c r="A3082" t="str">
        <f>"3882"</f>
        <v>3882</v>
      </c>
      <c r="B3082" t="str">
        <f t="shared" si="200"/>
        <v>1</v>
      </c>
      <c r="C3082" t="str">
        <f t="shared" si="199"/>
        <v>164</v>
      </c>
      <c r="D3082" t="str">
        <f>"25"</f>
        <v>25</v>
      </c>
      <c r="E3082" t="str">
        <f>"1-164-25"</f>
        <v>1-164-25</v>
      </c>
      <c r="F3082" t="s">
        <v>15</v>
      </c>
      <c r="G3082" t="s">
        <v>16</v>
      </c>
      <c r="H3082" t="s">
        <v>17</v>
      </c>
      <c r="I3082">
        <v>0</v>
      </c>
      <c r="J3082">
        <v>0</v>
      </c>
      <c r="K3082">
        <v>1</v>
      </c>
    </row>
    <row r="3083" spans="1:11" x14ac:dyDescent="0.25">
      <c r="A3083" t="str">
        <f>"3883"</f>
        <v>3883</v>
      </c>
      <c r="B3083" t="str">
        <f t="shared" si="200"/>
        <v>1</v>
      </c>
      <c r="C3083" t="str">
        <f t="shared" si="199"/>
        <v>164</v>
      </c>
      <c r="D3083" t="str">
        <f>"13"</f>
        <v>13</v>
      </c>
      <c r="E3083" t="str">
        <f>"1-164-13"</f>
        <v>1-164-13</v>
      </c>
      <c r="F3083" t="s">
        <v>15</v>
      </c>
      <c r="G3083" t="s">
        <v>16</v>
      </c>
      <c r="H3083" t="s">
        <v>17</v>
      </c>
      <c r="I3083">
        <v>1</v>
      </c>
      <c r="J3083">
        <v>0</v>
      </c>
      <c r="K3083">
        <v>0</v>
      </c>
    </row>
    <row r="3084" spans="1:11" x14ac:dyDescent="0.25">
      <c r="A3084" t="str">
        <f>"3884"</f>
        <v>3884</v>
      </c>
      <c r="B3084" t="str">
        <f t="shared" si="200"/>
        <v>1</v>
      </c>
      <c r="C3084" t="str">
        <f t="shared" si="199"/>
        <v>164</v>
      </c>
      <c r="D3084" t="str">
        <f>"6"</f>
        <v>6</v>
      </c>
      <c r="E3084" t="str">
        <f>"1-164-6"</f>
        <v>1-164-6</v>
      </c>
      <c r="F3084" t="s">
        <v>15</v>
      </c>
      <c r="G3084" t="s">
        <v>16</v>
      </c>
      <c r="H3084" t="s">
        <v>17</v>
      </c>
      <c r="I3084">
        <v>0</v>
      </c>
      <c r="J3084">
        <v>0</v>
      </c>
      <c r="K3084">
        <v>1</v>
      </c>
    </row>
    <row r="3085" spans="1:11" x14ac:dyDescent="0.25">
      <c r="A3085" t="str">
        <f>"3885"</f>
        <v>3885</v>
      </c>
      <c r="B3085" t="str">
        <f t="shared" si="200"/>
        <v>1</v>
      </c>
      <c r="C3085" t="str">
        <f t="shared" si="199"/>
        <v>164</v>
      </c>
      <c r="D3085" t="str">
        <f>"9"</f>
        <v>9</v>
      </c>
      <c r="E3085" t="str">
        <f>"1-164-9"</f>
        <v>1-164-9</v>
      </c>
      <c r="F3085" t="s">
        <v>15</v>
      </c>
      <c r="G3085" t="s">
        <v>20</v>
      </c>
      <c r="H3085" t="s">
        <v>21</v>
      </c>
      <c r="I3085">
        <v>0</v>
      </c>
      <c r="J3085">
        <v>0</v>
      </c>
      <c r="K3085">
        <v>1</v>
      </c>
    </row>
    <row r="3086" spans="1:11" x14ac:dyDescent="0.25">
      <c r="A3086" t="str">
        <f>"3886"</f>
        <v>3886</v>
      </c>
      <c r="B3086" t="str">
        <f t="shared" si="200"/>
        <v>1</v>
      </c>
      <c r="C3086" t="str">
        <f t="shared" si="199"/>
        <v>164</v>
      </c>
      <c r="D3086" t="str">
        <f>"12"</f>
        <v>12</v>
      </c>
      <c r="E3086" t="str">
        <f>"1-164-12"</f>
        <v>1-164-12</v>
      </c>
      <c r="F3086" t="s">
        <v>15</v>
      </c>
      <c r="G3086" t="s">
        <v>20</v>
      </c>
      <c r="H3086" t="s">
        <v>21</v>
      </c>
      <c r="I3086">
        <v>0</v>
      </c>
      <c r="J3086">
        <v>1</v>
      </c>
      <c r="K3086">
        <v>0</v>
      </c>
    </row>
    <row r="3087" spans="1:11" x14ac:dyDescent="0.25">
      <c r="A3087" t="str">
        <f>"3887"</f>
        <v>3887</v>
      </c>
      <c r="B3087" t="str">
        <f t="shared" si="200"/>
        <v>1</v>
      </c>
      <c r="C3087" t="str">
        <f t="shared" si="199"/>
        <v>164</v>
      </c>
      <c r="D3087" t="str">
        <f>"11"</f>
        <v>11</v>
      </c>
      <c r="E3087" t="str">
        <f>"1-164-11"</f>
        <v>1-164-11</v>
      </c>
      <c r="F3087" t="s">
        <v>15</v>
      </c>
      <c r="G3087" t="s">
        <v>20</v>
      </c>
      <c r="H3087" t="s">
        <v>21</v>
      </c>
      <c r="I3087">
        <v>0</v>
      </c>
      <c r="J3087">
        <v>0</v>
      </c>
      <c r="K3087">
        <v>0</v>
      </c>
    </row>
    <row r="3088" spans="1:11" x14ac:dyDescent="0.25">
      <c r="A3088" t="str">
        <f>"3888"</f>
        <v>3888</v>
      </c>
      <c r="B3088" t="str">
        <f t="shared" si="200"/>
        <v>1</v>
      </c>
      <c r="C3088" t="str">
        <f t="shared" ref="C3088:C3110" si="201">"165"</f>
        <v>165</v>
      </c>
      <c r="D3088" t="str">
        <f>"15"</f>
        <v>15</v>
      </c>
      <c r="E3088" t="str">
        <f>"1-165-15"</f>
        <v>1-165-15</v>
      </c>
      <c r="F3088" t="s">
        <v>15</v>
      </c>
      <c r="G3088" t="s">
        <v>20</v>
      </c>
      <c r="H3088" t="s">
        <v>21</v>
      </c>
      <c r="I3088">
        <v>1</v>
      </c>
      <c r="J3088">
        <v>0</v>
      </c>
      <c r="K3088">
        <v>0</v>
      </c>
    </row>
    <row r="3089" spans="1:11" x14ac:dyDescent="0.25">
      <c r="A3089" t="str">
        <f>"3889"</f>
        <v>3889</v>
      </c>
      <c r="B3089" t="str">
        <f t="shared" si="200"/>
        <v>1</v>
      </c>
      <c r="C3089" t="str">
        <f t="shared" si="201"/>
        <v>165</v>
      </c>
      <c r="D3089" t="str">
        <f>"1"</f>
        <v>1</v>
      </c>
      <c r="E3089" t="str">
        <f>"1-165-1"</f>
        <v>1-165-1</v>
      </c>
      <c r="F3089" t="s">
        <v>15</v>
      </c>
      <c r="G3089" t="s">
        <v>20</v>
      </c>
      <c r="H3089" t="s">
        <v>21</v>
      </c>
      <c r="I3089">
        <v>1</v>
      </c>
      <c r="J3089">
        <v>0</v>
      </c>
      <c r="K3089">
        <v>0</v>
      </c>
    </row>
    <row r="3090" spans="1:11" x14ac:dyDescent="0.25">
      <c r="A3090" t="str">
        <f>"3890"</f>
        <v>3890</v>
      </c>
      <c r="B3090" t="str">
        <f t="shared" si="200"/>
        <v>1</v>
      </c>
      <c r="C3090" t="str">
        <f t="shared" si="201"/>
        <v>165</v>
      </c>
      <c r="D3090" t="str">
        <f>"19"</f>
        <v>19</v>
      </c>
      <c r="E3090" t="str">
        <f>"1-165-19"</f>
        <v>1-165-19</v>
      </c>
      <c r="F3090" t="s">
        <v>15</v>
      </c>
      <c r="G3090" t="s">
        <v>20</v>
      </c>
      <c r="H3090" t="s">
        <v>21</v>
      </c>
      <c r="I3090">
        <v>0</v>
      </c>
      <c r="J3090">
        <v>0</v>
      </c>
      <c r="K3090">
        <v>1</v>
      </c>
    </row>
    <row r="3091" spans="1:11" x14ac:dyDescent="0.25">
      <c r="A3091" t="str">
        <f>"3891"</f>
        <v>3891</v>
      </c>
      <c r="B3091" t="str">
        <f t="shared" si="200"/>
        <v>1</v>
      </c>
      <c r="C3091" t="str">
        <f t="shared" si="201"/>
        <v>165</v>
      </c>
      <c r="D3091" t="str">
        <f>"16"</f>
        <v>16</v>
      </c>
      <c r="E3091" t="str">
        <f>"1-165-16"</f>
        <v>1-165-16</v>
      </c>
      <c r="F3091" t="s">
        <v>15</v>
      </c>
      <c r="G3091" t="s">
        <v>20</v>
      </c>
      <c r="H3091" t="s">
        <v>21</v>
      </c>
      <c r="I3091">
        <v>1</v>
      </c>
      <c r="J3091">
        <v>0</v>
      </c>
      <c r="K3091">
        <v>0</v>
      </c>
    </row>
    <row r="3092" spans="1:11" x14ac:dyDescent="0.25">
      <c r="A3092" t="str">
        <f>"3892"</f>
        <v>3892</v>
      </c>
      <c r="B3092" t="str">
        <f t="shared" si="200"/>
        <v>1</v>
      </c>
      <c r="C3092" t="str">
        <f t="shared" si="201"/>
        <v>165</v>
      </c>
      <c r="D3092" t="str">
        <f>"4"</f>
        <v>4</v>
      </c>
      <c r="E3092" t="str">
        <f>"1-165-4"</f>
        <v>1-165-4</v>
      </c>
      <c r="F3092" t="s">
        <v>15</v>
      </c>
      <c r="G3092" t="s">
        <v>20</v>
      </c>
      <c r="H3092" t="s">
        <v>21</v>
      </c>
      <c r="I3092">
        <v>0</v>
      </c>
      <c r="J3092">
        <v>0</v>
      </c>
      <c r="K3092">
        <v>1</v>
      </c>
    </row>
    <row r="3093" spans="1:11" x14ac:dyDescent="0.25">
      <c r="A3093" t="str">
        <f>"3893"</f>
        <v>3893</v>
      </c>
      <c r="B3093" t="str">
        <f t="shared" si="200"/>
        <v>1</v>
      </c>
      <c r="C3093" t="str">
        <f t="shared" si="201"/>
        <v>165</v>
      </c>
      <c r="D3093" t="str">
        <f>"17"</f>
        <v>17</v>
      </c>
      <c r="E3093" t="str">
        <f>"1-165-17"</f>
        <v>1-165-17</v>
      </c>
      <c r="F3093" t="s">
        <v>15</v>
      </c>
      <c r="G3093" t="s">
        <v>20</v>
      </c>
      <c r="H3093" t="s">
        <v>21</v>
      </c>
      <c r="I3093">
        <v>1</v>
      </c>
      <c r="J3093">
        <v>0</v>
      </c>
      <c r="K3093">
        <v>0</v>
      </c>
    </row>
    <row r="3094" spans="1:11" x14ac:dyDescent="0.25">
      <c r="A3094" t="str">
        <f>"3894"</f>
        <v>3894</v>
      </c>
      <c r="B3094" t="str">
        <f t="shared" si="200"/>
        <v>1</v>
      </c>
      <c r="C3094" t="str">
        <f t="shared" si="201"/>
        <v>165</v>
      </c>
      <c r="D3094" t="str">
        <f>"6"</f>
        <v>6</v>
      </c>
      <c r="E3094" t="str">
        <f>"1-165-6"</f>
        <v>1-165-6</v>
      </c>
      <c r="F3094" t="s">
        <v>15</v>
      </c>
      <c r="G3094" t="s">
        <v>20</v>
      </c>
      <c r="H3094" t="s">
        <v>21</v>
      </c>
      <c r="I3094">
        <v>0</v>
      </c>
      <c r="J3094">
        <v>1</v>
      </c>
      <c r="K3094">
        <v>0</v>
      </c>
    </row>
    <row r="3095" spans="1:11" x14ac:dyDescent="0.25">
      <c r="A3095" t="str">
        <f>"3895"</f>
        <v>3895</v>
      </c>
      <c r="B3095" t="str">
        <f t="shared" si="200"/>
        <v>1</v>
      </c>
      <c r="C3095" t="str">
        <f t="shared" si="201"/>
        <v>165</v>
      </c>
      <c r="D3095" t="str">
        <f>"18"</f>
        <v>18</v>
      </c>
      <c r="E3095" t="str">
        <f>"1-165-18"</f>
        <v>1-165-18</v>
      </c>
      <c r="F3095" t="s">
        <v>15</v>
      </c>
      <c r="G3095" t="s">
        <v>20</v>
      </c>
      <c r="H3095" t="s">
        <v>21</v>
      </c>
      <c r="I3095">
        <v>1</v>
      </c>
      <c r="J3095">
        <v>0</v>
      </c>
      <c r="K3095">
        <v>0</v>
      </c>
    </row>
    <row r="3096" spans="1:11" x14ac:dyDescent="0.25">
      <c r="A3096" t="str">
        <f>"3896"</f>
        <v>3896</v>
      </c>
      <c r="B3096" t="str">
        <f t="shared" si="200"/>
        <v>1</v>
      </c>
      <c r="C3096" t="str">
        <f t="shared" si="201"/>
        <v>165</v>
      </c>
      <c r="D3096" t="str">
        <f>"7"</f>
        <v>7</v>
      </c>
      <c r="E3096" t="str">
        <f>"1-165-7"</f>
        <v>1-165-7</v>
      </c>
      <c r="F3096" t="s">
        <v>15</v>
      </c>
      <c r="G3096" t="s">
        <v>20</v>
      </c>
      <c r="H3096" t="s">
        <v>21</v>
      </c>
      <c r="I3096">
        <v>1</v>
      </c>
      <c r="J3096">
        <v>0</v>
      </c>
      <c r="K3096">
        <v>0</v>
      </c>
    </row>
    <row r="3097" spans="1:11" x14ac:dyDescent="0.25">
      <c r="A3097" t="str">
        <f>"3897"</f>
        <v>3897</v>
      </c>
      <c r="B3097" t="str">
        <f t="shared" si="200"/>
        <v>1</v>
      </c>
      <c r="C3097" t="str">
        <f t="shared" si="201"/>
        <v>165</v>
      </c>
      <c r="D3097" t="str">
        <f>"20"</f>
        <v>20</v>
      </c>
      <c r="E3097" t="str">
        <f>"1-165-20"</f>
        <v>1-165-20</v>
      </c>
      <c r="F3097" t="s">
        <v>15</v>
      </c>
      <c r="G3097" t="s">
        <v>20</v>
      </c>
      <c r="H3097" t="s">
        <v>21</v>
      </c>
      <c r="I3097">
        <v>0</v>
      </c>
      <c r="J3097">
        <v>0</v>
      </c>
      <c r="K3097">
        <v>1</v>
      </c>
    </row>
    <row r="3098" spans="1:11" x14ac:dyDescent="0.25">
      <c r="A3098" t="str">
        <f>"3898"</f>
        <v>3898</v>
      </c>
      <c r="B3098" t="str">
        <f t="shared" si="200"/>
        <v>1</v>
      </c>
      <c r="C3098" t="str">
        <f t="shared" si="201"/>
        <v>165</v>
      </c>
      <c r="D3098" t="str">
        <f>"13"</f>
        <v>13</v>
      </c>
      <c r="E3098" t="str">
        <f>"1-165-13"</f>
        <v>1-165-13</v>
      </c>
      <c r="F3098" t="s">
        <v>15</v>
      </c>
      <c r="G3098" t="s">
        <v>20</v>
      </c>
      <c r="H3098" t="s">
        <v>21</v>
      </c>
      <c r="I3098">
        <v>1</v>
      </c>
      <c r="J3098">
        <v>0</v>
      </c>
      <c r="K3098">
        <v>0</v>
      </c>
    </row>
    <row r="3099" spans="1:11" x14ac:dyDescent="0.25">
      <c r="A3099" t="str">
        <f>"3899"</f>
        <v>3899</v>
      </c>
      <c r="B3099" t="str">
        <f t="shared" si="200"/>
        <v>1</v>
      </c>
      <c r="C3099" t="str">
        <f t="shared" si="201"/>
        <v>165</v>
      </c>
      <c r="D3099" t="str">
        <f>"21"</f>
        <v>21</v>
      </c>
      <c r="E3099" t="str">
        <f>"1-165-21"</f>
        <v>1-165-21</v>
      </c>
      <c r="F3099" t="s">
        <v>15</v>
      </c>
      <c r="G3099" t="s">
        <v>20</v>
      </c>
      <c r="H3099" t="s">
        <v>21</v>
      </c>
      <c r="I3099">
        <v>0</v>
      </c>
      <c r="J3099">
        <v>1</v>
      </c>
      <c r="K3099">
        <v>0</v>
      </c>
    </row>
    <row r="3100" spans="1:11" x14ac:dyDescent="0.25">
      <c r="A3100" t="str">
        <f>"3900"</f>
        <v>3900</v>
      </c>
      <c r="B3100" t="str">
        <f t="shared" si="200"/>
        <v>1</v>
      </c>
      <c r="C3100" t="str">
        <f t="shared" si="201"/>
        <v>165</v>
      </c>
      <c r="D3100" t="str">
        <f>"11"</f>
        <v>11</v>
      </c>
      <c r="E3100" t="str">
        <f>"1-165-11"</f>
        <v>1-165-11</v>
      </c>
      <c r="F3100" t="s">
        <v>15</v>
      </c>
      <c r="G3100" t="s">
        <v>20</v>
      </c>
      <c r="H3100" t="s">
        <v>21</v>
      </c>
      <c r="I3100">
        <v>0</v>
      </c>
      <c r="J3100">
        <v>0</v>
      </c>
      <c r="K3100">
        <v>1</v>
      </c>
    </row>
    <row r="3101" spans="1:11" x14ac:dyDescent="0.25">
      <c r="A3101" t="str">
        <f>"3901"</f>
        <v>3901</v>
      </c>
      <c r="B3101" t="str">
        <f t="shared" si="200"/>
        <v>1</v>
      </c>
      <c r="C3101" t="str">
        <f t="shared" si="201"/>
        <v>165</v>
      </c>
      <c r="D3101" t="str">
        <f>"22"</f>
        <v>22</v>
      </c>
      <c r="E3101" t="str">
        <f>"1-165-22"</f>
        <v>1-165-22</v>
      </c>
      <c r="F3101" t="s">
        <v>15</v>
      </c>
      <c r="G3101" t="s">
        <v>20</v>
      </c>
      <c r="H3101" t="s">
        <v>21</v>
      </c>
      <c r="I3101">
        <v>1</v>
      </c>
      <c r="J3101">
        <v>0</v>
      </c>
      <c r="K3101">
        <v>0</v>
      </c>
    </row>
    <row r="3102" spans="1:11" x14ac:dyDescent="0.25">
      <c r="A3102" t="str">
        <f>"3902"</f>
        <v>3902</v>
      </c>
      <c r="B3102" t="str">
        <f t="shared" si="200"/>
        <v>1</v>
      </c>
      <c r="C3102" t="str">
        <f t="shared" si="201"/>
        <v>165</v>
      </c>
      <c r="D3102" t="str">
        <f>"5"</f>
        <v>5</v>
      </c>
      <c r="E3102" t="str">
        <f>"1-165-5"</f>
        <v>1-165-5</v>
      </c>
      <c r="F3102" t="s">
        <v>15</v>
      </c>
      <c r="G3102" t="s">
        <v>20</v>
      </c>
      <c r="H3102" t="s">
        <v>21</v>
      </c>
      <c r="I3102">
        <v>0</v>
      </c>
      <c r="J3102">
        <v>0</v>
      </c>
      <c r="K3102">
        <v>1</v>
      </c>
    </row>
    <row r="3103" spans="1:11" x14ac:dyDescent="0.25">
      <c r="A3103" t="str">
        <f>"3903"</f>
        <v>3903</v>
      </c>
      <c r="B3103" t="str">
        <f t="shared" si="200"/>
        <v>1</v>
      </c>
      <c r="C3103" t="str">
        <f t="shared" si="201"/>
        <v>165</v>
      </c>
      <c r="D3103" t="str">
        <f>"23"</f>
        <v>23</v>
      </c>
      <c r="E3103" t="str">
        <f>"1-165-23"</f>
        <v>1-165-23</v>
      </c>
      <c r="F3103" t="s">
        <v>15</v>
      </c>
      <c r="G3103" t="s">
        <v>20</v>
      </c>
      <c r="H3103" t="s">
        <v>21</v>
      </c>
      <c r="I3103">
        <v>1</v>
      </c>
      <c r="J3103">
        <v>0</v>
      </c>
      <c r="K3103">
        <v>0</v>
      </c>
    </row>
    <row r="3104" spans="1:11" x14ac:dyDescent="0.25">
      <c r="A3104" t="str">
        <f>"3904"</f>
        <v>3904</v>
      </c>
      <c r="B3104" t="str">
        <f t="shared" si="200"/>
        <v>1</v>
      </c>
      <c r="C3104" t="str">
        <f t="shared" si="201"/>
        <v>165</v>
      </c>
      <c r="D3104" t="str">
        <f>"9"</f>
        <v>9</v>
      </c>
      <c r="E3104" t="str">
        <f>"1-165-9"</f>
        <v>1-165-9</v>
      </c>
      <c r="F3104" t="s">
        <v>15</v>
      </c>
      <c r="G3104" t="s">
        <v>20</v>
      </c>
      <c r="H3104" t="s">
        <v>21</v>
      </c>
      <c r="I3104">
        <v>0</v>
      </c>
      <c r="J3104">
        <v>1</v>
      </c>
      <c r="K3104">
        <v>0</v>
      </c>
    </row>
    <row r="3105" spans="1:11" x14ac:dyDescent="0.25">
      <c r="A3105" t="str">
        <f>"3905"</f>
        <v>3905</v>
      </c>
      <c r="B3105" t="str">
        <f t="shared" si="200"/>
        <v>1</v>
      </c>
      <c r="C3105" t="str">
        <f t="shared" si="201"/>
        <v>165</v>
      </c>
      <c r="D3105" t="str">
        <f>"8"</f>
        <v>8</v>
      </c>
      <c r="E3105" t="str">
        <f>"1-165-8"</f>
        <v>1-165-8</v>
      </c>
      <c r="F3105" t="s">
        <v>15</v>
      </c>
      <c r="G3105" t="s">
        <v>20</v>
      </c>
      <c r="H3105" t="s">
        <v>21</v>
      </c>
      <c r="I3105">
        <v>0</v>
      </c>
      <c r="J3105">
        <v>0</v>
      </c>
      <c r="K3105">
        <v>1</v>
      </c>
    </row>
    <row r="3106" spans="1:11" x14ac:dyDescent="0.25">
      <c r="A3106" t="str">
        <f>"3906"</f>
        <v>3906</v>
      </c>
      <c r="B3106" t="str">
        <f t="shared" si="200"/>
        <v>1</v>
      </c>
      <c r="C3106" t="str">
        <f t="shared" si="201"/>
        <v>165</v>
      </c>
      <c r="D3106" t="str">
        <f>"14"</f>
        <v>14</v>
      </c>
      <c r="E3106" t="str">
        <f>"1-165-14"</f>
        <v>1-165-14</v>
      </c>
      <c r="F3106" t="s">
        <v>15</v>
      </c>
      <c r="G3106" t="s">
        <v>20</v>
      </c>
      <c r="H3106" t="s">
        <v>21</v>
      </c>
      <c r="I3106">
        <v>1</v>
      </c>
      <c r="J3106">
        <v>0</v>
      </c>
      <c r="K3106">
        <v>0</v>
      </c>
    </row>
    <row r="3107" spans="1:11" x14ac:dyDescent="0.25">
      <c r="A3107" t="str">
        <f>"3907"</f>
        <v>3907</v>
      </c>
      <c r="B3107" t="str">
        <f t="shared" si="200"/>
        <v>1</v>
      </c>
      <c r="C3107" t="str">
        <f t="shared" si="201"/>
        <v>165</v>
      </c>
      <c r="D3107" t="str">
        <f>"3"</f>
        <v>3</v>
      </c>
      <c r="E3107" t="str">
        <f>"1-165-3"</f>
        <v>1-165-3</v>
      </c>
      <c r="F3107" t="s">
        <v>15</v>
      </c>
      <c r="G3107" t="s">
        <v>20</v>
      </c>
      <c r="H3107" t="s">
        <v>21</v>
      </c>
      <c r="I3107">
        <v>1</v>
      </c>
      <c r="J3107">
        <v>0</v>
      </c>
      <c r="K3107">
        <v>0</v>
      </c>
    </row>
    <row r="3108" spans="1:11" x14ac:dyDescent="0.25">
      <c r="A3108" t="str">
        <f>"3908"</f>
        <v>3908</v>
      </c>
      <c r="B3108" t="str">
        <f t="shared" si="200"/>
        <v>1</v>
      </c>
      <c r="C3108" t="str">
        <f t="shared" si="201"/>
        <v>165</v>
      </c>
      <c r="D3108" t="str">
        <f>"12"</f>
        <v>12</v>
      </c>
      <c r="E3108" t="str">
        <f>"1-165-12"</f>
        <v>1-165-12</v>
      </c>
      <c r="F3108" t="s">
        <v>15</v>
      </c>
      <c r="G3108" t="s">
        <v>20</v>
      </c>
      <c r="H3108" t="s">
        <v>21</v>
      </c>
      <c r="I3108">
        <v>1</v>
      </c>
      <c r="J3108">
        <v>0</v>
      </c>
      <c r="K3108">
        <v>0</v>
      </c>
    </row>
    <row r="3109" spans="1:11" x14ac:dyDescent="0.25">
      <c r="A3109" t="str">
        <f>"3909"</f>
        <v>3909</v>
      </c>
      <c r="B3109" t="str">
        <f t="shared" si="200"/>
        <v>1</v>
      </c>
      <c r="C3109" t="str">
        <f t="shared" si="201"/>
        <v>165</v>
      </c>
      <c r="D3109" t="str">
        <f>"2"</f>
        <v>2</v>
      </c>
      <c r="E3109" t="str">
        <f>"1-165-2"</f>
        <v>1-165-2</v>
      </c>
      <c r="F3109" t="s">
        <v>15</v>
      </c>
      <c r="G3109" t="s">
        <v>20</v>
      </c>
      <c r="H3109" t="s">
        <v>21</v>
      </c>
      <c r="I3109">
        <v>0</v>
      </c>
      <c r="J3109">
        <v>1</v>
      </c>
      <c r="K3109">
        <v>0</v>
      </c>
    </row>
    <row r="3110" spans="1:11" x14ac:dyDescent="0.25">
      <c r="A3110" t="str">
        <f>"3910"</f>
        <v>3910</v>
      </c>
      <c r="B3110" t="str">
        <f t="shared" si="200"/>
        <v>1</v>
      </c>
      <c r="C3110" t="str">
        <f t="shared" si="201"/>
        <v>165</v>
      </c>
      <c r="D3110" t="str">
        <f>"10"</f>
        <v>10</v>
      </c>
      <c r="E3110" t="str">
        <f>"1-165-10"</f>
        <v>1-165-10</v>
      </c>
      <c r="F3110" t="s">
        <v>15</v>
      </c>
      <c r="G3110" t="s">
        <v>20</v>
      </c>
      <c r="H3110" t="s">
        <v>21</v>
      </c>
      <c r="I3110">
        <v>1</v>
      </c>
      <c r="J3110">
        <v>0</v>
      </c>
      <c r="K3110">
        <v>0</v>
      </c>
    </row>
    <row r="3111" spans="1:11" x14ac:dyDescent="0.25">
      <c r="A3111" t="str">
        <f>"3929"</f>
        <v>3929</v>
      </c>
      <c r="B3111" t="str">
        <f t="shared" si="200"/>
        <v>1</v>
      </c>
      <c r="C3111" t="str">
        <f t="shared" ref="C3111:C3135" si="202">"167"</f>
        <v>167</v>
      </c>
      <c r="D3111" t="str">
        <f>"20"</f>
        <v>20</v>
      </c>
      <c r="E3111" t="str">
        <f>"1-167-20"</f>
        <v>1-167-20</v>
      </c>
      <c r="F3111" t="s">
        <v>15</v>
      </c>
      <c r="G3111" t="s">
        <v>16</v>
      </c>
      <c r="H3111" t="s">
        <v>17</v>
      </c>
      <c r="I3111">
        <v>0</v>
      </c>
      <c r="J3111">
        <v>1</v>
      </c>
      <c r="K3111">
        <v>0</v>
      </c>
    </row>
    <row r="3112" spans="1:11" x14ac:dyDescent="0.25">
      <c r="A3112" t="str">
        <f>"3930"</f>
        <v>3930</v>
      </c>
      <c r="B3112" t="str">
        <f t="shared" ref="B3112:B3175" si="203">"1"</f>
        <v>1</v>
      </c>
      <c r="C3112" t="str">
        <f t="shared" si="202"/>
        <v>167</v>
      </c>
      <c r="D3112" t="str">
        <f>"15"</f>
        <v>15</v>
      </c>
      <c r="E3112" t="str">
        <f>"1-167-15"</f>
        <v>1-167-15</v>
      </c>
      <c r="F3112" t="s">
        <v>15</v>
      </c>
      <c r="G3112" t="s">
        <v>16</v>
      </c>
      <c r="H3112" t="s">
        <v>17</v>
      </c>
      <c r="I3112">
        <v>1</v>
      </c>
      <c r="J3112">
        <v>0</v>
      </c>
      <c r="K3112">
        <v>0</v>
      </c>
    </row>
    <row r="3113" spans="1:11" x14ac:dyDescent="0.25">
      <c r="A3113" t="str">
        <f>"3931"</f>
        <v>3931</v>
      </c>
      <c r="B3113" t="str">
        <f t="shared" si="203"/>
        <v>1</v>
      </c>
      <c r="C3113" t="str">
        <f t="shared" si="202"/>
        <v>167</v>
      </c>
      <c r="D3113" t="str">
        <f>"1"</f>
        <v>1</v>
      </c>
      <c r="E3113" t="str">
        <f>"1-167-1"</f>
        <v>1-167-1</v>
      </c>
      <c r="F3113" t="s">
        <v>15</v>
      </c>
      <c r="G3113" t="s">
        <v>16</v>
      </c>
      <c r="H3113" t="s">
        <v>17</v>
      </c>
      <c r="I3113">
        <v>0</v>
      </c>
      <c r="J3113">
        <v>1</v>
      </c>
      <c r="K3113">
        <v>0</v>
      </c>
    </row>
    <row r="3114" spans="1:11" x14ac:dyDescent="0.25">
      <c r="A3114" t="str">
        <f>"3932"</f>
        <v>3932</v>
      </c>
      <c r="B3114" t="str">
        <f t="shared" si="203"/>
        <v>1</v>
      </c>
      <c r="C3114" t="str">
        <f t="shared" si="202"/>
        <v>167</v>
      </c>
      <c r="D3114" t="str">
        <f>"21"</f>
        <v>21</v>
      </c>
      <c r="E3114" t="str">
        <f>"1-167-21"</f>
        <v>1-167-21</v>
      </c>
      <c r="F3114" t="s">
        <v>15</v>
      </c>
      <c r="G3114" t="s">
        <v>18</v>
      </c>
      <c r="H3114" t="s">
        <v>19</v>
      </c>
      <c r="I3114">
        <v>1</v>
      </c>
      <c r="J3114">
        <v>0</v>
      </c>
      <c r="K3114">
        <v>0</v>
      </c>
    </row>
    <row r="3115" spans="1:11" x14ac:dyDescent="0.25">
      <c r="A3115" t="str">
        <f>"3933"</f>
        <v>3933</v>
      </c>
      <c r="B3115" t="str">
        <f t="shared" si="203"/>
        <v>1</v>
      </c>
      <c r="C3115" t="str">
        <f t="shared" si="202"/>
        <v>167</v>
      </c>
      <c r="D3115" t="str">
        <f>"16"</f>
        <v>16</v>
      </c>
      <c r="E3115" t="str">
        <f>"1-167-16"</f>
        <v>1-167-16</v>
      </c>
      <c r="F3115" t="s">
        <v>15</v>
      </c>
      <c r="G3115" t="s">
        <v>16</v>
      </c>
      <c r="H3115" t="s">
        <v>17</v>
      </c>
      <c r="I3115">
        <v>0</v>
      </c>
      <c r="J3115">
        <v>1</v>
      </c>
      <c r="K3115">
        <v>0</v>
      </c>
    </row>
    <row r="3116" spans="1:11" x14ac:dyDescent="0.25">
      <c r="A3116" t="str">
        <f>"3934"</f>
        <v>3934</v>
      </c>
      <c r="B3116" t="str">
        <f t="shared" si="203"/>
        <v>1</v>
      </c>
      <c r="C3116" t="str">
        <f t="shared" si="202"/>
        <v>167</v>
      </c>
      <c r="D3116" t="str">
        <f>"5"</f>
        <v>5</v>
      </c>
      <c r="E3116" t="str">
        <f>"1-167-5"</f>
        <v>1-167-5</v>
      </c>
      <c r="F3116" t="s">
        <v>15</v>
      </c>
      <c r="G3116" t="s">
        <v>18</v>
      </c>
      <c r="H3116" t="s">
        <v>19</v>
      </c>
      <c r="I3116">
        <v>1</v>
      </c>
      <c r="J3116">
        <v>0</v>
      </c>
      <c r="K3116">
        <v>0</v>
      </c>
    </row>
    <row r="3117" spans="1:11" x14ac:dyDescent="0.25">
      <c r="A3117" t="str">
        <f>"3935"</f>
        <v>3935</v>
      </c>
      <c r="B3117" t="str">
        <f t="shared" si="203"/>
        <v>1</v>
      </c>
      <c r="C3117" t="str">
        <f t="shared" si="202"/>
        <v>167</v>
      </c>
      <c r="D3117" t="str">
        <f>"17"</f>
        <v>17</v>
      </c>
      <c r="E3117" t="str">
        <f>"1-167-17"</f>
        <v>1-167-17</v>
      </c>
      <c r="F3117" t="s">
        <v>15</v>
      </c>
      <c r="G3117" t="s">
        <v>16</v>
      </c>
      <c r="H3117" t="s">
        <v>17</v>
      </c>
      <c r="I3117">
        <v>0</v>
      </c>
      <c r="J3117">
        <v>0</v>
      </c>
      <c r="K3117">
        <v>1</v>
      </c>
    </row>
    <row r="3118" spans="1:11" x14ac:dyDescent="0.25">
      <c r="A3118" t="str">
        <f>"3936"</f>
        <v>3936</v>
      </c>
      <c r="B3118" t="str">
        <f t="shared" si="203"/>
        <v>1</v>
      </c>
      <c r="C3118" t="str">
        <f t="shared" si="202"/>
        <v>167</v>
      </c>
      <c r="D3118" t="str">
        <f>"2"</f>
        <v>2</v>
      </c>
      <c r="E3118" t="str">
        <f>"1-167-2"</f>
        <v>1-167-2</v>
      </c>
      <c r="F3118" t="s">
        <v>15</v>
      </c>
      <c r="G3118" t="s">
        <v>16</v>
      </c>
      <c r="H3118" t="s">
        <v>17</v>
      </c>
      <c r="I3118">
        <v>0</v>
      </c>
      <c r="J3118">
        <v>0</v>
      </c>
      <c r="K3118">
        <v>1</v>
      </c>
    </row>
    <row r="3119" spans="1:11" x14ac:dyDescent="0.25">
      <c r="A3119" t="str">
        <f>"3937"</f>
        <v>3937</v>
      </c>
      <c r="B3119" t="str">
        <f t="shared" si="203"/>
        <v>1</v>
      </c>
      <c r="C3119" t="str">
        <f t="shared" si="202"/>
        <v>167</v>
      </c>
      <c r="D3119" t="str">
        <f>"18"</f>
        <v>18</v>
      </c>
      <c r="E3119" t="str">
        <f>"1-167-18"</f>
        <v>1-167-18</v>
      </c>
      <c r="F3119" t="s">
        <v>15</v>
      </c>
      <c r="G3119" t="s">
        <v>16</v>
      </c>
      <c r="H3119" t="s">
        <v>17</v>
      </c>
      <c r="I3119">
        <v>0</v>
      </c>
      <c r="J3119">
        <v>0</v>
      </c>
      <c r="K3119">
        <v>1</v>
      </c>
    </row>
    <row r="3120" spans="1:11" x14ac:dyDescent="0.25">
      <c r="A3120" t="str">
        <f>"3938"</f>
        <v>3938</v>
      </c>
      <c r="B3120" t="str">
        <f t="shared" si="203"/>
        <v>1</v>
      </c>
      <c r="C3120" t="str">
        <f t="shared" si="202"/>
        <v>167</v>
      </c>
      <c r="D3120" t="str">
        <f>"11"</f>
        <v>11</v>
      </c>
      <c r="E3120" t="str">
        <f>"1-167-11"</f>
        <v>1-167-11</v>
      </c>
      <c r="F3120" t="s">
        <v>15</v>
      </c>
      <c r="G3120" t="s">
        <v>16</v>
      </c>
      <c r="H3120" t="s">
        <v>17</v>
      </c>
      <c r="I3120">
        <v>0</v>
      </c>
      <c r="J3120">
        <v>1</v>
      </c>
      <c r="K3120">
        <v>0</v>
      </c>
    </row>
    <row r="3121" spans="1:11" x14ac:dyDescent="0.25">
      <c r="A3121" t="str">
        <f>"3939"</f>
        <v>3939</v>
      </c>
      <c r="B3121" t="str">
        <f t="shared" si="203"/>
        <v>1</v>
      </c>
      <c r="C3121" t="str">
        <f t="shared" si="202"/>
        <v>167</v>
      </c>
      <c r="D3121" t="str">
        <f>"6"</f>
        <v>6</v>
      </c>
      <c r="E3121" t="str">
        <f>"1-167-6"</f>
        <v>1-167-6</v>
      </c>
      <c r="F3121" t="s">
        <v>15</v>
      </c>
      <c r="G3121" t="s">
        <v>16</v>
      </c>
      <c r="H3121" t="s">
        <v>17</v>
      </c>
      <c r="I3121">
        <v>0</v>
      </c>
      <c r="J3121">
        <v>0</v>
      </c>
      <c r="K3121">
        <v>1</v>
      </c>
    </row>
    <row r="3122" spans="1:11" x14ac:dyDescent="0.25">
      <c r="A3122" t="str">
        <f>"3940"</f>
        <v>3940</v>
      </c>
      <c r="B3122" t="str">
        <f t="shared" si="203"/>
        <v>1</v>
      </c>
      <c r="C3122" t="str">
        <f t="shared" si="202"/>
        <v>167</v>
      </c>
      <c r="D3122" t="str">
        <f>"22"</f>
        <v>22</v>
      </c>
      <c r="E3122" t="str">
        <f>"1-167-22"</f>
        <v>1-167-22</v>
      </c>
      <c r="F3122" t="s">
        <v>15</v>
      </c>
      <c r="G3122" t="s">
        <v>16</v>
      </c>
      <c r="H3122" t="s">
        <v>17</v>
      </c>
      <c r="I3122">
        <v>0</v>
      </c>
      <c r="J3122">
        <v>1</v>
      </c>
      <c r="K3122">
        <v>0</v>
      </c>
    </row>
    <row r="3123" spans="1:11" x14ac:dyDescent="0.25">
      <c r="A3123" t="str">
        <f>"3941"</f>
        <v>3941</v>
      </c>
      <c r="B3123" t="str">
        <f t="shared" si="203"/>
        <v>1</v>
      </c>
      <c r="C3123" t="str">
        <f t="shared" si="202"/>
        <v>167</v>
      </c>
      <c r="D3123" t="str">
        <f>"23"</f>
        <v>23</v>
      </c>
      <c r="E3123" t="str">
        <f>"1-167-23"</f>
        <v>1-167-23</v>
      </c>
      <c r="F3123" t="s">
        <v>15</v>
      </c>
      <c r="G3123" t="s">
        <v>16</v>
      </c>
      <c r="H3123" t="s">
        <v>17</v>
      </c>
      <c r="I3123">
        <v>1</v>
      </c>
      <c r="J3123">
        <v>0</v>
      </c>
      <c r="K3123">
        <v>0</v>
      </c>
    </row>
    <row r="3124" spans="1:11" x14ac:dyDescent="0.25">
      <c r="A3124" t="str">
        <f>"3942"</f>
        <v>3942</v>
      </c>
      <c r="B3124" t="str">
        <f t="shared" si="203"/>
        <v>1</v>
      </c>
      <c r="C3124" t="str">
        <f t="shared" si="202"/>
        <v>167</v>
      </c>
      <c r="D3124" t="str">
        <f>"13"</f>
        <v>13</v>
      </c>
      <c r="E3124" t="str">
        <f>"1-167-13"</f>
        <v>1-167-13</v>
      </c>
      <c r="F3124" t="s">
        <v>15</v>
      </c>
      <c r="G3124" t="s">
        <v>16</v>
      </c>
      <c r="H3124" t="s">
        <v>17</v>
      </c>
      <c r="I3124">
        <v>1</v>
      </c>
      <c r="J3124">
        <v>0</v>
      </c>
      <c r="K3124">
        <v>0</v>
      </c>
    </row>
    <row r="3125" spans="1:11" x14ac:dyDescent="0.25">
      <c r="A3125" t="str">
        <f>"3943"</f>
        <v>3943</v>
      </c>
      <c r="B3125" t="str">
        <f t="shared" si="203"/>
        <v>1</v>
      </c>
      <c r="C3125" t="str">
        <f t="shared" si="202"/>
        <v>167</v>
      </c>
      <c r="D3125" t="str">
        <f>"24"</f>
        <v>24</v>
      </c>
      <c r="E3125" t="str">
        <f>"1-167-24"</f>
        <v>1-167-24</v>
      </c>
      <c r="F3125" t="s">
        <v>15</v>
      </c>
      <c r="G3125" t="s">
        <v>16</v>
      </c>
      <c r="H3125" t="s">
        <v>17</v>
      </c>
      <c r="I3125">
        <v>1</v>
      </c>
      <c r="J3125">
        <v>0</v>
      </c>
      <c r="K3125">
        <v>0</v>
      </c>
    </row>
    <row r="3126" spans="1:11" x14ac:dyDescent="0.25">
      <c r="A3126" t="str">
        <f>"3944"</f>
        <v>3944</v>
      </c>
      <c r="B3126" t="str">
        <f t="shared" si="203"/>
        <v>1</v>
      </c>
      <c r="C3126" t="str">
        <f t="shared" si="202"/>
        <v>167</v>
      </c>
      <c r="D3126" t="str">
        <f>"10"</f>
        <v>10</v>
      </c>
      <c r="E3126" t="str">
        <f>"1-167-10"</f>
        <v>1-167-10</v>
      </c>
      <c r="F3126" t="s">
        <v>15</v>
      </c>
      <c r="G3126" t="s">
        <v>16</v>
      </c>
      <c r="H3126" t="s">
        <v>17</v>
      </c>
      <c r="I3126">
        <v>0</v>
      </c>
      <c r="J3126">
        <v>1</v>
      </c>
      <c r="K3126">
        <v>0</v>
      </c>
    </row>
    <row r="3127" spans="1:11" x14ac:dyDescent="0.25">
      <c r="A3127" t="str">
        <f>"3945"</f>
        <v>3945</v>
      </c>
      <c r="B3127" t="str">
        <f t="shared" si="203"/>
        <v>1</v>
      </c>
      <c r="C3127" t="str">
        <f t="shared" si="202"/>
        <v>167</v>
      </c>
      <c r="D3127" t="str">
        <f>"25"</f>
        <v>25</v>
      </c>
      <c r="E3127" t="str">
        <f>"1-167-25"</f>
        <v>1-167-25</v>
      </c>
      <c r="F3127" t="s">
        <v>15</v>
      </c>
      <c r="G3127" t="s">
        <v>16</v>
      </c>
      <c r="H3127" t="s">
        <v>17</v>
      </c>
      <c r="I3127">
        <v>0</v>
      </c>
      <c r="J3127">
        <v>1</v>
      </c>
      <c r="K3127">
        <v>0</v>
      </c>
    </row>
    <row r="3128" spans="1:11" x14ac:dyDescent="0.25">
      <c r="A3128" t="str">
        <f>"3946"</f>
        <v>3946</v>
      </c>
      <c r="B3128" t="str">
        <f t="shared" si="203"/>
        <v>1</v>
      </c>
      <c r="C3128" t="str">
        <f t="shared" si="202"/>
        <v>167</v>
      </c>
      <c r="D3128" t="str">
        <f>"12"</f>
        <v>12</v>
      </c>
      <c r="E3128" t="str">
        <f>"1-167-12"</f>
        <v>1-167-12</v>
      </c>
      <c r="F3128" t="s">
        <v>15</v>
      </c>
      <c r="G3128" t="s">
        <v>16</v>
      </c>
      <c r="H3128" t="s">
        <v>17</v>
      </c>
      <c r="I3128">
        <v>1</v>
      </c>
      <c r="J3128">
        <v>0</v>
      </c>
      <c r="K3128">
        <v>0</v>
      </c>
    </row>
    <row r="3129" spans="1:11" x14ac:dyDescent="0.25">
      <c r="A3129" t="str">
        <f>"3947"</f>
        <v>3947</v>
      </c>
      <c r="B3129" t="str">
        <f t="shared" si="203"/>
        <v>1</v>
      </c>
      <c r="C3129" t="str">
        <f t="shared" si="202"/>
        <v>167</v>
      </c>
      <c r="D3129" t="str">
        <f>"8"</f>
        <v>8</v>
      </c>
      <c r="E3129" t="str">
        <f>"1-167-8"</f>
        <v>1-167-8</v>
      </c>
      <c r="F3129" t="s">
        <v>15</v>
      </c>
      <c r="G3129" t="s">
        <v>16</v>
      </c>
      <c r="H3129" t="s">
        <v>17</v>
      </c>
      <c r="I3129">
        <v>0</v>
      </c>
      <c r="J3129">
        <v>1</v>
      </c>
      <c r="K3129">
        <v>0</v>
      </c>
    </row>
    <row r="3130" spans="1:11" x14ac:dyDescent="0.25">
      <c r="A3130" t="str">
        <f>"3948"</f>
        <v>3948</v>
      </c>
      <c r="B3130" t="str">
        <f t="shared" si="203"/>
        <v>1</v>
      </c>
      <c r="C3130" t="str">
        <f t="shared" si="202"/>
        <v>167</v>
      </c>
      <c r="D3130" t="str">
        <f>"9"</f>
        <v>9</v>
      </c>
      <c r="E3130" t="str">
        <f>"1-167-9"</f>
        <v>1-167-9</v>
      </c>
      <c r="F3130" t="s">
        <v>15</v>
      </c>
      <c r="G3130" t="s">
        <v>16</v>
      </c>
      <c r="H3130" t="s">
        <v>17</v>
      </c>
      <c r="I3130">
        <v>0</v>
      </c>
      <c r="J3130">
        <v>1</v>
      </c>
      <c r="K3130">
        <v>0</v>
      </c>
    </row>
    <row r="3131" spans="1:11" x14ac:dyDescent="0.25">
      <c r="A3131" t="str">
        <f>"3949"</f>
        <v>3949</v>
      </c>
      <c r="B3131" t="str">
        <f t="shared" si="203"/>
        <v>1</v>
      </c>
      <c r="C3131" t="str">
        <f t="shared" si="202"/>
        <v>167</v>
      </c>
      <c r="D3131" t="str">
        <f>"14"</f>
        <v>14</v>
      </c>
      <c r="E3131" t="str">
        <f>"1-167-14"</f>
        <v>1-167-14</v>
      </c>
      <c r="F3131" t="s">
        <v>15</v>
      </c>
      <c r="G3131" t="s">
        <v>18</v>
      </c>
      <c r="H3131" t="s">
        <v>19</v>
      </c>
      <c r="I3131">
        <v>0</v>
      </c>
      <c r="J3131">
        <v>1</v>
      </c>
      <c r="K3131">
        <v>0</v>
      </c>
    </row>
    <row r="3132" spans="1:11" x14ac:dyDescent="0.25">
      <c r="A3132" t="str">
        <f>"3950"</f>
        <v>3950</v>
      </c>
      <c r="B3132" t="str">
        <f t="shared" si="203"/>
        <v>1</v>
      </c>
      <c r="C3132" t="str">
        <f t="shared" si="202"/>
        <v>167</v>
      </c>
      <c r="D3132" t="str">
        <f>"4"</f>
        <v>4</v>
      </c>
      <c r="E3132" t="str">
        <f>"1-167-4"</f>
        <v>1-167-4</v>
      </c>
      <c r="F3132" t="s">
        <v>15</v>
      </c>
      <c r="G3132" t="s">
        <v>16</v>
      </c>
      <c r="H3132" t="s">
        <v>17</v>
      </c>
      <c r="I3132">
        <v>0</v>
      </c>
      <c r="J3132">
        <v>0</v>
      </c>
      <c r="K3132">
        <v>1</v>
      </c>
    </row>
    <row r="3133" spans="1:11" x14ac:dyDescent="0.25">
      <c r="A3133" t="str">
        <f>"3951"</f>
        <v>3951</v>
      </c>
      <c r="B3133" t="str">
        <f t="shared" si="203"/>
        <v>1</v>
      </c>
      <c r="C3133" t="str">
        <f t="shared" si="202"/>
        <v>167</v>
      </c>
      <c r="D3133" t="str">
        <f>"7"</f>
        <v>7</v>
      </c>
      <c r="E3133" t="str">
        <f>"1-167-7"</f>
        <v>1-167-7</v>
      </c>
      <c r="F3133" t="s">
        <v>15</v>
      </c>
      <c r="G3133" t="s">
        <v>16</v>
      </c>
      <c r="H3133" t="s">
        <v>17</v>
      </c>
      <c r="I3133">
        <v>0</v>
      </c>
      <c r="J3133">
        <v>0</v>
      </c>
      <c r="K3133">
        <v>1</v>
      </c>
    </row>
    <row r="3134" spans="1:11" x14ac:dyDescent="0.25">
      <c r="A3134" t="str">
        <f>"3952"</f>
        <v>3952</v>
      </c>
      <c r="B3134" t="str">
        <f t="shared" si="203"/>
        <v>1</v>
      </c>
      <c r="C3134" t="str">
        <f t="shared" si="202"/>
        <v>167</v>
      </c>
      <c r="D3134" t="str">
        <f>"19"</f>
        <v>19</v>
      </c>
      <c r="E3134" t="str">
        <f>"1-167-19"</f>
        <v>1-167-19</v>
      </c>
      <c r="F3134" t="s">
        <v>15</v>
      </c>
      <c r="G3134" t="s">
        <v>16</v>
      </c>
      <c r="H3134" t="s">
        <v>17</v>
      </c>
      <c r="I3134">
        <v>0</v>
      </c>
      <c r="J3134">
        <v>0</v>
      </c>
      <c r="K3134">
        <v>0</v>
      </c>
    </row>
    <row r="3135" spans="1:11" x14ac:dyDescent="0.25">
      <c r="A3135" t="str">
        <f>"3953"</f>
        <v>3953</v>
      </c>
      <c r="B3135" t="str">
        <f t="shared" si="203"/>
        <v>1</v>
      </c>
      <c r="C3135" t="str">
        <f t="shared" si="202"/>
        <v>167</v>
      </c>
      <c r="D3135" t="str">
        <f>"3"</f>
        <v>3</v>
      </c>
      <c r="E3135" t="str">
        <f>"1-167-3"</f>
        <v>1-167-3</v>
      </c>
      <c r="F3135" t="s">
        <v>15</v>
      </c>
      <c r="G3135" t="s">
        <v>16</v>
      </c>
      <c r="H3135" t="s">
        <v>17</v>
      </c>
      <c r="I3135">
        <v>0</v>
      </c>
      <c r="J3135">
        <v>0</v>
      </c>
      <c r="K3135">
        <v>0</v>
      </c>
    </row>
    <row r="3136" spans="1:11" x14ac:dyDescent="0.25">
      <c r="A3136" t="str">
        <f>"3954"</f>
        <v>3954</v>
      </c>
      <c r="B3136" t="str">
        <f t="shared" si="203"/>
        <v>1</v>
      </c>
      <c r="C3136" t="str">
        <f t="shared" ref="C3136:C3160" si="204">"168"</f>
        <v>168</v>
      </c>
      <c r="D3136" t="str">
        <f>"17"</f>
        <v>17</v>
      </c>
      <c r="E3136" t="str">
        <f>"1-168-17"</f>
        <v>1-168-17</v>
      </c>
      <c r="F3136" t="s">
        <v>15</v>
      </c>
      <c r="G3136" t="s">
        <v>16</v>
      </c>
      <c r="H3136" t="s">
        <v>17</v>
      </c>
      <c r="I3136">
        <v>0</v>
      </c>
      <c r="J3136">
        <v>0</v>
      </c>
      <c r="K3136">
        <v>1</v>
      </c>
    </row>
    <row r="3137" spans="1:11" x14ac:dyDescent="0.25">
      <c r="A3137" t="str">
        <f>"3955"</f>
        <v>3955</v>
      </c>
      <c r="B3137" t="str">
        <f t="shared" si="203"/>
        <v>1</v>
      </c>
      <c r="C3137" t="str">
        <f t="shared" si="204"/>
        <v>168</v>
      </c>
      <c r="D3137" t="str">
        <f>"15"</f>
        <v>15</v>
      </c>
      <c r="E3137" t="str">
        <f>"1-168-15"</f>
        <v>1-168-15</v>
      </c>
      <c r="F3137" t="s">
        <v>15</v>
      </c>
      <c r="G3137" t="s">
        <v>16</v>
      </c>
      <c r="H3137" t="s">
        <v>17</v>
      </c>
      <c r="I3137">
        <v>0</v>
      </c>
      <c r="J3137">
        <v>0</v>
      </c>
      <c r="K3137">
        <v>1</v>
      </c>
    </row>
    <row r="3138" spans="1:11" x14ac:dyDescent="0.25">
      <c r="A3138" t="str">
        <f>"3956"</f>
        <v>3956</v>
      </c>
      <c r="B3138" t="str">
        <f t="shared" si="203"/>
        <v>1</v>
      </c>
      <c r="C3138" t="str">
        <f t="shared" si="204"/>
        <v>168</v>
      </c>
      <c r="D3138" t="str">
        <f>"16"</f>
        <v>16</v>
      </c>
      <c r="E3138" t="str">
        <f>"1-168-16"</f>
        <v>1-168-16</v>
      </c>
      <c r="F3138" t="s">
        <v>15</v>
      </c>
      <c r="G3138" t="s">
        <v>16</v>
      </c>
      <c r="H3138" t="s">
        <v>17</v>
      </c>
      <c r="I3138">
        <v>1</v>
      </c>
      <c r="J3138">
        <v>0</v>
      </c>
      <c r="K3138">
        <v>0</v>
      </c>
    </row>
    <row r="3139" spans="1:11" x14ac:dyDescent="0.25">
      <c r="A3139" t="str">
        <f>"3957"</f>
        <v>3957</v>
      </c>
      <c r="B3139" t="str">
        <f t="shared" si="203"/>
        <v>1</v>
      </c>
      <c r="C3139" t="str">
        <f t="shared" si="204"/>
        <v>168</v>
      </c>
      <c r="D3139" t="str">
        <f>"1"</f>
        <v>1</v>
      </c>
      <c r="E3139" t="str">
        <f>"1-168-1"</f>
        <v>1-168-1</v>
      </c>
      <c r="F3139" t="s">
        <v>15</v>
      </c>
      <c r="G3139" t="s">
        <v>16</v>
      </c>
      <c r="H3139" t="s">
        <v>17</v>
      </c>
      <c r="I3139">
        <v>1</v>
      </c>
      <c r="J3139">
        <v>0</v>
      </c>
      <c r="K3139">
        <v>0</v>
      </c>
    </row>
    <row r="3140" spans="1:11" x14ac:dyDescent="0.25">
      <c r="A3140" t="str">
        <f>"3958"</f>
        <v>3958</v>
      </c>
      <c r="B3140" t="str">
        <f t="shared" si="203"/>
        <v>1</v>
      </c>
      <c r="C3140" t="str">
        <f t="shared" si="204"/>
        <v>168</v>
      </c>
      <c r="D3140" t="str">
        <f>"18"</f>
        <v>18</v>
      </c>
      <c r="E3140" t="str">
        <f>"1-168-18"</f>
        <v>1-168-18</v>
      </c>
      <c r="F3140" t="s">
        <v>15</v>
      </c>
      <c r="G3140" t="s">
        <v>16</v>
      </c>
      <c r="H3140" t="s">
        <v>17</v>
      </c>
      <c r="I3140">
        <v>0</v>
      </c>
      <c r="J3140">
        <v>1</v>
      </c>
      <c r="K3140">
        <v>0</v>
      </c>
    </row>
    <row r="3141" spans="1:11" x14ac:dyDescent="0.25">
      <c r="A3141" t="str">
        <f>"3959"</f>
        <v>3959</v>
      </c>
      <c r="B3141" t="str">
        <f t="shared" si="203"/>
        <v>1</v>
      </c>
      <c r="C3141" t="str">
        <f t="shared" si="204"/>
        <v>168</v>
      </c>
      <c r="D3141" t="str">
        <f>"10"</f>
        <v>10</v>
      </c>
      <c r="E3141" t="str">
        <f>"1-168-10"</f>
        <v>1-168-10</v>
      </c>
      <c r="F3141" t="s">
        <v>15</v>
      </c>
      <c r="G3141" t="s">
        <v>16</v>
      </c>
      <c r="H3141" t="s">
        <v>17</v>
      </c>
      <c r="I3141">
        <v>0</v>
      </c>
      <c r="J3141">
        <v>1</v>
      </c>
      <c r="K3141">
        <v>0</v>
      </c>
    </row>
    <row r="3142" spans="1:11" x14ac:dyDescent="0.25">
      <c r="A3142" t="str">
        <f>"3960"</f>
        <v>3960</v>
      </c>
      <c r="B3142" t="str">
        <f t="shared" si="203"/>
        <v>1</v>
      </c>
      <c r="C3142" t="str">
        <f t="shared" si="204"/>
        <v>168</v>
      </c>
      <c r="D3142" t="str">
        <f>"19"</f>
        <v>19</v>
      </c>
      <c r="E3142" t="str">
        <f>"1-168-19"</f>
        <v>1-168-19</v>
      </c>
      <c r="F3142" t="s">
        <v>15</v>
      </c>
      <c r="G3142" t="s">
        <v>16</v>
      </c>
      <c r="H3142" t="s">
        <v>17</v>
      </c>
      <c r="I3142">
        <v>0</v>
      </c>
      <c r="J3142">
        <v>1</v>
      </c>
      <c r="K3142">
        <v>0</v>
      </c>
    </row>
    <row r="3143" spans="1:11" x14ac:dyDescent="0.25">
      <c r="A3143" t="str">
        <f>"3961"</f>
        <v>3961</v>
      </c>
      <c r="B3143" t="str">
        <f t="shared" si="203"/>
        <v>1</v>
      </c>
      <c r="C3143" t="str">
        <f t="shared" si="204"/>
        <v>168</v>
      </c>
      <c r="D3143" t="str">
        <f>"7"</f>
        <v>7</v>
      </c>
      <c r="E3143" t="str">
        <f>"1-168-7"</f>
        <v>1-168-7</v>
      </c>
      <c r="F3143" t="s">
        <v>15</v>
      </c>
      <c r="G3143" t="s">
        <v>20</v>
      </c>
      <c r="H3143" t="s">
        <v>21</v>
      </c>
      <c r="I3143">
        <v>1</v>
      </c>
      <c r="J3143">
        <v>0</v>
      </c>
      <c r="K3143">
        <v>0</v>
      </c>
    </row>
    <row r="3144" spans="1:11" x14ac:dyDescent="0.25">
      <c r="A3144" t="str">
        <f>"3962"</f>
        <v>3962</v>
      </c>
      <c r="B3144" t="str">
        <f t="shared" si="203"/>
        <v>1</v>
      </c>
      <c r="C3144" t="str">
        <f t="shared" si="204"/>
        <v>168</v>
      </c>
      <c r="D3144" t="str">
        <f>"20"</f>
        <v>20</v>
      </c>
      <c r="E3144" t="str">
        <f>"1-168-20"</f>
        <v>1-168-20</v>
      </c>
      <c r="F3144" t="s">
        <v>15</v>
      </c>
      <c r="G3144" t="s">
        <v>16</v>
      </c>
      <c r="H3144" t="s">
        <v>17</v>
      </c>
      <c r="I3144">
        <v>0</v>
      </c>
      <c r="J3144">
        <v>1</v>
      </c>
      <c r="K3144">
        <v>0</v>
      </c>
    </row>
    <row r="3145" spans="1:11" x14ac:dyDescent="0.25">
      <c r="A3145" t="str">
        <f>"3963"</f>
        <v>3963</v>
      </c>
      <c r="B3145" t="str">
        <f t="shared" si="203"/>
        <v>1</v>
      </c>
      <c r="C3145" t="str">
        <f t="shared" si="204"/>
        <v>168</v>
      </c>
      <c r="D3145" t="str">
        <f>"5"</f>
        <v>5</v>
      </c>
      <c r="E3145" t="str">
        <f>"1-168-5"</f>
        <v>1-168-5</v>
      </c>
      <c r="F3145" t="s">
        <v>15</v>
      </c>
      <c r="G3145" t="s">
        <v>20</v>
      </c>
      <c r="H3145" t="s">
        <v>21</v>
      </c>
      <c r="I3145">
        <v>1</v>
      </c>
      <c r="J3145">
        <v>0</v>
      </c>
      <c r="K3145">
        <v>0</v>
      </c>
    </row>
    <row r="3146" spans="1:11" x14ac:dyDescent="0.25">
      <c r="A3146" t="str">
        <f>"3964"</f>
        <v>3964</v>
      </c>
      <c r="B3146" t="str">
        <f t="shared" si="203"/>
        <v>1</v>
      </c>
      <c r="C3146" t="str">
        <f t="shared" si="204"/>
        <v>168</v>
      </c>
      <c r="D3146" t="str">
        <f>"22"</f>
        <v>22</v>
      </c>
      <c r="E3146" t="str">
        <f>"1-168-22"</f>
        <v>1-168-22</v>
      </c>
      <c r="F3146" t="s">
        <v>15</v>
      </c>
      <c r="G3146" t="s">
        <v>18</v>
      </c>
      <c r="H3146" t="s">
        <v>19</v>
      </c>
      <c r="I3146">
        <v>1</v>
      </c>
      <c r="J3146">
        <v>0</v>
      </c>
      <c r="K3146">
        <v>0</v>
      </c>
    </row>
    <row r="3147" spans="1:11" x14ac:dyDescent="0.25">
      <c r="A3147" t="str">
        <f>"3965"</f>
        <v>3965</v>
      </c>
      <c r="B3147" t="str">
        <f t="shared" si="203"/>
        <v>1</v>
      </c>
      <c r="C3147" t="str">
        <f t="shared" si="204"/>
        <v>168</v>
      </c>
      <c r="D3147" t="str">
        <f>"3"</f>
        <v>3</v>
      </c>
      <c r="E3147" t="str">
        <f>"1-168-3"</f>
        <v>1-168-3</v>
      </c>
      <c r="F3147" t="s">
        <v>15</v>
      </c>
      <c r="G3147" t="s">
        <v>20</v>
      </c>
      <c r="H3147" t="s">
        <v>21</v>
      </c>
      <c r="I3147">
        <v>1</v>
      </c>
      <c r="J3147">
        <v>0</v>
      </c>
      <c r="K3147">
        <v>0</v>
      </c>
    </row>
    <row r="3148" spans="1:11" x14ac:dyDescent="0.25">
      <c r="A3148" t="str">
        <f>"3966"</f>
        <v>3966</v>
      </c>
      <c r="B3148" t="str">
        <f t="shared" si="203"/>
        <v>1</v>
      </c>
      <c r="C3148" t="str">
        <f t="shared" si="204"/>
        <v>168</v>
      </c>
      <c r="D3148" t="str">
        <f>"8"</f>
        <v>8</v>
      </c>
      <c r="E3148" t="str">
        <f>"1-168-8"</f>
        <v>1-168-8</v>
      </c>
      <c r="F3148" t="s">
        <v>15</v>
      </c>
      <c r="G3148" t="s">
        <v>16</v>
      </c>
      <c r="H3148" t="s">
        <v>17</v>
      </c>
      <c r="I3148">
        <v>0</v>
      </c>
      <c r="J3148">
        <v>0</v>
      </c>
      <c r="K3148">
        <v>1</v>
      </c>
    </row>
    <row r="3149" spans="1:11" x14ac:dyDescent="0.25">
      <c r="A3149" t="str">
        <f>"3967"</f>
        <v>3967</v>
      </c>
      <c r="B3149" t="str">
        <f t="shared" si="203"/>
        <v>1</v>
      </c>
      <c r="C3149" t="str">
        <f t="shared" si="204"/>
        <v>168</v>
      </c>
      <c r="D3149" t="str">
        <f>"24"</f>
        <v>24</v>
      </c>
      <c r="E3149" t="str">
        <f>"1-168-24"</f>
        <v>1-168-24</v>
      </c>
      <c r="F3149" t="s">
        <v>15</v>
      </c>
      <c r="G3149" t="s">
        <v>16</v>
      </c>
      <c r="H3149" t="s">
        <v>17</v>
      </c>
      <c r="I3149">
        <v>0</v>
      </c>
      <c r="J3149">
        <v>1</v>
      </c>
      <c r="K3149">
        <v>0</v>
      </c>
    </row>
    <row r="3150" spans="1:11" x14ac:dyDescent="0.25">
      <c r="A3150" t="str">
        <f>"3968"</f>
        <v>3968</v>
      </c>
      <c r="B3150" t="str">
        <f t="shared" si="203"/>
        <v>1</v>
      </c>
      <c r="C3150" t="str">
        <f t="shared" si="204"/>
        <v>168</v>
      </c>
      <c r="D3150" t="str">
        <f>"13"</f>
        <v>13</v>
      </c>
      <c r="E3150" t="str">
        <f>"1-168-13"</f>
        <v>1-168-13</v>
      </c>
      <c r="F3150" t="s">
        <v>15</v>
      </c>
      <c r="G3150" t="s">
        <v>16</v>
      </c>
      <c r="H3150" t="s">
        <v>17</v>
      </c>
      <c r="I3150">
        <v>0</v>
      </c>
      <c r="J3150">
        <v>1</v>
      </c>
      <c r="K3150">
        <v>0</v>
      </c>
    </row>
    <row r="3151" spans="1:11" x14ac:dyDescent="0.25">
      <c r="A3151" t="str">
        <f>"3969"</f>
        <v>3969</v>
      </c>
      <c r="B3151" t="str">
        <f t="shared" si="203"/>
        <v>1</v>
      </c>
      <c r="C3151" t="str">
        <f t="shared" si="204"/>
        <v>168</v>
      </c>
      <c r="D3151" t="str">
        <f>"25"</f>
        <v>25</v>
      </c>
      <c r="E3151" t="str">
        <f>"1-168-25"</f>
        <v>1-168-25</v>
      </c>
      <c r="F3151" t="s">
        <v>15</v>
      </c>
      <c r="G3151" t="s">
        <v>16</v>
      </c>
      <c r="H3151" t="s">
        <v>17</v>
      </c>
      <c r="I3151">
        <v>0</v>
      </c>
      <c r="J3151">
        <v>1</v>
      </c>
      <c r="K3151">
        <v>0</v>
      </c>
    </row>
    <row r="3152" spans="1:11" x14ac:dyDescent="0.25">
      <c r="A3152" t="str">
        <f>"3970"</f>
        <v>3970</v>
      </c>
      <c r="B3152" t="str">
        <f t="shared" si="203"/>
        <v>1</v>
      </c>
      <c r="C3152" t="str">
        <f t="shared" si="204"/>
        <v>168</v>
      </c>
      <c r="D3152" t="str">
        <f>"14"</f>
        <v>14</v>
      </c>
      <c r="E3152" t="str">
        <f>"1-168-14"</f>
        <v>1-168-14</v>
      </c>
      <c r="F3152" t="s">
        <v>15</v>
      </c>
      <c r="G3152" t="s">
        <v>16</v>
      </c>
      <c r="H3152" t="s">
        <v>17</v>
      </c>
      <c r="I3152">
        <v>0</v>
      </c>
      <c r="J3152">
        <v>0</v>
      </c>
      <c r="K3152">
        <v>1</v>
      </c>
    </row>
    <row r="3153" spans="1:11" x14ac:dyDescent="0.25">
      <c r="A3153" t="str">
        <f>"3971"</f>
        <v>3971</v>
      </c>
      <c r="B3153" t="str">
        <f t="shared" si="203"/>
        <v>1</v>
      </c>
      <c r="C3153" t="str">
        <f t="shared" si="204"/>
        <v>168</v>
      </c>
      <c r="D3153" t="str">
        <f>"12"</f>
        <v>12</v>
      </c>
      <c r="E3153" t="str">
        <f>"1-168-12"</f>
        <v>1-168-12</v>
      </c>
      <c r="F3153" t="s">
        <v>15</v>
      </c>
      <c r="G3153" t="s">
        <v>16</v>
      </c>
      <c r="H3153" t="s">
        <v>17</v>
      </c>
      <c r="I3153">
        <v>0</v>
      </c>
      <c r="J3153">
        <v>1</v>
      </c>
      <c r="K3153">
        <v>0</v>
      </c>
    </row>
    <row r="3154" spans="1:11" x14ac:dyDescent="0.25">
      <c r="A3154" t="str">
        <f>"3972"</f>
        <v>3972</v>
      </c>
      <c r="B3154" t="str">
        <f t="shared" si="203"/>
        <v>1</v>
      </c>
      <c r="C3154" t="str">
        <f t="shared" si="204"/>
        <v>168</v>
      </c>
      <c r="D3154" t="str">
        <f>"4"</f>
        <v>4</v>
      </c>
      <c r="E3154" t="str">
        <f>"1-168-4"</f>
        <v>1-168-4</v>
      </c>
      <c r="F3154" t="s">
        <v>15</v>
      </c>
      <c r="G3154" t="s">
        <v>20</v>
      </c>
      <c r="H3154" t="s">
        <v>21</v>
      </c>
      <c r="I3154">
        <v>0</v>
      </c>
      <c r="J3154">
        <v>1</v>
      </c>
      <c r="K3154">
        <v>0</v>
      </c>
    </row>
    <row r="3155" spans="1:11" x14ac:dyDescent="0.25">
      <c r="A3155" t="str">
        <f>"3973"</f>
        <v>3973</v>
      </c>
      <c r="B3155" t="str">
        <f t="shared" si="203"/>
        <v>1</v>
      </c>
      <c r="C3155" t="str">
        <f t="shared" si="204"/>
        <v>168</v>
      </c>
      <c r="D3155" t="str">
        <f>"9"</f>
        <v>9</v>
      </c>
      <c r="E3155" t="str">
        <f>"1-168-9"</f>
        <v>1-168-9</v>
      </c>
      <c r="F3155" t="s">
        <v>15</v>
      </c>
      <c r="G3155" t="s">
        <v>16</v>
      </c>
      <c r="H3155" t="s">
        <v>17</v>
      </c>
      <c r="I3155">
        <v>1</v>
      </c>
      <c r="J3155">
        <v>0</v>
      </c>
      <c r="K3155">
        <v>0</v>
      </c>
    </row>
    <row r="3156" spans="1:11" x14ac:dyDescent="0.25">
      <c r="A3156" t="str">
        <f>"3974"</f>
        <v>3974</v>
      </c>
      <c r="B3156" t="str">
        <f t="shared" si="203"/>
        <v>1</v>
      </c>
      <c r="C3156" t="str">
        <f t="shared" si="204"/>
        <v>168</v>
      </c>
      <c r="D3156" t="str">
        <f>"11"</f>
        <v>11</v>
      </c>
      <c r="E3156" t="str">
        <f>"1-168-11"</f>
        <v>1-168-11</v>
      </c>
      <c r="F3156" t="s">
        <v>15</v>
      </c>
      <c r="G3156" t="s">
        <v>16</v>
      </c>
      <c r="H3156" t="s">
        <v>17</v>
      </c>
      <c r="I3156">
        <v>1</v>
      </c>
      <c r="J3156">
        <v>0</v>
      </c>
      <c r="K3156">
        <v>0</v>
      </c>
    </row>
    <row r="3157" spans="1:11" x14ac:dyDescent="0.25">
      <c r="A3157" t="str">
        <f>"3975"</f>
        <v>3975</v>
      </c>
      <c r="B3157" t="str">
        <f t="shared" si="203"/>
        <v>1</v>
      </c>
      <c r="C3157" t="str">
        <f t="shared" si="204"/>
        <v>168</v>
      </c>
      <c r="D3157" t="str">
        <f>"6"</f>
        <v>6</v>
      </c>
      <c r="E3157" t="str">
        <f>"1-168-6"</f>
        <v>1-168-6</v>
      </c>
      <c r="F3157" t="s">
        <v>15</v>
      </c>
      <c r="G3157" t="s">
        <v>20</v>
      </c>
      <c r="H3157" t="s">
        <v>21</v>
      </c>
      <c r="I3157">
        <v>0</v>
      </c>
      <c r="J3157">
        <v>0</v>
      </c>
      <c r="K3157">
        <v>0</v>
      </c>
    </row>
    <row r="3158" spans="1:11" x14ac:dyDescent="0.25">
      <c r="A3158" t="str">
        <f>"3976"</f>
        <v>3976</v>
      </c>
      <c r="B3158" t="str">
        <f t="shared" si="203"/>
        <v>1</v>
      </c>
      <c r="C3158" t="str">
        <f t="shared" si="204"/>
        <v>168</v>
      </c>
      <c r="D3158" t="str">
        <f>"21"</f>
        <v>21</v>
      </c>
      <c r="E3158" t="str">
        <f>"1-168-21"</f>
        <v>1-168-21</v>
      </c>
      <c r="F3158" t="s">
        <v>15</v>
      </c>
      <c r="G3158" t="s">
        <v>16</v>
      </c>
      <c r="H3158" t="s">
        <v>17</v>
      </c>
      <c r="I3158">
        <v>0</v>
      </c>
      <c r="J3158">
        <v>0</v>
      </c>
      <c r="K3158">
        <v>0</v>
      </c>
    </row>
    <row r="3159" spans="1:11" x14ac:dyDescent="0.25">
      <c r="A3159" t="str">
        <f>"3977"</f>
        <v>3977</v>
      </c>
      <c r="B3159" t="str">
        <f t="shared" si="203"/>
        <v>1</v>
      </c>
      <c r="C3159" t="str">
        <f t="shared" si="204"/>
        <v>168</v>
      </c>
      <c r="D3159" t="str">
        <f>"23"</f>
        <v>23</v>
      </c>
      <c r="E3159" t="str">
        <f>"1-168-23"</f>
        <v>1-168-23</v>
      </c>
      <c r="F3159" t="s">
        <v>15</v>
      </c>
      <c r="G3159" t="s">
        <v>18</v>
      </c>
      <c r="H3159" t="s">
        <v>19</v>
      </c>
      <c r="I3159">
        <v>0</v>
      </c>
      <c r="J3159">
        <v>0</v>
      </c>
      <c r="K3159">
        <v>0</v>
      </c>
    </row>
    <row r="3160" spans="1:11" x14ac:dyDescent="0.25">
      <c r="A3160" t="str">
        <f>"3978"</f>
        <v>3978</v>
      </c>
      <c r="B3160" t="str">
        <f t="shared" si="203"/>
        <v>1</v>
      </c>
      <c r="C3160" t="str">
        <f t="shared" si="204"/>
        <v>168</v>
      </c>
      <c r="D3160" t="str">
        <f>"2"</f>
        <v>2</v>
      </c>
      <c r="E3160" t="str">
        <f>"1-168-2"</f>
        <v>1-168-2</v>
      </c>
      <c r="F3160" t="s">
        <v>15</v>
      </c>
      <c r="G3160" t="s">
        <v>20</v>
      </c>
      <c r="H3160" t="s">
        <v>21</v>
      </c>
      <c r="I3160">
        <v>0</v>
      </c>
      <c r="J3160">
        <v>0</v>
      </c>
      <c r="K3160">
        <v>0</v>
      </c>
    </row>
    <row r="3161" spans="1:11" x14ac:dyDescent="0.25">
      <c r="A3161" t="str">
        <f>"3979"</f>
        <v>3979</v>
      </c>
      <c r="B3161" t="str">
        <f t="shared" si="203"/>
        <v>1</v>
      </c>
      <c r="C3161" t="str">
        <f t="shared" ref="C3161:C3185" si="205">"169"</f>
        <v>169</v>
      </c>
      <c r="D3161" t="str">
        <f>"15"</f>
        <v>15</v>
      </c>
      <c r="E3161" t="str">
        <f>"1-169-15"</f>
        <v>1-169-15</v>
      </c>
      <c r="F3161" t="s">
        <v>15</v>
      </c>
      <c r="G3161" t="s">
        <v>20</v>
      </c>
      <c r="H3161" t="s">
        <v>21</v>
      </c>
      <c r="I3161">
        <v>0</v>
      </c>
      <c r="J3161">
        <v>0</v>
      </c>
      <c r="K3161">
        <v>1</v>
      </c>
    </row>
    <row r="3162" spans="1:11" x14ac:dyDescent="0.25">
      <c r="A3162" t="str">
        <f>"3980"</f>
        <v>3980</v>
      </c>
      <c r="B3162" t="str">
        <f t="shared" si="203"/>
        <v>1</v>
      </c>
      <c r="C3162" t="str">
        <f t="shared" si="205"/>
        <v>169</v>
      </c>
      <c r="D3162" t="str">
        <f>"1"</f>
        <v>1</v>
      </c>
      <c r="E3162" t="str">
        <f>"1-169-1"</f>
        <v>1-169-1</v>
      </c>
      <c r="F3162" t="s">
        <v>15</v>
      </c>
      <c r="G3162" t="s">
        <v>20</v>
      </c>
      <c r="H3162" t="s">
        <v>21</v>
      </c>
      <c r="I3162">
        <v>1</v>
      </c>
      <c r="J3162">
        <v>0</v>
      </c>
      <c r="K3162">
        <v>0</v>
      </c>
    </row>
    <row r="3163" spans="1:11" x14ac:dyDescent="0.25">
      <c r="A3163" t="str">
        <f>"3981"</f>
        <v>3981</v>
      </c>
      <c r="B3163" t="str">
        <f t="shared" si="203"/>
        <v>1</v>
      </c>
      <c r="C3163" t="str">
        <f t="shared" si="205"/>
        <v>169</v>
      </c>
      <c r="D3163" t="str">
        <f>"16"</f>
        <v>16</v>
      </c>
      <c r="E3163" t="str">
        <f>"1-169-16"</f>
        <v>1-169-16</v>
      </c>
      <c r="F3163" t="s">
        <v>15</v>
      </c>
      <c r="G3163" t="s">
        <v>20</v>
      </c>
      <c r="H3163" t="s">
        <v>21</v>
      </c>
      <c r="I3163">
        <v>1</v>
      </c>
      <c r="J3163">
        <v>0</v>
      </c>
      <c r="K3163">
        <v>0</v>
      </c>
    </row>
    <row r="3164" spans="1:11" x14ac:dyDescent="0.25">
      <c r="A3164" t="str">
        <f>"3982"</f>
        <v>3982</v>
      </c>
      <c r="B3164" t="str">
        <f t="shared" si="203"/>
        <v>1</v>
      </c>
      <c r="C3164" t="str">
        <f t="shared" si="205"/>
        <v>169</v>
      </c>
      <c r="D3164" t="str">
        <f>"10"</f>
        <v>10</v>
      </c>
      <c r="E3164" t="str">
        <f>"1-169-10"</f>
        <v>1-169-10</v>
      </c>
      <c r="F3164" t="s">
        <v>15</v>
      </c>
      <c r="G3164" t="s">
        <v>20</v>
      </c>
      <c r="H3164" t="s">
        <v>21</v>
      </c>
      <c r="I3164">
        <v>0</v>
      </c>
      <c r="J3164">
        <v>1</v>
      </c>
      <c r="K3164">
        <v>0</v>
      </c>
    </row>
    <row r="3165" spans="1:11" x14ac:dyDescent="0.25">
      <c r="A3165" t="str">
        <f>"3983"</f>
        <v>3983</v>
      </c>
      <c r="B3165" t="str">
        <f t="shared" si="203"/>
        <v>1</v>
      </c>
      <c r="C3165" t="str">
        <f t="shared" si="205"/>
        <v>169</v>
      </c>
      <c r="D3165" t="str">
        <f>"17"</f>
        <v>17</v>
      </c>
      <c r="E3165" t="str">
        <f>"1-169-17"</f>
        <v>1-169-17</v>
      </c>
      <c r="F3165" t="s">
        <v>15</v>
      </c>
      <c r="G3165" t="s">
        <v>20</v>
      </c>
      <c r="H3165" t="s">
        <v>21</v>
      </c>
      <c r="I3165">
        <v>0</v>
      </c>
      <c r="J3165">
        <v>1</v>
      </c>
      <c r="K3165">
        <v>0</v>
      </c>
    </row>
    <row r="3166" spans="1:11" x14ac:dyDescent="0.25">
      <c r="A3166" t="str">
        <f>"3984"</f>
        <v>3984</v>
      </c>
      <c r="B3166" t="str">
        <f t="shared" si="203"/>
        <v>1</v>
      </c>
      <c r="C3166" t="str">
        <f t="shared" si="205"/>
        <v>169</v>
      </c>
      <c r="D3166" t="str">
        <f>"5"</f>
        <v>5</v>
      </c>
      <c r="E3166" t="str">
        <f>"1-169-5"</f>
        <v>1-169-5</v>
      </c>
      <c r="F3166" t="s">
        <v>15</v>
      </c>
      <c r="G3166" t="s">
        <v>20</v>
      </c>
      <c r="H3166" t="s">
        <v>21</v>
      </c>
      <c r="I3166">
        <v>1</v>
      </c>
      <c r="J3166">
        <v>0</v>
      </c>
      <c r="K3166">
        <v>0</v>
      </c>
    </row>
    <row r="3167" spans="1:11" x14ac:dyDescent="0.25">
      <c r="A3167" t="str">
        <f>"3985"</f>
        <v>3985</v>
      </c>
      <c r="B3167" t="str">
        <f t="shared" si="203"/>
        <v>1</v>
      </c>
      <c r="C3167" t="str">
        <f t="shared" si="205"/>
        <v>169</v>
      </c>
      <c r="D3167" t="str">
        <f>"18"</f>
        <v>18</v>
      </c>
      <c r="E3167" t="str">
        <f>"1-169-18"</f>
        <v>1-169-18</v>
      </c>
      <c r="F3167" t="s">
        <v>15</v>
      </c>
      <c r="G3167" t="s">
        <v>20</v>
      </c>
      <c r="H3167" t="s">
        <v>21</v>
      </c>
      <c r="I3167">
        <v>1</v>
      </c>
      <c r="J3167">
        <v>0</v>
      </c>
      <c r="K3167">
        <v>0</v>
      </c>
    </row>
    <row r="3168" spans="1:11" x14ac:dyDescent="0.25">
      <c r="A3168" t="str">
        <f>"3986"</f>
        <v>3986</v>
      </c>
      <c r="B3168" t="str">
        <f t="shared" si="203"/>
        <v>1</v>
      </c>
      <c r="C3168" t="str">
        <f t="shared" si="205"/>
        <v>169</v>
      </c>
      <c r="D3168" t="str">
        <f>"19"</f>
        <v>19</v>
      </c>
      <c r="E3168" t="str">
        <f>"1-169-19"</f>
        <v>1-169-19</v>
      </c>
      <c r="F3168" t="s">
        <v>15</v>
      </c>
      <c r="G3168" t="s">
        <v>20</v>
      </c>
      <c r="H3168" t="s">
        <v>21</v>
      </c>
      <c r="I3168">
        <v>0</v>
      </c>
      <c r="J3168">
        <v>1</v>
      </c>
      <c r="K3168">
        <v>0</v>
      </c>
    </row>
    <row r="3169" spans="1:11" x14ac:dyDescent="0.25">
      <c r="A3169" t="str">
        <f>"3987"</f>
        <v>3987</v>
      </c>
      <c r="B3169" t="str">
        <f t="shared" si="203"/>
        <v>1</v>
      </c>
      <c r="C3169" t="str">
        <f t="shared" si="205"/>
        <v>169</v>
      </c>
      <c r="D3169" t="str">
        <f>"4"</f>
        <v>4</v>
      </c>
      <c r="E3169" t="str">
        <f>"1-169-4"</f>
        <v>1-169-4</v>
      </c>
      <c r="F3169" t="s">
        <v>15</v>
      </c>
      <c r="G3169" t="s">
        <v>20</v>
      </c>
      <c r="H3169" t="s">
        <v>21</v>
      </c>
      <c r="I3169">
        <v>1</v>
      </c>
      <c r="J3169">
        <v>0</v>
      </c>
      <c r="K3169">
        <v>0</v>
      </c>
    </row>
    <row r="3170" spans="1:11" x14ac:dyDescent="0.25">
      <c r="A3170" t="str">
        <f>"3988"</f>
        <v>3988</v>
      </c>
      <c r="B3170" t="str">
        <f t="shared" si="203"/>
        <v>1</v>
      </c>
      <c r="C3170" t="str">
        <f t="shared" si="205"/>
        <v>169</v>
      </c>
      <c r="D3170" t="str">
        <f>"20"</f>
        <v>20</v>
      </c>
      <c r="E3170" t="str">
        <f>"1-169-20"</f>
        <v>1-169-20</v>
      </c>
      <c r="F3170" t="s">
        <v>15</v>
      </c>
      <c r="G3170" t="s">
        <v>20</v>
      </c>
      <c r="H3170" t="s">
        <v>21</v>
      </c>
      <c r="I3170">
        <v>0</v>
      </c>
      <c r="J3170">
        <v>1</v>
      </c>
      <c r="K3170">
        <v>0</v>
      </c>
    </row>
    <row r="3171" spans="1:11" x14ac:dyDescent="0.25">
      <c r="A3171" t="str">
        <f>"3989"</f>
        <v>3989</v>
      </c>
      <c r="B3171" t="str">
        <f t="shared" si="203"/>
        <v>1</v>
      </c>
      <c r="C3171" t="str">
        <f t="shared" si="205"/>
        <v>169</v>
      </c>
      <c r="D3171" t="str">
        <f>"8"</f>
        <v>8</v>
      </c>
      <c r="E3171" t="str">
        <f>"1-169-8"</f>
        <v>1-169-8</v>
      </c>
      <c r="F3171" t="s">
        <v>15</v>
      </c>
      <c r="G3171" t="s">
        <v>20</v>
      </c>
      <c r="H3171" t="s">
        <v>21</v>
      </c>
      <c r="I3171">
        <v>0</v>
      </c>
      <c r="J3171">
        <v>0</v>
      </c>
      <c r="K3171">
        <v>1</v>
      </c>
    </row>
    <row r="3172" spans="1:11" x14ac:dyDescent="0.25">
      <c r="A3172" t="str">
        <f>"3990"</f>
        <v>3990</v>
      </c>
      <c r="B3172" t="str">
        <f t="shared" si="203"/>
        <v>1</v>
      </c>
      <c r="C3172" t="str">
        <f t="shared" si="205"/>
        <v>169</v>
      </c>
      <c r="D3172" t="str">
        <f>"14"</f>
        <v>14</v>
      </c>
      <c r="E3172" t="str">
        <f>"1-169-14"</f>
        <v>1-169-14</v>
      </c>
      <c r="F3172" t="s">
        <v>15</v>
      </c>
      <c r="G3172" t="s">
        <v>20</v>
      </c>
      <c r="H3172" t="s">
        <v>21</v>
      </c>
      <c r="I3172">
        <v>1</v>
      </c>
      <c r="J3172">
        <v>0</v>
      </c>
      <c r="K3172">
        <v>0</v>
      </c>
    </row>
    <row r="3173" spans="1:11" x14ac:dyDescent="0.25">
      <c r="A3173" t="str">
        <f>"3991"</f>
        <v>3991</v>
      </c>
      <c r="B3173" t="str">
        <f t="shared" si="203"/>
        <v>1</v>
      </c>
      <c r="C3173" t="str">
        <f t="shared" si="205"/>
        <v>169</v>
      </c>
      <c r="D3173" t="str">
        <f>"22"</f>
        <v>22</v>
      </c>
      <c r="E3173" t="str">
        <f>"1-169-22"</f>
        <v>1-169-22</v>
      </c>
      <c r="F3173" t="s">
        <v>15</v>
      </c>
      <c r="G3173" t="s">
        <v>20</v>
      </c>
      <c r="H3173" t="s">
        <v>21</v>
      </c>
      <c r="I3173">
        <v>0</v>
      </c>
      <c r="J3173">
        <v>0</v>
      </c>
      <c r="K3173">
        <v>1</v>
      </c>
    </row>
    <row r="3174" spans="1:11" x14ac:dyDescent="0.25">
      <c r="A3174" t="str">
        <f>"3992"</f>
        <v>3992</v>
      </c>
      <c r="B3174" t="str">
        <f t="shared" si="203"/>
        <v>1</v>
      </c>
      <c r="C3174" t="str">
        <f t="shared" si="205"/>
        <v>169</v>
      </c>
      <c r="D3174" t="str">
        <f>"7"</f>
        <v>7</v>
      </c>
      <c r="E3174" t="str">
        <f>"1-169-7"</f>
        <v>1-169-7</v>
      </c>
      <c r="F3174" t="s">
        <v>15</v>
      </c>
      <c r="G3174" t="s">
        <v>20</v>
      </c>
      <c r="H3174" t="s">
        <v>21</v>
      </c>
      <c r="I3174">
        <v>1</v>
      </c>
      <c r="J3174">
        <v>0</v>
      </c>
      <c r="K3174">
        <v>0</v>
      </c>
    </row>
    <row r="3175" spans="1:11" x14ac:dyDescent="0.25">
      <c r="A3175" t="str">
        <f>"3993"</f>
        <v>3993</v>
      </c>
      <c r="B3175" t="str">
        <f t="shared" si="203"/>
        <v>1</v>
      </c>
      <c r="C3175" t="str">
        <f t="shared" si="205"/>
        <v>169</v>
      </c>
      <c r="D3175" t="str">
        <f>"23"</f>
        <v>23</v>
      </c>
      <c r="E3175" t="str">
        <f>"1-169-23"</f>
        <v>1-169-23</v>
      </c>
      <c r="F3175" t="s">
        <v>15</v>
      </c>
      <c r="G3175" t="s">
        <v>20</v>
      </c>
      <c r="H3175" t="s">
        <v>21</v>
      </c>
      <c r="I3175">
        <v>1</v>
      </c>
      <c r="J3175">
        <v>0</v>
      </c>
      <c r="K3175">
        <v>0</v>
      </c>
    </row>
    <row r="3176" spans="1:11" x14ac:dyDescent="0.25">
      <c r="A3176" t="str">
        <f>"3994"</f>
        <v>3994</v>
      </c>
      <c r="B3176" t="str">
        <f t="shared" ref="B3176:B3235" si="206">"1"</f>
        <v>1</v>
      </c>
      <c r="C3176" t="str">
        <f t="shared" si="205"/>
        <v>169</v>
      </c>
      <c r="D3176" t="str">
        <f>"3"</f>
        <v>3</v>
      </c>
      <c r="E3176" t="str">
        <f>"1-169-3"</f>
        <v>1-169-3</v>
      </c>
      <c r="F3176" t="s">
        <v>15</v>
      </c>
      <c r="G3176" t="s">
        <v>20</v>
      </c>
      <c r="H3176" t="s">
        <v>21</v>
      </c>
      <c r="I3176">
        <v>0</v>
      </c>
      <c r="J3176">
        <v>1</v>
      </c>
      <c r="K3176">
        <v>0</v>
      </c>
    </row>
    <row r="3177" spans="1:11" x14ac:dyDescent="0.25">
      <c r="A3177" t="str">
        <f>"3995"</f>
        <v>3995</v>
      </c>
      <c r="B3177" t="str">
        <f t="shared" si="206"/>
        <v>1</v>
      </c>
      <c r="C3177" t="str">
        <f t="shared" si="205"/>
        <v>169</v>
      </c>
      <c r="D3177" t="str">
        <f>"24"</f>
        <v>24</v>
      </c>
      <c r="E3177" t="str">
        <f>"1-169-24"</f>
        <v>1-169-24</v>
      </c>
      <c r="F3177" t="s">
        <v>15</v>
      </c>
      <c r="G3177" t="s">
        <v>20</v>
      </c>
      <c r="H3177" t="s">
        <v>21</v>
      </c>
      <c r="I3177">
        <v>0</v>
      </c>
      <c r="J3177">
        <v>1</v>
      </c>
      <c r="K3177">
        <v>0</v>
      </c>
    </row>
    <row r="3178" spans="1:11" x14ac:dyDescent="0.25">
      <c r="A3178" t="str">
        <f>"3996"</f>
        <v>3996</v>
      </c>
      <c r="B3178" t="str">
        <f t="shared" si="206"/>
        <v>1</v>
      </c>
      <c r="C3178" t="str">
        <f t="shared" si="205"/>
        <v>169</v>
      </c>
      <c r="D3178" t="str">
        <f>"11"</f>
        <v>11</v>
      </c>
      <c r="E3178" t="str">
        <f>"1-169-11"</f>
        <v>1-169-11</v>
      </c>
      <c r="F3178" t="s">
        <v>15</v>
      </c>
      <c r="G3178" t="s">
        <v>20</v>
      </c>
      <c r="H3178" t="s">
        <v>21</v>
      </c>
      <c r="I3178">
        <v>1</v>
      </c>
      <c r="J3178">
        <v>0</v>
      </c>
      <c r="K3178">
        <v>0</v>
      </c>
    </row>
    <row r="3179" spans="1:11" x14ac:dyDescent="0.25">
      <c r="A3179" t="str">
        <f>"3997"</f>
        <v>3997</v>
      </c>
      <c r="B3179" t="str">
        <f t="shared" si="206"/>
        <v>1</v>
      </c>
      <c r="C3179" t="str">
        <f t="shared" si="205"/>
        <v>169</v>
      </c>
      <c r="D3179" t="str">
        <f>"25"</f>
        <v>25</v>
      </c>
      <c r="E3179" t="str">
        <f>"1-169-25"</f>
        <v>1-169-25</v>
      </c>
      <c r="F3179" t="s">
        <v>15</v>
      </c>
      <c r="G3179" t="s">
        <v>20</v>
      </c>
      <c r="H3179" t="s">
        <v>21</v>
      </c>
      <c r="I3179">
        <v>0</v>
      </c>
      <c r="J3179">
        <v>0</v>
      </c>
      <c r="K3179">
        <v>1</v>
      </c>
    </row>
    <row r="3180" spans="1:11" x14ac:dyDescent="0.25">
      <c r="A3180" t="str">
        <f>"3998"</f>
        <v>3998</v>
      </c>
      <c r="B3180" t="str">
        <f t="shared" si="206"/>
        <v>1</v>
      </c>
      <c r="C3180" t="str">
        <f t="shared" si="205"/>
        <v>169</v>
      </c>
      <c r="D3180" t="str">
        <f>"9"</f>
        <v>9</v>
      </c>
      <c r="E3180" t="str">
        <f>"1-169-9"</f>
        <v>1-169-9</v>
      </c>
      <c r="F3180" t="s">
        <v>15</v>
      </c>
      <c r="G3180" t="s">
        <v>20</v>
      </c>
      <c r="H3180" t="s">
        <v>21</v>
      </c>
      <c r="I3180">
        <v>1</v>
      </c>
      <c r="J3180">
        <v>0</v>
      </c>
      <c r="K3180">
        <v>0</v>
      </c>
    </row>
    <row r="3181" spans="1:11" x14ac:dyDescent="0.25">
      <c r="A3181" t="str">
        <f>"3999"</f>
        <v>3999</v>
      </c>
      <c r="B3181" t="str">
        <f t="shared" si="206"/>
        <v>1</v>
      </c>
      <c r="C3181" t="str">
        <f t="shared" si="205"/>
        <v>169</v>
      </c>
      <c r="D3181" t="str">
        <f>"6"</f>
        <v>6</v>
      </c>
      <c r="E3181" t="str">
        <f>"1-169-6"</f>
        <v>1-169-6</v>
      </c>
      <c r="F3181" t="s">
        <v>15</v>
      </c>
      <c r="G3181" t="s">
        <v>20</v>
      </c>
      <c r="H3181" t="s">
        <v>21</v>
      </c>
      <c r="I3181">
        <v>1</v>
      </c>
      <c r="J3181">
        <v>0</v>
      </c>
      <c r="K3181">
        <v>0</v>
      </c>
    </row>
    <row r="3182" spans="1:11" x14ac:dyDescent="0.25">
      <c r="A3182" t="str">
        <f>"4000"</f>
        <v>4000</v>
      </c>
      <c r="B3182" t="str">
        <f t="shared" si="206"/>
        <v>1</v>
      </c>
      <c r="C3182" t="str">
        <f t="shared" si="205"/>
        <v>169</v>
      </c>
      <c r="D3182" t="str">
        <f>"13"</f>
        <v>13</v>
      </c>
      <c r="E3182" t="str">
        <f>"1-169-13"</f>
        <v>1-169-13</v>
      </c>
      <c r="F3182" t="s">
        <v>15</v>
      </c>
      <c r="G3182" t="s">
        <v>20</v>
      </c>
      <c r="H3182" t="s">
        <v>21</v>
      </c>
      <c r="I3182">
        <v>0</v>
      </c>
      <c r="J3182">
        <v>0</v>
      </c>
      <c r="K3182">
        <v>1</v>
      </c>
    </row>
    <row r="3183" spans="1:11" x14ac:dyDescent="0.25">
      <c r="A3183" t="str">
        <f>"4001"</f>
        <v>4001</v>
      </c>
      <c r="B3183" t="str">
        <f t="shared" si="206"/>
        <v>1</v>
      </c>
      <c r="C3183" t="str">
        <f t="shared" si="205"/>
        <v>169</v>
      </c>
      <c r="D3183" t="str">
        <f>"2"</f>
        <v>2</v>
      </c>
      <c r="E3183" t="str">
        <f>"1-169-2"</f>
        <v>1-169-2</v>
      </c>
      <c r="F3183" t="s">
        <v>15</v>
      </c>
      <c r="G3183" t="s">
        <v>20</v>
      </c>
      <c r="H3183" t="s">
        <v>21</v>
      </c>
      <c r="I3183">
        <v>0</v>
      </c>
      <c r="J3183">
        <v>1</v>
      </c>
      <c r="K3183">
        <v>0</v>
      </c>
    </row>
    <row r="3184" spans="1:11" x14ac:dyDescent="0.25">
      <c r="A3184" t="str">
        <f>"4002"</f>
        <v>4002</v>
      </c>
      <c r="B3184" t="str">
        <f t="shared" si="206"/>
        <v>1</v>
      </c>
      <c r="C3184" t="str">
        <f t="shared" si="205"/>
        <v>169</v>
      </c>
      <c r="D3184" t="str">
        <f>"21"</f>
        <v>21</v>
      </c>
      <c r="E3184" t="str">
        <f>"1-169-21"</f>
        <v>1-169-21</v>
      </c>
      <c r="F3184" t="s">
        <v>15</v>
      </c>
      <c r="G3184" t="s">
        <v>20</v>
      </c>
      <c r="H3184" t="s">
        <v>21</v>
      </c>
      <c r="I3184">
        <v>0</v>
      </c>
      <c r="J3184">
        <v>0</v>
      </c>
      <c r="K3184">
        <v>0</v>
      </c>
    </row>
    <row r="3185" spans="1:11" x14ac:dyDescent="0.25">
      <c r="A3185" t="str">
        <f>"4003"</f>
        <v>4003</v>
      </c>
      <c r="B3185" t="str">
        <f t="shared" si="206"/>
        <v>1</v>
      </c>
      <c r="C3185" t="str">
        <f t="shared" si="205"/>
        <v>169</v>
      </c>
      <c r="D3185" t="str">
        <f>"12"</f>
        <v>12</v>
      </c>
      <c r="E3185" t="str">
        <f>"1-169-12"</f>
        <v>1-169-12</v>
      </c>
      <c r="F3185" t="s">
        <v>15</v>
      </c>
      <c r="G3185" t="s">
        <v>20</v>
      </c>
      <c r="H3185" t="s">
        <v>21</v>
      </c>
      <c r="I3185">
        <v>0</v>
      </c>
      <c r="J3185">
        <v>0</v>
      </c>
      <c r="K3185">
        <v>0</v>
      </c>
    </row>
    <row r="3186" spans="1:11" x14ac:dyDescent="0.25">
      <c r="A3186" t="str">
        <f>"4004"</f>
        <v>4004</v>
      </c>
      <c r="B3186" t="str">
        <f t="shared" si="206"/>
        <v>1</v>
      </c>
      <c r="C3186" t="str">
        <f t="shared" ref="C3186:C3210" si="207">"170"</f>
        <v>170</v>
      </c>
      <c r="D3186" t="str">
        <f>"22"</f>
        <v>22</v>
      </c>
      <c r="E3186" t="str">
        <f>"1-170-22"</f>
        <v>1-170-22</v>
      </c>
      <c r="F3186" t="s">
        <v>15</v>
      </c>
      <c r="G3186" t="s">
        <v>16</v>
      </c>
      <c r="H3186" t="s">
        <v>17</v>
      </c>
      <c r="I3186">
        <v>1</v>
      </c>
      <c r="J3186">
        <v>0</v>
      </c>
      <c r="K3186">
        <v>0</v>
      </c>
    </row>
    <row r="3187" spans="1:11" x14ac:dyDescent="0.25">
      <c r="A3187" t="str">
        <f>"4005"</f>
        <v>4005</v>
      </c>
      <c r="B3187" t="str">
        <f t="shared" si="206"/>
        <v>1</v>
      </c>
      <c r="C3187" t="str">
        <f t="shared" si="207"/>
        <v>170</v>
      </c>
      <c r="D3187" t="str">
        <f>"15"</f>
        <v>15</v>
      </c>
      <c r="E3187" t="str">
        <f>"1-170-15"</f>
        <v>1-170-15</v>
      </c>
      <c r="F3187" t="s">
        <v>15</v>
      </c>
      <c r="G3187" t="s">
        <v>16</v>
      </c>
      <c r="H3187" t="s">
        <v>17</v>
      </c>
      <c r="I3187">
        <v>0</v>
      </c>
      <c r="J3187">
        <v>0</v>
      </c>
      <c r="K3187">
        <v>1</v>
      </c>
    </row>
    <row r="3188" spans="1:11" x14ac:dyDescent="0.25">
      <c r="A3188" t="str">
        <f>"4006"</f>
        <v>4006</v>
      </c>
      <c r="B3188" t="str">
        <f t="shared" si="206"/>
        <v>1</v>
      </c>
      <c r="C3188" t="str">
        <f t="shared" si="207"/>
        <v>170</v>
      </c>
      <c r="D3188" t="str">
        <f>"8"</f>
        <v>8</v>
      </c>
      <c r="E3188" t="str">
        <f>"1-170-8"</f>
        <v>1-170-8</v>
      </c>
      <c r="F3188" t="s">
        <v>15</v>
      </c>
      <c r="G3188" t="s">
        <v>16</v>
      </c>
      <c r="H3188" t="s">
        <v>17</v>
      </c>
      <c r="I3188">
        <v>0</v>
      </c>
      <c r="J3188">
        <v>1</v>
      </c>
      <c r="K3188">
        <v>0</v>
      </c>
    </row>
    <row r="3189" spans="1:11" x14ac:dyDescent="0.25">
      <c r="A3189" t="str">
        <f>"4007"</f>
        <v>4007</v>
      </c>
      <c r="B3189" t="str">
        <f t="shared" si="206"/>
        <v>1</v>
      </c>
      <c r="C3189" t="str">
        <f t="shared" si="207"/>
        <v>170</v>
      </c>
      <c r="D3189" t="str">
        <f>"25"</f>
        <v>25</v>
      </c>
      <c r="E3189" t="str">
        <f>"1-170-25"</f>
        <v>1-170-25</v>
      </c>
      <c r="F3189" t="s">
        <v>15</v>
      </c>
      <c r="G3189" t="s">
        <v>16</v>
      </c>
      <c r="H3189" t="s">
        <v>17</v>
      </c>
      <c r="I3189">
        <v>0</v>
      </c>
      <c r="J3189">
        <v>0</v>
      </c>
      <c r="K3189">
        <v>1</v>
      </c>
    </row>
    <row r="3190" spans="1:11" x14ac:dyDescent="0.25">
      <c r="A3190" t="str">
        <f>"4008"</f>
        <v>4008</v>
      </c>
      <c r="B3190" t="str">
        <f t="shared" si="206"/>
        <v>1</v>
      </c>
      <c r="C3190" t="str">
        <f t="shared" si="207"/>
        <v>170</v>
      </c>
      <c r="D3190" t="str">
        <f>"16"</f>
        <v>16</v>
      </c>
      <c r="E3190" t="str">
        <f>"1-170-16"</f>
        <v>1-170-16</v>
      </c>
      <c r="F3190" t="s">
        <v>15</v>
      </c>
      <c r="G3190" t="s">
        <v>16</v>
      </c>
      <c r="H3190" t="s">
        <v>17</v>
      </c>
      <c r="I3190">
        <v>0</v>
      </c>
      <c r="J3190">
        <v>0</v>
      </c>
      <c r="K3190">
        <v>1</v>
      </c>
    </row>
    <row r="3191" spans="1:11" x14ac:dyDescent="0.25">
      <c r="A3191" t="str">
        <f>"4009"</f>
        <v>4009</v>
      </c>
      <c r="B3191" t="str">
        <f t="shared" si="206"/>
        <v>1</v>
      </c>
      <c r="C3191" t="str">
        <f t="shared" si="207"/>
        <v>170</v>
      </c>
      <c r="D3191" t="str">
        <f>"3"</f>
        <v>3</v>
      </c>
      <c r="E3191" t="str">
        <f>"1-170-3"</f>
        <v>1-170-3</v>
      </c>
      <c r="F3191" t="s">
        <v>15</v>
      </c>
      <c r="G3191" t="s">
        <v>16</v>
      </c>
      <c r="H3191" t="s">
        <v>17</v>
      </c>
      <c r="I3191">
        <v>0</v>
      </c>
      <c r="J3191">
        <v>1</v>
      </c>
      <c r="K3191">
        <v>0</v>
      </c>
    </row>
    <row r="3192" spans="1:11" x14ac:dyDescent="0.25">
      <c r="A3192" t="str">
        <f>"4010"</f>
        <v>4010</v>
      </c>
      <c r="B3192" t="str">
        <f t="shared" si="206"/>
        <v>1</v>
      </c>
      <c r="C3192" t="str">
        <f t="shared" si="207"/>
        <v>170</v>
      </c>
      <c r="D3192" t="str">
        <f>"17"</f>
        <v>17</v>
      </c>
      <c r="E3192" t="str">
        <f>"1-170-17"</f>
        <v>1-170-17</v>
      </c>
      <c r="F3192" t="s">
        <v>15</v>
      </c>
      <c r="G3192" t="s">
        <v>18</v>
      </c>
      <c r="H3192" t="s">
        <v>19</v>
      </c>
      <c r="I3192">
        <v>0</v>
      </c>
      <c r="J3192">
        <v>1</v>
      </c>
      <c r="K3192">
        <v>0</v>
      </c>
    </row>
    <row r="3193" spans="1:11" x14ac:dyDescent="0.25">
      <c r="A3193" t="str">
        <f>"4011"</f>
        <v>4011</v>
      </c>
      <c r="B3193" t="str">
        <f t="shared" si="206"/>
        <v>1</v>
      </c>
      <c r="C3193" t="str">
        <f t="shared" si="207"/>
        <v>170</v>
      </c>
      <c r="D3193" t="str">
        <f>"7"</f>
        <v>7</v>
      </c>
      <c r="E3193" t="str">
        <f>"1-170-7"</f>
        <v>1-170-7</v>
      </c>
      <c r="F3193" t="s">
        <v>15</v>
      </c>
      <c r="G3193" t="s">
        <v>16</v>
      </c>
      <c r="H3193" t="s">
        <v>17</v>
      </c>
      <c r="I3193">
        <v>0</v>
      </c>
      <c r="J3193">
        <v>1</v>
      </c>
      <c r="K3193">
        <v>0</v>
      </c>
    </row>
    <row r="3194" spans="1:11" x14ac:dyDescent="0.25">
      <c r="A3194" t="str">
        <f>"4012"</f>
        <v>4012</v>
      </c>
      <c r="B3194" t="str">
        <f t="shared" si="206"/>
        <v>1</v>
      </c>
      <c r="C3194" t="str">
        <f t="shared" si="207"/>
        <v>170</v>
      </c>
      <c r="D3194" t="str">
        <f>"18"</f>
        <v>18</v>
      </c>
      <c r="E3194" t="str">
        <f>"1-170-18"</f>
        <v>1-170-18</v>
      </c>
      <c r="F3194" t="s">
        <v>15</v>
      </c>
      <c r="G3194" t="s">
        <v>18</v>
      </c>
      <c r="H3194" t="s">
        <v>19</v>
      </c>
      <c r="I3194">
        <v>0</v>
      </c>
      <c r="J3194">
        <v>1</v>
      </c>
      <c r="K3194">
        <v>0</v>
      </c>
    </row>
    <row r="3195" spans="1:11" x14ac:dyDescent="0.25">
      <c r="A3195" t="str">
        <f>"4013"</f>
        <v>4013</v>
      </c>
      <c r="B3195" t="str">
        <f t="shared" si="206"/>
        <v>1</v>
      </c>
      <c r="C3195" t="str">
        <f t="shared" si="207"/>
        <v>170</v>
      </c>
      <c r="D3195" t="str">
        <f>"2"</f>
        <v>2</v>
      </c>
      <c r="E3195" t="str">
        <f>"1-170-2"</f>
        <v>1-170-2</v>
      </c>
      <c r="F3195" t="s">
        <v>15</v>
      </c>
      <c r="G3195" t="s">
        <v>16</v>
      </c>
      <c r="H3195" t="s">
        <v>17</v>
      </c>
      <c r="I3195">
        <v>1</v>
      </c>
      <c r="J3195">
        <v>0</v>
      </c>
      <c r="K3195">
        <v>0</v>
      </c>
    </row>
    <row r="3196" spans="1:11" x14ac:dyDescent="0.25">
      <c r="A3196" t="str">
        <f>"4014"</f>
        <v>4014</v>
      </c>
      <c r="B3196" t="str">
        <f t="shared" si="206"/>
        <v>1</v>
      </c>
      <c r="C3196" t="str">
        <f t="shared" si="207"/>
        <v>170</v>
      </c>
      <c r="D3196" t="str">
        <f>"19"</f>
        <v>19</v>
      </c>
      <c r="E3196" t="str">
        <f>"1-170-19"</f>
        <v>1-170-19</v>
      </c>
      <c r="F3196" t="s">
        <v>15</v>
      </c>
      <c r="G3196" t="s">
        <v>18</v>
      </c>
      <c r="H3196" t="s">
        <v>19</v>
      </c>
      <c r="I3196">
        <v>0</v>
      </c>
      <c r="J3196">
        <v>0</v>
      </c>
      <c r="K3196">
        <v>1</v>
      </c>
    </row>
    <row r="3197" spans="1:11" x14ac:dyDescent="0.25">
      <c r="A3197" t="str">
        <f>"4015"</f>
        <v>4015</v>
      </c>
      <c r="B3197" t="str">
        <f t="shared" si="206"/>
        <v>1</v>
      </c>
      <c r="C3197" t="str">
        <f t="shared" si="207"/>
        <v>170</v>
      </c>
      <c r="D3197" t="str">
        <f>"11"</f>
        <v>11</v>
      </c>
      <c r="E3197" t="str">
        <f>"1-170-11"</f>
        <v>1-170-11</v>
      </c>
      <c r="F3197" t="s">
        <v>15</v>
      </c>
      <c r="G3197" t="s">
        <v>18</v>
      </c>
      <c r="H3197" t="s">
        <v>19</v>
      </c>
      <c r="I3197">
        <v>0</v>
      </c>
      <c r="J3197">
        <v>0</v>
      </c>
      <c r="K3197">
        <v>1</v>
      </c>
    </row>
    <row r="3198" spans="1:11" x14ac:dyDescent="0.25">
      <c r="A3198" t="str">
        <f>"4016"</f>
        <v>4016</v>
      </c>
      <c r="B3198" t="str">
        <f t="shared" si="206"/>
        <v>1</v>
      </c>
      <c r="C3198" t="str">
        <f t="shared" si="207"/>
        <v>170</v>
      </c>
      <c r="D3198" t="str">
        <f>"20"</f>
        <v>20</v>
      </c>
      <c r="E3198" t="str">
        <f>"1-170-20"</f>
        <v>1-170-20</v>
      </c>
      <c r="F3198" t="s">
        <v>15</v>
      </c>
      <c r="G3198" t="s">
        <v>16</v>
      </c>
      <c r="H3198" t="s">
        <v>17</v>
      </c>
      <c r="I3198">
        <v>1</v>
      </c>
      <c r="J3198">
        <v>0</v>
      </c>
      <c r="K3198">
        <v>0</v>
      </c>
    </row>
    <row r="3199" spans="1:11" x14ac:dyDescent="0.25">
      <c r="A3199" t="str">
        <f>"4017"</f>
        <v>4017</v>
      </c>
      <c r="B3199" t="str">
        <f t="shared" si="206"/>
        <v>1</v>
      </c>
      <c r="C3199" t="str">
        <f t="shared" si="207"/>
        <v>170</v>
      </c>
      <c r="D3199" t="str">
        <f>"10"</f>
        <v>10</v>
      </c>
      <c r="E3199" t="str">
        <f>"1-170-10"</f>
        <v>1-170-10</v>
      </c>
      <c r="F3199" t="s">
        <v>15</v>
      </c>
      <c r="G3199" t="s">
        <v>16</v>
      </c>
      <c r="H3199" t="s">
        <v>17</v>
      </c>
      <c r="I3199">
        <v>0</v>
      </c>
      <c r="J3199">
        <v>0</v>
      </c>
      <c r="K3199">
        <v>1</v>
      </c>
    </row>
    <row r="3200" spans="1:11" x14ac:dyDescent="0.25">
      <c r="A3200" t="str">
        <f>"4018"</f>
        <v>4018</v>
      </c>
      <c r="B3200" t="str">
        <f t="shared" si="206"/>
        <v>1</v>
      </c>
      <c r="C3200" t="str">
        <f t="shared" si="207"/>
        <v>170</v>
      </c>
      <c r="D3200" t="str">
        <f>"21"</f>
        <v>21</v>
      </c>
      <c r="E3200" t="str">
        <f>"1-170-21"</f>
        <v>1-170-21</v>
      </c>
      <c r="F3200" t="s">
        <v>15</v>
      </c>
      <c r="G3200" t="s">
        <v>16</v>
      </c>
      <c r="H3200" t="s">
        <v>17</v>
      </c>
      <c r="I3200">
        <v>1</v>
      </c>
      <c r="J3200">
        <v>0</v>
      </c>
      <c r="K3200">
        <v>0</v>
      </c>
    </row>
    <row r="3201" spans="1:11" x14ac:dyDescent="0.25">
      <c r="A3201" t="str">
        <f>"4019"</f>
        <v>4019</v>
      </c>
      <c r="B3201" t="str">
        <f t="shared" si="206"/>
        <v>1</v>
      </c>
      <c r="C3201" t="str">
        <f t="shared" si="207"/>
        <v>170</v>
      </c>
      <c r="D3201" t="str">
        <f>"6"</f>
        <v>6</v>
      </c>
      <c r="E3201" t="str">
        <f>"1-170-6"</f>
        <v>1-170-6</v>
      </c>
      <c r="F3201" t="s">
        <v>15</v>
      </c>
      <c r="G3201" t="s">
        <v>16</v>
      </c>
      <c r="H3201" t="s">
        <v>17</v>
      </c>
      <c r="I3201">
        <v>1</v>
      </c>
      <c r="J3201">
        <v>0</v>
      </c>
      <c r="K3201">
        <v>0</v>
      </c>
    </row>
    <row r="3202" spans="1:11" x14ac:dyDescent="0.25">
      <c r="A3202" t="str">
        <f>"4020"</f>
        <v>4020</v>
      </c>
      <c r="B3202" t="str">
        <f t="shared" si="206"/>
        <v>1</v>
      </c>
      <c r="C3202" t="str">
        <f t="shared" si="207"/>
        <v>170</v>
      </c>
      <c r="D3202" t="str">
        <f>"23"</f>
        <v>23</v>
      </c>
      <c r="E3202" t="str">
        <f>"1-170-23"</f>
        <v>1-170-23</v>
      </c>
      <c r="F3202" t="s">
        <v>15</v>
      </c>
      <c r="G3202" t="s">
        <v>16</v>
      </c>
      <c r="H3202" t="s">
        <v>17</v>
      </c>
      <c r="I3202">
        <v>1</v>
      </c>
      <c r="J3202">
        <v>0</v>
      </c>
      <c r="K3202">
        <v>0</v>
      </c>
    </row>
    <row r="3203" spans="1:11" x14ac:dyDescent="0.25">
      <c r="A3203" t="str">
        <f>"4021"</f>
        <v>4021</v>
      </c>
      <c r="B3203" t="str">
        <f t="shared" si="206"/>
        <v>1</v>
      </c>
      <c r="C3203" t="str">
        <f t="shared" si="207"/>
        <v>170</v>
      </c>
      <c r="D3203" t="str">
        <f>"13"</f>
        <v>13</v>
      </c>
      <c r="E3203" t="str">
        <f>"1-170-13"</f>
        <v>1-170-13</v>
      </c>
      <c r="F3203" t="s">
        <v>15</v>
      </c>
      <c r="G3203" t="s">
        <v>18</v>
      </c>
      <c r="H3203" t="s">
        <v>19</v>
      </c>
      <c r="I3203">
        <v>1</v>
      </c>
      <c r="J3203">
        <v>0</v>
      </c>
      <c r="K3203">
        <v>0</v>
      </c>
    </row>
    <row r="3204" spans="1:11" x14ac:dyDescent="0.25">
      <c r="A3204" t="str">
        <f>"4022"</f>
        <v>4022</v>
      </c>
      <c r="B3204" t="str">
        <f t="shared" si="206"/>
        <v>1</v>
      </c>
      <c r="C3204" t="str">
        <f t="shared" si="207"/>
        <v>170</v>
      </c>
      <c r="D3204" t="str">
        <f>"24"</f>
        <v>24</v>
      </c>
      <c r="E3204" t="str">
        <f>"1-170-24"</f>
        <v>1-170-24</v>
      </c>
      <c r="F3204" t="s">
        <v>15</v>
      </c>
      <c r="G3204" t="s">
        <v>16</v>
      </c>
      <c r="H3204" t="s">
        <v>17</v>
      </c>
      <c r="I3204">
        <v>0</v>
      </c>
      <c r="J3204">
        <v>0</v>
      </c>
      <c r="K3204">
        <v>1</v>
      </c>
    </row>
    <row r="3205" spans="1:11" x14ac:dyDescent="0.25">
      <c r="A3205" t="str">
        <f>"4023"</f>
        <v>4023</v>
      </c>
      <c r="B3205" t="str">
        <f t="shared" si="206"/>
        <v>1</v>
      </c>
      <c r="C3205" t="str">
        <f t="shared" si="207"/>
        <v>170</v>
      </c>
      <c r="D3205" t="str">
        <f>"12"</f>
        <v>12</v>
      </c>
      <c r="E3205" t="str">
        <f>"1-170-12"</f>
        <v>1-170-12</v>
      </c>
      <c r="F3205" t="s">
        <v>15</v>
      </c>
      <c r="G3205" t="s">
        <v>18</v>
      </c>
      <c r="H3205" t="s">
        <v>19</v>
      </c>
      <c r="I3205">
        <v>0</v>
      </c>
      <c r="J3205">
        <v>0</v>
      </c>
      <c r="K3205">
        <v>1</v>
      </c>
    </row>
    <row r="3206" spans="1:11" x14ac:dyDescent="0.25">
      <c r="A3206" t="str">
        <f>"4024"</f>
        <v>4024</v>
      </c>
      <c r="B3206" t="str">
        <f t="shared" si="206"/>
        <v>1</v>
      </c>
      <c r="C3206" t="str">
        <f t="shared" si="207"/>
        <v>170</v>
      </c>
      <c r="D3206" t="str">
        <f>"1"</f>
        <v>1</v>
      </c>
      <c r="E3206" t="str">
        <f>"1-170-1"</f>
        <v>1-170-1</v>
      </c>
      <c r="F3206" t="s">
        <v>15</v>
      </c>
      <c r="G3206" t="s">
        <v>16</v>
      </c>
      <c r="H3206" t="s">
        <v>17</v>
      </c>
      <c r="I3206">
        <v>0</v>
      </c>
      <c r="J3206">
        <v>1</v>
      </c>
      <c r="K3206">
        <v>0</v>
      </c>
    </row>
    <row r="3207" spans="1:11" x14ac:dyDescent="0.25">
      <c r="A3207" t="str">
        <f>"4025"</f>
        <v>4025</v>
      </c>
      <c r="B3207" t="str">
        <f t="shared" si="206"/>
        <v>1</v>
      </c>
      <c r="C3207" t="str">
        <f t="shared" si="207"/>
        <v>170</v>
      </c>
      <c r="D3207" t="str">
        <f>"9"</f>
        <v>9</v>
      </c>
      <c r="E3207" t="str">
        <f>"1-170-9"</f>
        <v>1-170-9</v>
      </c>
      <c r="F3207" t="s">
        <v>15</v>
      </c>
      <c r="G3207" t="s">
        <v>16</v>
      </c>
      <c r="H3207" t="s">
        <v>17</v>
      </c>
      <c r="I3207">
        <v>0</v>
      </c>
      <c r="J3207">
        <v>1</v>
      </c>
      <c r="K3207">
        <v>0</v>
      </c>
    </row>
    <row r="3208" spans="1:11" x14ac:dyDescent="0.25">
      <c r="A3208" t="str">
        <f>"4026"</f>
        <v>4026</v>
      </c>
      <c r="B3208" t="str">
        <f t="shared" si="206"/>
        <v>1</v>
      </c>
      <c r="C3208" t="str">
        <f t="shared" si="207"/>
        <v>170</v>
      </c>
      <c r="D3208" t="str">
        <f>"4"</f>
        <v>4</v>
      </c>
      <c r="E3208" t="str">
        <f>"1-170-4"</f>
        <v>1-170-4</v>
      </c>
      <c r="F3208" t="s">
        <v>15</v>
      </c>
      <c r="G3208" t="s">
        <v>16</v>
      </c>
      <c r="H3208" t="s">
        <v>17</v>
      </c>
      <c r="I3208">
        <v>1</v>
      </c>
      <c r="J3208">
        <v>0</v>
      </c>
      <c r="K3208">
        <v>0</v>
      </c>
    </row>
    <row r="3209" spans="1:11" x14ac:dyDescent="0.25">
      <c r="A3209" t="str">
        <f>"4027"</f>
        <v>4027</v>
      </c>
      <c r="B3209" t="str">
        <f t="shared" si="206"/>
        <v>1</v>
      </c>
      <c r="C3209" t="str">
        <f t="shared" si="207"/>
        <v>170</v>
      </c>
      <c r="D3209" t="str">
        <f>"14"</f>
        <v>14</v>
      </c>
      <c r="E3209" t="str">
        <f>"1-170-14"</f>
        <v>1-170-14</v>
      </c>
      <c r="F3209" t="s">
        <v>15</v>
      </c>
      <c r="G3209" t="s">
        <v>16</v>
      </c>
      <c r="H3209" t="s">
        <v>17</v>
      </c>
      <c r="I3209">
        <v>0</v>
      </c>
      <c r="J3209">
        <v>0</v>
      </c>
      <c r="K3209">
        <v>1</v>
      </c>
    </row>
    <row r="3210" spans="1:11" x14ac:dyDescent="0.25">
      <c r="A3210" t="str">
        <f>"4028"</f>
        <v>4028</v>
      </c>
      <c r="B3210" t="str">
        <f t="shared" si="206"/>
        <v>1</v>
      </c>
      <c r="C3210" t="str">
        <f t="shared" si="207"/>
        <v>170</v>
      </c>
      <c r="D3210" t="str">
        <f>"5"</f>
        <v>5</v>
      </c>
      <c r="E3210" t="str">
        <f>"1-170-5"</f>
        <v>1-170-5</v>
      </c>
      <c r="F3210" t="s">
        <v>15</v>
      </c>
      <c r="G3210" t="s">
        <v>16</v>
      </c>
      <c r="H3210" t="s">
        <v>17</v>
      </c>
      <c r="I3210">
        <v>1</v>
      </c>
      <c r="J3210">
        <v>0</v>
      </c>
      <c r="K3210">
        <v>0</v>
      </c>
    </row>
    <row r="3211" spans="1:11" x14ac:dyDescent="0.25">
      <c r="A3211" t="str">
        <f>"4029"</f>
        <v>4029</v>
      </c>
      <c r="B3211" t="str">
        <f t="shared" si="206"/>
        <v>1</v>
      </c>
      <c r="C3211" t="str">
        <f t="shared" ref="C3211:C3235" si="208">"171"</f>
        <v>171</v>
      </c>
      <c r="D3211" t="str">
        <f>"19"</f>
        <v>19</v>
      </c>
      <c r="E3211" t="str">
        <f>"1-171-19"</f>
        <v>1-171-19</v>
      </c>
      <c r="F3211" t="s">
        <v>15</v>
      </c>
      <c r="G3211" t="s">
        <v>20</v>
      </c>
      <c r="H3211" t="s">
        <v>21</v>
      </c>
      <c r="I3211">
        <v>1</v>
      </c>
      <c r="J3211">
        <v>0</v>
      </c>
      <c r="K3211">
        <v>0</v>
      </c>
    </row>
    <row r="3212" spans="1:11" x14ac:dyDescent="0.25">
      <c r="A3212" t="str">
        <f>"4030"</f>
        <v>4030</v>
      </c>
      <c r="B3212" t="str">
        <f t="shared" si="206"/>
        <v>1</v>
      </c>
      <c r="C3212" t="str">
        <f t="shared" si="208"/>
        <v>171</v>
      </c>
      <c r="D3212" t="str">
        <f>"6"</f>
        <v>6</v>
      </c>
      <c r="E3212" t="str">
        <f>"1-171-6"</f>
        <v>1-171-6</v>
      </c>
      <c r="F3212" t="s">
        <v>15</v>
      </c>
      <c r="G3212" t="s">
        <v>16</v>
      </c>
      <c r="H3212" t="s">
        <v>17</v>
      </c>
      <c r="I3212">
        <v>0</v>
      </c>
      <c r="J3212">
        <v>1</v>
      </c>
      <c r="K3212">
        <v>0</v>
      </c>
    </row>
    <row r="3213" spans="1:11" x14ac:dyDescent="0.25">
      <c r="A3213" t="str">
        <f>"4031"</f>
        <v>4031</v>
      </c>
      <c r="B3213" t="str">
        <f t="shared" si="206"/>
        <v>1</v>
      </c>
      <c r="C3213" t="str">
        <f t="shared" si="208"/>
        <v>171</v>
      </c>
      <c r="D3213" t="str">
        <f>"16"</f>
        <v>16</v>
      </c>
      <c r="E3213" t="str">
        <f>"1-171-16"</f>
        <v>1-171-16</v>
      </c>
      <c r="F3213" t="s">
        <v>15</v>
      </c>
      <c r="G3213" t="s">
        <v>16</v>
      </c>
      <c r="H3213" t="s">
        <v>17</v>
      </c>
      <c r="I3213">
        <v>0</v>
      </c>
      <c r="J3213">
        <v>1</v>
      </c>
      <c r="K3213">
        <v>0</v>
      </c>
    </row>
    <row r="3214" spans="1:11" x14ac:dyDescent="0.25">
      <c r="A3214" t="str">
        <f>"4032"</f>
        <v>4032</v>
      </c>
      <c r="B3214" t="str">
        <f t="shared" si="206"/>
        <v>1</v>
      </c>
      <c r="C3214" t="str">
        <f t="shared" si="208"/>
        <v>171</v>
      </c>
      <c r="D3214" t="str">
        <f>"3"</f>
        <v>3</v>
      </c>
      <c r="E3214" t="str">
        <f>"1-171-3"</f>
        <v>1-171-3</v>
      </c>
      <c r="F3214" t="s">
        <v>15</v>
      </c>
      <c r="G3214" t="s">
        <v>16</v>
      </c>
      <c r="H3214" t="s">
        <v>17</v>
      </c>
      <c r="I3214">
        <v>1</v>
      </c>
      <c r="J3214">
        <v>0</v>
      </c>
      <c r="K3214">
        <v>0</v>
      </c>
    </row>
    <row r="3215" spans="1:11" x14ac:dyDescent="0.25">
      <c r="A3215" t="str">
        <f>"4033"</f>
        <v>4033</v>
      </c>
      <c r="B3215" t="str">
        <f t="shared" si="206"/>
        <v>1</v>
      </c>
      <c r="C3215" t="str">
        <f t="shared" si="208"/>
        <v>171</v>
      </c>
      <c r="D3215" t="str">
        <f>"17"</f>
        <v>17</v>
      </c>
      <c r="E3215" t="str">
        <f>"1-171-17"</f>
        <v>1-171-17</v>
      </c>
      <c r="F3215" t="s">
        <v>15</v>
      </c>
      <c r="G3215" t="s">
        <v>18</v>
      </c>
      <c r="H3215" t="s">
        <v>19</v>
      </c>
      <c r="I3215">
        <v>1</v>
      </c>
      <c r="J3215">
        <v>0</v>
      </c>
      <c r="K3215">
        <v>0</v>
      </c>
    </row>
    <row r="3216" spans="1:11" x14ac:dyDescent="0.25">
      <c r="A3216" t="str">
        <f>"4034"</f>
        <v>4034</v>
      </c>
      <c r="B3216" t="str">
        <f t="shared" si="206"/>
        <v>1</v>
      </c>
      <c r="C3216" t="str">
        <f t="shared" si="208"/>
        <v>171</v>
      </c>
      <c r="D3216" t="str">
        <f>"13"</f>
        <v>13</v>
      </c>
      <c r="E3216" t="str">
        <f>"1-171-13"</f>
        <v>1-171-13</v>
      </c>
      <c r="F3216" t="s">
        <v>15</v>
      </c>
      <c r="G3216" t="s">
        <v>18</v>
      </c>
      <c r="H3216" t="s">
        <v>19</v>
      </c>
      <c r="I3216">
        <v>1</v>
      </c>
      <c r="J3216">
        <v>0</v>
      </c>
      <c r="K3216">
        <v>0</v>
      </c>
    </row>
    <row r="3217" spans="1:11" x14ac:dyDescent="0.25">
      <c r="A3217" t="str">
        <f>"4035"</f>
        <v>4035</v>
      </c>
      <c r="B3217" t="str">
        <f t="shared" si="206"/>
        <v>1</v>
      </c>
      <c r="C3217" t="str">
        <f t="shared" si="208"/>
        <v>171</v>
      </c>
      <c r="D3217" t="str">
        <f>"18"</f>
        <v>18</v>
      </c>
      <c r="E3217" t="str">
        <f>"1-171-18"</f>
        <v>1-171-18</v>
      </c>
      <c r="F3217" t="s">
        <v>15</v>
      </c>
      <c r="G3217" t="s">
        <v>18</v>
      </c>
      <c r="H3217" t="s">
        <v>19</v>
      </c>
      <c r="I3217">
        <v>1</v>
      </c>
      <c r="J3217">
        <v>0</v>
      </c>
      <c r="K3217">
        <v>0</v>
      </c>
    </row>
    <row r="3218" spans="1:11" x14ac:dyDescent="0.25">
      <c r="A3218" t="str">
        <f>"4036"</f>
        <v>4036</v>
      </c>
      <c r="B3218" t="str">
        <f t="shared" si="206"/>
        <v>1</v>
      </c>
      <c r="C3218" t="str">
        <f t="shared" si="208"/>
        <v>171</v>
      </c>
      <c r="D3218" t="str">
        <f>"12"</f>
        <v>12</v>
      </c>
      <c r="E3218" t="str">
        <f>"1-171-12"</f>
        <v>1-171-12</v>
      </c>
      <c r="F3218" t="s">
        <v>15</v>
      </c>
      <c r="G3218" t="s">
        <v>16</v>
      </c>
      <c r="H3218" t="s">
        <v>17</v>
      </c>
      <c r="I3218">
        <v>0</v>
      </c>
      <c r="J3218">
        <v>1</v>
      </c>
      <c r="K3218">
        <v>0</v>
      </c>
    </row>
    <row r="3219" spans="1:11" x14ac:dyDescent="0.25">
      <c r="A3219" t="str">
        <f>"4037"</f>
        <v>4037</v>
      </c>
      <c r="B3219" t="str">
        <f t="shared" si="206"/>
        <v>1</v>
      </c>
      <c r="C3219" t="str">
        <f t="shared" si="208"/>
        <v>171</v>
      </c>
      <c r="D3219" t="str">
        <f>"20"</f>
        <v>20</v>
      </c>
      <c r="E3219" t="str">
        <f>"1-171-20"</f>
        <v>1-171-20</v>
      </c>
      <c r="F3219" t="s">
        <v>15</v>
      </c>
      <c r="G3219" t="s">
        <v>20</v>
      </c>
      <c r="H3219" t="s">
        <v>21</v>
      </c>
      <c r="I3219">
        <v>1</v>
      </c>
      <c r="J3219">
        <v>0</v>
      </c>
      <c r="K3219">
        <v>0</v>
      </c>
    </row>
    <row r="3220" spans="1:11" x14ac:dyDescent="0.25">
      <c r="A3220" t="str">
        <f>"4038"</f>
        <v>4038</v>
      </c>
      <c r="B3220" t="str">
        <f t="shared" si="206"/>
        <v>1</v>
      </c>
      <c r="C3220" t="str">
        <f t="shared" si="208"/>
        <v>171</v>
      </c>
      <c r="D3220" t="str">
        <f>"21"</f>
        <v>21</v>
      </c>
      <c r="E3220" t="str">
        <f>"1-171-21"</f>
        <v>1-171-21</v>
      </c>
      <c r="F3220" t="s">
        <v>15</v>
      </c>
      <c r="G3220" t="s">
        <v>16</v>
      </c>
      <c r="H3220" t="s">
        <v>17</v>
      </c>
      <c r="I3220">
        <v>0</v>
      </c>
      <c r="J3220">
        <v>1</v>
      </c>
      <c r="K3220">
        <v>0</v>
      </c>
    </row>
    <row r="3221" spans="1:11" x14ac:dyDescent="0.25">
      <c r="A3221" t="str">
        <f>"4039"</f>
        <v>4039</v>
      </c>
      <c r="B3221" t="str">
        <f t="shared" si="206"/>
        <v>1</v>
      </c>
      <c r="C3221" t="str">
        <f t="shared" si="208"/>
        <v>171</v>
      </c>
      <c r="D3221" t="str">
        <f>"11"</f>
        <v>11</v>
      </c>
      <c r="E3221" t="str">
        <f>"1-171-11"</f>
        <v>1-171-11</v>
      </c>
      <c r="F3221" t="s">
        <v>15</v>
      </c>
      <c r="G3221" t="s">
        <v>16</v>
      </c>
      <c r="H3221" t="s">
        <v>17</v>
      </c>
      <c r="I3221">
        <v>0</v>
      </c>
      <c r="J3221">
        <v>0</v>
      </c>
      <c r="K3221">
        <v>1</v>
      </c>
    </row>
    <row r="3222" spans="1:11" x14ac:dyDescent="0.25">
      <c r="A3222" t="str">
        <f>"4040"</f>
        <v>4040</v>
      </c>
      <c r="B3222" t="str">
        <f t="shared" si="206"/>
        <v>1</v>
      </c>
      <c r="C3222" t="str">
        <f t="shared" si="208"/>
        <v>171</v>
      </c>
      <c r="D3222" t="str">
        <f>"22"</f>
        <v>22</v>
      </c>
      <c r="E3222" t="str">
        <f>"1-171-22"</f>
        <v>1-171-22</v>
      </c>
      <c r="F3222" t="s">
        <v>15</v>
      </c>
      <c r="G3222" t="s">
        <v>18</v>
      </c>
      <c r="H3222" t="s">
        <v>19</v>
      </c>
      <c r="I3222">
        <v>0</v>
      </c>
      <c r="J3222">
        <v>1</v>
      </c>
      <c r="K3222">
        <v>0</v>
      </c>
    </row>
    <row r="3223" spans="1:11" x14ac:dyDescent="0.25">
      <c r="A3223" t="str">
        <f>"4041"</f>
        <v>4041</v>
      </c>
      <c r="B3223" t="str">
        <f t="shared" si="206"/>
        <v>1</v>
      </c>
      <c r="C3223" t="str">
        <f t="shared" si="208"/>
        <v>171</v>
      </c>
      <c r="D3223" t="str">
        <f>"10"</f>
        <v>10</v>
      </c>
      <c r="E3223" t="str">
        <f>"1-171-10"</f>
        <v>1-171-10</v>
      </c>
      <c r="F3223" t="s">
        <v>15</v>
      </c>
      <c r="G3223" t="s">
        <v>16</v>
      </c>
      <c r="H3223" t="s">
        <v>17</v>
      </c>
      <c r="I3223">
        <v>0</v>
      </c>
      <c r="J3223">
        <v>0</v>
      </c>
      <c r="K3223">
        <v>1</v>
      </c>
    </row>
    <row r="3224" spans="1:11" x14ac:dyDescent="0.25">
      <c r="A3224" t="str">
        <f>"4042"</f>
        <v>4042</v>
      </c>
      <c r="B3224" t="str">
        <f t="shared" si="206"/>
        <v>1</v>
      </c>
      <c r="C3224" t="str">
        <f t="shared" si="208"/>
        <v>171</v>
      </c>
      <c r="D3224" t="str">
        <f>"23"</f>
        <v>23</v>
      </c>
      <c r="E3224" t="str">
        <f>"1-171-23"</f>
        <v>1-171-23</v>
      </c>
      <c r="F3224" t="s">
        <v>15</v>
      </c>
      <c r="G3224" t="s">
        <v>18</v>
      </c>
      <c r="H3224" t="s">
        <v>19</v>
      </c>
      <c r="I3224">
        <v>0</v>
      </c>
      <c r="J3224">
        <v>1</v>
      </c>
      <c r="K3224">
        <v>0</v>
      </c>
    </row>
    <row r="3225" spans="1:11" x14ac:dyDescent="0.25">
      <c r="A3225" t="str">
        <f>"4043"</f>
        <v>4043</v>
      </c>
      <c r="B3225" t="str">
        <f t="shared" si="206"/>
        <v>1</v>
      </c>
      <c r="C3225" t="str">
        <f t="shared" si="208"/>
        <v>171</v>
      </c>
      <c r="D3225" t="str">
        <f>"9"</f>
        <v>9</v>
      </c>
      <c r="E3225" t="str">
        <f>"1-171-9"</f>
        <v>1-171-9</v>
      </c>
      <c r="F3225" t="s">
        <v>15</v>
      </c>
      <c r="G3225" t="s">
        <v>16</v>
      </c>
      <c r="H3225" t="s">
        <v>17</v>
      </c>
      <c r="I3225">
        <v>0</v>
      </c>
      <c r="J3225">
        <v>0</v>
      </c>
      <c r="K3225">
        <v>1</v>
      </c>
    </row>
    <row r="3226" spans="1:11" x14ac:dyDescent="0.25">
      <c r="A3226" t="str">
        <f>"4044"</f>
        <v>4044</v>
      </c>
      <c r="B3226" t="str">
        <f t="shared" si="206"/>
        <v>1</v>
      </c>
      <c r="C3226" t="str">
        <f t="shared" si="208"/>
        <v>171</v>
      </c>
      <c r="D3226" t="str">
        <f>"24"</f>
        <v>24</v>
      </c>
      <c r="E3226" t="str">
        <f>"1-171-24"</f>
        <v>1-171-24</v>
      </c>
      <c r="F3226" t="s">
        <v>15</v>
      </c>
      <c r="G3226" t="s">
        <v>16</v>
      </c>
      <c r="H3226" t="s">
        <v>17</v>
      </c>
      <c r="I3226">
        <v>1</v>
      </c>
      <c r="J3226">
        <v>0</v>
      </c>
      <c r="K3226">
        <v>0</v>
      </c>
    </row>
    <row r="3227" spans="1:11" x14ac:dyDescent="0.25">
      <c r="A3227" t="str">
        <f>"4045"</f>
        <v>4045</v>
      </c>
      <c r="B3227" t="str">
        <f t="shared" si="206"/>
        <v>1</v>
      </c>
      <c r="C3227" t="str">
        <f t="shared" si="208"/>
        <v>171</v>
      </c>
      <c r="D3227" t="str">
        <f>"5"</f>
        <v>5</v>
      </c>
      <c r="E3227" t="str">
        <f>"1-171-5"</f>
        <v>1-171-5</v>
      </c>
      <c r="F3227" t="s">
        <v>15</v>
      </c>
      <c r="G3227" t="s">
        <v>16</v>
      </c>
      <c r="H3227" t="s">
        <v>17</v>
      </c>
      <c r="I3227">
        <v>0</v>
      </c>
      <c r="J3227">
        <v>0</v>
      </c>
      <c r="K3227">
        <v>1</v>
      </c>
    </row>
    <row r="3228" spans="1:11" x14ac:dyDescent="0.25">
      <c r="A3228" t="str">
        <f>"4046"</f>
        <v>4046</v>
      </c>
      <c r="B3228" t="str">
        <f t="shared" si="206"/>
        <v>1</v>
      </c>
      <c r="C3228" t="str">
        <f t="shared" si="208"/>
        <v>171</v>
      </c>
      <c r="D3228" t="str">
        <f>"25"</f>
        <v>25</v>
      </c>
      <c r="E3228" t="str">
        <f>"1-171-25"</f>
        <v>1-171-25</v>
      </c>
      <c r="F3228" t="s">
        <v>15</v>
      </c>
      <c r="G3228" t="s">
        <v>16</v>
      </c>
      <c r="H3228" t="s">
        <v>17</v>
      </c>
      <c r="I3228">
        <v>1</v>
      </c>
      <c r="J3228">
        <v>0</v>
      </c>
      <c r="K3228">
        <v>0</v>
      </c>
    </row>
    <row r="3229" spans="1:11" x14ac:dyDescent="0.25">
      <c r="A3229" t="str">
        <f>"4047"</f>
        <v>4047</v>
      </c>
      <c r="B3229" t="str">
        <f t="shared" si="206"/>
        <v>1</v>
      </c>
      <c r="C3229" t="str">
        <f t="shared" si="208"/>
        <v>171</v>
      </c>
      <c r="D3229" t="str">
        <f>"4"</f>
        <v>4</v>
      </c>
      <c r="E3229" t="str">
        <f>"1-171-4"</f>
        <v>1-171-4</v>
      </c>
      <c r="F3229" t="s">
        <v>15</v>
      </c>
      <c r="G3229" t="s">
        <v>16</v>
      </c>
      <c r="H3229" t="s">
        <v>17</v>
      </c>
      <c r="I3229">
        <v>0</v>
      </c>
      <c r="J3229">
        <v>0</v>
      </c>
      <c r="K3229">
        <v>1</v>
      </c>
    </row>
    <row r="3230" spans="1:11" x14ac:dyDescent="0.25">
      <c r="A3230" t="str">
        <f>"4048"</f>
        <v>4048</v>
      </c>
      <c r="B3230" t="str">
        <f t="shared" si="206"/>
        <v>1</v>
      </c>
      <c r="C3230" t="str">
        <f t="shared" si="208"/>
        <v>171</v>
      </c>
      <c r="D3230" t="str">
        <f>"14"</f>
        <v>14</v>
      </c>
      <c r="E3230" t="str">
        <f>"1-171-14"</f>
        <v>1-171-14</v>
      </c>
      <c r="F3230" t="s">
        <v>15</v>
      </c>
      <c r="G3230" t="s">
        <v>18</v>
      </c>
      <c r="H3230" t="s">
        <v>19</v>
      </c>
      <c r="I3230">
        <v>1</v>
      </c>
      <c r="J3230">
        <v>0</v>
      </c>
      <c r="K3230">
        <v>0</v>
      </c>
    </row>
    <row r="3231" spans="1:11" x14ac:dyDescent="0.25">
      <c r="A3231" t="str">
        <f>"4049"</f>
        <v>4049</v>
      </c>
      <c r="B3231" t="str">
        <f t="shared" si="206"/>
        <v>1</v>
      </c>
      <c r="C3231" t="str">
        <f t="shared" si="208"/>
        <v>171</v>
      </c>
      <c r="D3231" t="str">
        <f>"15"</f>
        <v>15</v>
      </c>
      <c r="E3231" t="str">
        <f>"1-171-15"</f>
        <v>1-171-15</v>
      </c>
      <c r="F3231" t="s">
        <v>15</v>
      </c>
      <c r="G3231" t="s">
        <v>16</v>
      </c>
      <c r="H3231" t="s">
        <v>17</v>
      </c>
      <c r="I3231">
        <v>0</v>
      </c>
      <c r="J3231">
        <v>0</v>
      </c>
      <c r="K3231">
        <v>0</v>
      </c>
    </row>
    <row r="3232" spans="1:11" x14ac:dyDescent="0.25">
      <c r="A3232" t="str">
        <f>"4050"</f>
        <v>4050</v>
      </c>
      <c r="B3232" t="str">
        <f t="shared" si="206"/>
        <v>1</v>
      </c>
      <c r="C3232" t="str">
        <f t="shared" si="208"/>
        <v>171</v>
      </c>
      <c r="D3232" t="str">
        <f>"2"</f>
        <v>2</v>
      </c>
      <c r="E3232" t="str">
        <f>"1-171-2"</f>
        <v>1-171-2</v>
      </c>
      <c r="F3232" t="s">
        <v>15</v>
      </c>
      <c r="G3232" t="s">
        <v>18</v>
      </c>
      <c r="H3232" t="s">
        <v>19</v>
      </c>
      <c r="I3232">
        <v>0</v>
      </c>
      <c r="J3232">
        <v>0</v>
      </c>
      <c r="K3232">
        <v>0</v>
      </c>
    </row>
    <row r="3233" spans="1:11" x14ac:dyDescent="0.25">
      <c r="A3233" t="str">
        <f>"4051"</f>
        <v>4051</v>
      </c>
      <c r="B3233" t="str">
        <f t="shared" si="206"/>
        <v>1</v>
      </c>
      <c r="C3233" t="str">
        <f t="shared" si="208"/>
        <v>171</v>
      </c>
      <c r="D3233" t="str">
        <f>"7"</f>
        <v>7</v>
      </c>
      <c r="E3233" t="str">
        <f>"1-171-7"</f>
        <v>1-171-7</v>
      </c>
      <c r="F3233" t="s">
        <v>15</v>
      </c>
      <c r="G3233" t="s">
        <v>18</v>
      </c>
      <c r="H3233" t="s">
        <v>19</v>
      </c>
      <c r="I3233">
        <v>0</v>
      </c>
      <c r="J3233">
        <v>0</v>
      </c>
      <c r="K3233">
        <v>0</v>
      </c>
    </row>
    <row r="3234" spans="1:11" x14ac:dyDescent="0.25">
      <c r="A3234" t="str">
        <f>"4052"</f>
        <v>4052</v>
      </c>
      <c r="B3234" t="str">
        <f t="shared" si="206"/>
        <v>1</v>
      </c>
      <c r="C3234" t="str">
        <f t="shared" si="208"/>
        <v>171</v>
      </c>
      <c r="D3234" t="str">
        <f>"1"</f>
        <v>1</v>
      </c>
      <c r="E3234" t="str">
        <f>"1-171-1"</f>
        <v>1-171-1</v>
      </c>
      <c r="F3234" t="s">
        <v>15</v>
      </c>
      <c r="G3234" t="s">
        <v>18</v>
      </c>
      <c r="H3234" t="s">
        <v>19</v>
      </c>
      <c r="I3234">
        <v>0</v>
      </c>
      <c r="J3234">
        <v>0</v>
      </c>
      <c r="K3234">
        <v>0</v>
      </c>
    </row>
    <row r="3235" spans="1:11" x14ac:dyDescent="0.25">
      <c r="A3235" t="str">
        <f>"4053"</f>
        <v>4053</v>
      </c>
      <c r="B3235" t="str">
        <f t="shared" si="206"/>
        <v>1</v>
      </c>
      <c r="C3235" t="str">
        <f t="shared" si="208"/>
        <v>171</v>
      </c>
      <c r="D3235" t="str">
        <f>"8"</f>
        <v>8</v>
      </c>
      <c r="E3235" t="str">
        <f>"1-171-8"</f>
        <v>1-171-8</v>
      </c>
      <c r="F3235" t="s">
        <v>15</v>
      </c>
      <c r="G3235" t="s">
        <v>18</v>
      </c>
      <c r="H3235" t="s">
        <v>19</v>
      </c>
      <c r="I3235">
        <v>0</v>
      </c>
      <c r="J3235">
        <v>0</v>
      </c>
      <c r="K3235">
        <v>0</v>
      </c>
    </row>
    <row r="3236" spans="1:11" x14ac:dyDescent="0.25">
      <c r="A3236" t="str">
        <f>"4088"</f>
        <v>4088</v>
      </c>
      <c r="B3236" t="str">
        <f t="shared" ref="B3236:B3269" si="209">"1"</f>
        <v>1</v>
      </c>
      <c r="C3236" t="str">
        <f t="shared" ref="C3236:C3246" si="210">"174"</f>
        <v>174</v>
      </c>
      <c r="D3236" t="str">
        <f>"6"</f>
        <v>6</v>
      </c>
      <c r="E3236" t="str">
        <f>"1-174-6"</f>
        <v>1-174-6</v>
      </c>
      <c r="F3236" t="s">
        <v>15</v>
      </c>
      <c r="G3236" t="s">
        <v>16</v>
      </c>
      <c r="H3236" t="s">
        <v>17</v>
      </c>
      <c r="I3236">
        <v>0</v>
      </c>
      <c r="J3236">
        <v>1</v>
      </c>
      <c r="K3236">
        <v>0</v>
      </c>
    </row>
    <row r="3237" spans="1:11" x14ac:dyDescent="0.25">
      <c r="A3237" t="str">
        <f>"4089"</f>
        <v>4089</v>
      </c>
      <c r="B3237" t="str">
        <f t="shared" si="209"/>
        <v>1</v>
      </c>
      <c r="C3237" t="str">
        <f t="shared" si="210"/>
        <v>174</v>
      </c>
      <c r="D3237" t="str">
        <f>"5"</f>
        <v>5</v>
      </c>
      <c r="E3237" t="str">
        <f>"1-174-5"</f>
        <v>1-174-5</v>
      </c>
      <c r="F3237" t="s">
        <v>15</v>
      </c>
      <c r="G3237" t="s">
        <v>16</v>
      </c>
      <c r="H3237" t="s">
        <v>17</v>
      </c>
      <c r="I3237">
        <v>0</v>
      </c>
      <c r="J3237">
        <v>1</v>
      </c>
      <c r="K3237">
        <v>0</v>
      </c>
    </row>
    <row r="3238" spans="1:11" x14ac:dyDescent="0.25">
      <c r="A3238" t="str">
        <f>"4090"</f>
        <v>4090</v>
      </c>
      <c r="B3238" t="str">
        <f t="shared" si="209"/>
        <v>1</v>
      </c>
      <c r="C3238" t="str">
        <f t="shared" si="210"/>
        <v>174</v>
      </c>
      <c r="D3238" t="str">
        <f>"4"</f>
        <v>4</v>
      </c>
      <c r="E3238" t="str">
        <f>"1-174-4"</f>
        <v>1-174-4</v>
      </c>
      <c r="F3238" t="s">
        <v>15</v>
      </c>
      <c r="G3238" t="s">
        <v>16</v>
      </c>
      <c r="H3238" t="s">
        <v>17</v>
      </c>
      <c r="I3238">
        <v>0</v>
      </c>
      <c r="J3238">
        <v>1</v>
      </c>
      <c r="K3238">
        <v>0</v>
      </c>
    </row>
    <row r="3239" spans="1:11" x14ac:dyDescent="0.25">
      <c r="A3239" t="str">
        <f>"4091"</f>
        <v>4091</v>
      </c>
      <c r="B3239" t="str">
        <f t="shared" si="209"/>
        <v>1</v>
      </c>
      <c r="C3239" t="str">
        <f t="shared" si="210"/>
        <v>174</v>
      </c>
      <c r="D3239" t="str">
        <f>"1"</f>
        <v>1</v>
      </c>
      <c r="E3239" t="str">
        <f>"1-174-1"</f>
        <v>1-174-1</v>
      </c>
      <c r="F3239" t="s">
        <v>15</v>
      </c>
      <c r="G3239" t="s">
        <v>16</v>
      </c>
      <c r="H3239" t="s">
        <v>17</v>
      </c>
      <c r="I3239">
        <v>0</v>
      </c>
      <c r="J3239">
        <v>1</v>
      </c>
      <c r="K3239">
        <v>0</v>
      </c>
    </row>
    <row r="3240" spans="1:11" x14ac:dyDescent="0.25">
      <c r="A3240" t="str">
        <f>"4092"</f>
        <v>4092</v>
      </c>
      <c r="B3240" t="str">
        <f t="shared" si="209"/>
        <v>1</v>
      </c>
      <c r="C3240" t="str">
        <f t="shared" si="210"/>
        <v>174</v>
      </c>
      <c r="D3240" t="str">
        <f>"9"</f>
        <v>9</v>
      </c>
      <c r="E3240" t="str">
        <f>"1-174-9"</f>
        <v>1-174-9</v>
      </c>
      <c r="F3240" t="s">
        <v>15</v>
      </c>
      <c r="G3240" t="s">
        <v>16</v>
      </c>
      <c r="H3240" t="s">
        <v>17</v>
      </c>
      <c r="I3240">
        <v>0</v>
      </c>
      <c r="J3240">
        <v>0</v>
      </c>
      <c r="K3240">
        <v>1</v>
      </c>
    </row>
    <row r="3241" spans="1:11" x14ac:dyDescent="0.25">
      <c r="A3241" t="str">
        <f>"4093"</f>
        <v>4093</v>
      </c>
      <c r="B3241" t="str">
        <f t="shared" si="209"/>
        <v>1</v>
      </c>
      <c r="C3241" t="str">
        <f t="shared" si="210"/>
        <v>174</v>
      </c>
      <c r="D3241" t="str">
        <f>"7"</f>
        <v>7</v>
      </c>
      <c r="E3241" t="str">
        <f>"1-174-7"</f>
        <v>1-174-7</v>
      </c>
      <c r="F3241" t="s">
        <v>15</v>
      </c>
      <c r="G3241" t="s">
        <v>16</v>
      </c>
      <c r="H3241" t="s">
        <v>17</v>
      </c>
      <c r="I3241">
        <v>1</v>
      </c>
      <c r="J3241">
        <v>0</v>
      </c>
      <c r="K3241">
        <v>0</v>
      </c>
    </row>
    <row r="3242" spans="1:11" x14ac:dyDescent="0.25">
      <c r="A3242" t="str">
        <f>"4094"</f>
        <v>4094</v>
      </c>
      <c r="B3242" t="str">
        <f t="shared" si="209"/>
        <v>1</v>
      </c>
      <c r="C3242" t="str">
        <f t="shared" si="210"/>
        <v>174</v>
      </c>
      <c r="D3242" t="str">
        <f>"8"</f>
        <v>8</v>
      </c>
      <c r="E3242" t="str">
        <f>"1-174-8"</f>
        <v>1-174-8</v>
      </c>
      <c r="F3242" t="s">
        <v>15</v>
      </c>
      <c r="G3242" t="s">
        <v>16</v>
      </c>
      <c r="H3242" t="s">
        <v>17</v>
      </c>
      <c r="I3242">
        <v>0</v>
      </c>
      <c r="J3242">
        <v>1</v>
      </c>
      <c r="K3242">
        <v>0</v>
      </c>
    </row>
    <row r="3243" spans="1:11" x14ac:dyDescent="0.25">
      <c r="A3243" t="str">
        <f>"4095"</f>
        <v>4095</v>
      </c>
      <c r="B3243" t="str">
        <f t="shared" si="209"/>
        <v>1</v>
      </c>
      <c r="C3243" t="str">
        <f t="shared" si="210"/>
        <v>174</v>
      </c>
      <c r="D3243" t="str">
        <f>"10"</f>
        <v>10</v>
      </c>
      <c r="E3243" t="str">
        <f>"1-174-10"</f>
        <v>1-174-10</v>
      </c>
      <c r="F3243" t="s">
        <v>15</v>
      </c>
      <c r="G3243" t="s">
        <v>16</v>
      </c>
      <c r="H3243" t="s">
        <v>17</v>
      </c>
      <c r="I3243">
        <v>0</v>
      </c>
      <c r="J3243">
        <v>0</v>
      </c>
      <c r="K3243">
        <v>1</v>
      </c>
    </row>
    <row r="3244" spans="1:11" x14ac:dyDescent="0.25">
      <c r="A3244" t="str">
        <f>"4096"</f>
        <v>4096</v>
      </c>
      <c r="B3244" t="str">
        <f t="shared" si="209"/>
        <v>1</v>
      </c>
      <c r="C3244" t="str">
        <f t="shared" si="210"/>
        <v>174</v>
      </c>
      <c r="D3244" t="str">
        <f>"3"</f>
        <v>3</v>
      </c>
      <c r="E3244" t="str">
        <f>"1-174-3"</f>
        <v>1-174-3</v>
      </c>
      <c r="F3244" t="s">
        <v>15</v>
      </c>
      <c r="G3244" t="s">
        <v>16</v>
      </c>
      <c r="H3244" t="s">
        <v>17</v>
      </c>
      <c r="I3244">
        <v>1</v>
      </c>
      <c r="J3244">
        <v>0</v>
      </c>
      <c r="K3244">
        <v>0</v>
      </c>
    </row>
    <row r="3245" spans="1:11" x14ac:dyDescent="0.25">
      <c r="A3245" t="str">
        <f>"4097"</f>
        <v>4097</v>
      </c>
      <c r="B3245" t="str">
        <f t="shared" si="209"/>
        <v>1</v>
      </c>
      <c r="C3245" t="str">
        <f t="shared" si="210"/>
        <v>174</v>
      </c>
      <c r="D3245" t="str">
        <f>"11"</f>
        <v>11</v>
      </c>
      <c r="E3245" t="str">
        <f>"1-174-11"</f>
        <v>1-174-11</v>
      </c>
      <c r="F3245" t="s">
        <v>15</v>
      </c>
      <c r="G3245" t="s">
        <v>16</v>
      </c>
      <c r="H3245" t="s">
        <v>17</v>
      </c>
      <c r="I3245">
        <v>0</v>
      </c>
      <c r="J3245">
        <v>1</v>
      </c>
      <c r="K3245">
        <v>0</v>
      </c>
    </row>
    <row r="3246" spans="1:11" x14ac:dyDescent="0.25">
      <c r="A3246" t="str">
        <f>"4098"</f>
        <v>4098</v>
      </c>
      <c r="B3246" t="str">
        <f t="shared" si="209"/>
        <v>1</v>
      </c>
      <c r="C3246" t="str">
        <f t="shared" si="210"/>
        <v>174</v>
      </c>
      <c r="D3246" t="str">
        <f>"2"</f>
        <v>2</v>
      </c>
      <c r="E3246" t="str">
        <f>"1-174-2"</f>
        <v>1-174-2</v>
      </c>
      <c r="F3246" t="s">
        <v>15</v>
      </c>
      <c r="G3246" t="s">
        <v>16</v>
      </c>
      <c r="H3246" t="s">
        <v>17</v>
      </c>
      <c r="I3246">
        <v>1</v>
      </c>
      <c r="J3246">
        <v>0</v>
      </c>
      <c r="K3246">
        <v>0</v>
      </c>
    </row>
    <row r="3247" spans="1:11" x14ac:dyDescent="0.25">
      <c r="A3247" t="str">
        <f>"4099"</f>
        <v>4099</v>
      </c>
      <c r="B3247" t="str">
        <f t="shared" si="209"/>
        <v>1</v>
      </c>
      <c r="C3247" t="str">
        <f t="shared" ref="C3247:C3275" si="211">"175"</f>
        <v>175</v>
      </c>
      <c r="D3247" t="str">
        <f>"29"</f>
        <v>29</v>
      </c>
      <c r="E3247" t="str">
        <f>"1-175-29"</f>
        <v>1-175-29</v>
      </c>
      <c r="F3247" t="s">
        <v>15</v>
      </c>
      <c r="G3247" t="s">
        <v>16</v>
      </c>
      <c r="H3247" t="s">
        <v>17</v>
      </c>
      <c r="I3247">
        <v>0</v>
      </c>
      <c r="J3247">
        <v>1</v>
      </c>
      <c r="K3247">
        <v>0</v>
      </c>
    </row>
    <row r="3248" spans="1:11" x14ac:dyDescent="0.25">
      <c r="A3248" t="str">
        <f>"4100"</f>
        <v>4100</v>
      </c>
      <c r="B3248" t="str">
        <f t="shared" si="209"/>
        <v>1</v>
      </c>
      <c r="C3248" t="str">
        <f t="shared" si="211"/>
        <v>175</v>
      </c>
      <c r="D3248" t="str">
        <f>"15"</f>
        <v>15</v>
      </c>
      <c r="E3248" t="str">
        <f>"1-175-15"</f>
        <v>1-175-15</v>
      </c>
      <c r="F3248" t="s">
        <v>15</v>
      </c>
      <c r="G3248" t="s">
        <v>16</v>
      </c>
      <c r="H3248" t="s">
        <v>17</v>
      </c>
      <c r="I3248">
        <v>0</v>
      </c>
      <c r="J3248">
        <v>0</v>
      </c>
      <c r="K3248">
        <v>1</v>
      </c>
    </row>
    <row r="3249" spans="1:11" x14ac:dyDescent="0.25">
      <c r="A3249" t="str">
        <f>"4101"</f>
        <v>4101</v>
      </c>
      <c r="B3249" t="str">
        <f t="shared" si="209"/>
        <v>1</v>
      </c>
      <c r="C3249" t="str">
        <f t="shared" si="211"/>
        <v>175</v>
      </c>
      <c r="D3249" t="str">
        <f>"2"</f>
        <v>2</v>
      </c>
      <c r="E3249" t="str">
        <f>"1-175-2"</f>
        <v>1-175-2</v>
      </c>
      <c r="F3249" t="s">
        <v>15</v>
      </c>
      <c r="G3249" t="s">
        <v>16</v>
      </c>
      <c r="H3249" t="s">
        <v>17</v>
      </c>
      <c r="I3249">
        <v>1</v>
      </c>
      <c r="J3249">
        <v>0</v>
      </c>
      <c r="K3249">
        <v>0</v>
      </c>
    </row>
    <row r="3250" spans="1:11" x14ac:dyDescent="0.25">
      <c r="A3250" t="str">
        <f>"4102"</f>
        <v>4102</v>
      </c>
      <c r="B3250" t="str">
        <f t="shared" si="209"/>
        <v>1</v>
      </c>
      <c r="C3250" t="str">
        <f t="shared" si="211"/>
        <v>175</v>
      </c>
      <c r="D3250" t="str">
        <f>"16"</f>
        <v>16</v>
      </c>
      <c r="E3250" t="str">
        <f>"1-175-16"</f>
        <v>1-175-16</v>
      </c>
      <c r="F3250" t="s">
        <v>15</v>
      </c>
      <c r="G3250" t="s">
        <v>16</v>
      </c>
      <c r="H3250" t="s">
        <v>17</v>
      </c>
      <c r="I3250">
        <v>0</v>
      </c>
      <c r="J3250">
        <v>1</v>
      </c>
      <c r="K3250">
        <v>0</v>
      </c>
    </row>
    <row r="3251" spans="1:11" x14ac:dyDescent="0.25">
      <c r="A3251" t="str">
        <f>"4103"</f>
        <v>4103</v>
      </c>
      <c r="B3251" t="str">
        <f t="shared" si="209"/>
        <v>1</v>
      </c>
      <c r="C3251" t="str">
        <f t="shared" si="211"/>
        <v>175</v>
      </c>
      <c r="D3251" t="str">
        <f>"5"</f>
        <v>5</v>
      </c>
      <c r="E3251" t="str">
        <f>"1-175-5"</f>
        <v>1-175-5</v>
      </c>
      <c r="F3251" t="s">
        <v>15</v>
      </c>
      <c r="G3251" t="s">
        <v>16</v>
      </c>
      <c r="H3251" t="s">
        <v>17</v>
      </c>
      <c r="I3251">
        <v>1</v>
      </c>
      <c r="J3251">
        <v>0</v>
      </c>
      <c r="K3251">
        <v>0</v>
      </c>
    </row>
    <row r="3252" spans="1:11" x14ac:dyDescent="0.25">
      <c r="A3252" t="str">
        <f>"4104"</f>
        <v>4104</v>
      </c>
      <c r="B3252" t="str">
        <f t="shared" si="209"/>
        <v>1</v>
      </c>
      <c r="C3252" t="str">
        <f t="shared" si="211"/>
        <v>175</v>
      </c>
      <c r="D3252" t="str">
        <f>"17"</f>
        <v>17</v>
      </c>
      <c r="E3252" t="str">
        <f>"1-175-17"</f>
        <v>1-175-17</v>
      </c>
      <c r="F3252" t="s">
        <v>15</v>
      </c>
      <c r="G3252" t="s">
        <v>16</v>
      </c>
      <c r="H3252" t="s">
        <v>17</v>
      </c>
      <c r="I3252">
        <v>0</v>
      </c>
      <c r="J3252">
        <v>1</v>
      </c>
      <c r="K3252">
        <v>0</v>
      </c>
    </row>
    <row r="3253" spans="1:11" x14ac:dyDescent="0.25">
      <c r="A3253" t="str">
        <f>"4105"</f>
        <v>4105</v>
      </c>
      <c r="B3253" t="str">
        <f t="shared" si="209"/>
        <v>1</v>
      </c>
      <c r="C3253" t="str">
        <f t="shared" si="211"/>
        <v>175</v>
      </c>
      <c r="D3253" t="str">
        <f>"13"</f>
        <v>13</v>
      </c>
      <c r="E3253" t="str">
        <f>"1-175-13"</f>
        <v>1-175-13</v>
      </c>
      <c r="F3253" t="s">
        <v>15</v>
      </c>
      <c r="G3253" t="s">
        <v>16</v>
      </c>
      <c r="H3253" t="s">
        <v>17</v>
      </c>
      <c r="I3253">
        <v>1</v>
      </c>
      <c r="J3253">
        <v>0</v>
      </c>
      <c r="K3253">
        <v>0</v>
      </c>
    </row>
    <row r="3254" spans="1:11" x14ac:dyDescent="0.25">
      <c r="A3254" t="str">
        <f>"4106"</f>
        <v>4106</v>
      </c>
      <c r="B3254" t="str">
        <f t="shared" si="209"/>
        <v>1</v>
      </c>
      <c r="C3254" t="str">
        <f t="shared" si="211"/>
        <v>175</v>
      </c>
      <c r="D3254" t="str">
        <f>"18"</f>
        <v>18</v>
      </c>
      <c r="E3254" t="str">
        <f>"1-175-18"</f>
        <v>1-175-18</v>
      </c>
      <c r="F3254" t="s">
        <v>15</v>
      </c>
      <c r="G3254" t="s">
        <v>16</v>
      </c>
      <c r="H3254" t="s">
        <v>17</v>
      </c>
      <c r="I3254">
        <v>0</v>
      </c>
      <c r="J3254">
        <v>1</v>
      </c>
      <c r="K3254">
        <v>0</v>
      </c>
    </row>
    <row r="3255" spans="1:11" x14ac:dyDescent="0.25">
      <c r="A3255" t="str">
        <f>"4107"</f>
        <v>4107</v>
      </c>
      <c r="B3255" t="str">
        <f t="shared" si="209"/>
        <v>1</v>
      </c>
      <c r="C3255" t="str">
        <f t="shared" si="211"/>
        <v>175</v>
      </c>
      <c r="D3255" t="str">
        <f>"12"</f>
        <v>12</v>
      </c>
      <c r="E3255" t="str">
        <f>"1-175-12"</f>
        <v>1-175-12</v>
      </c>
      <c r="F3255" t="s">
        <v>15</v>
      </c>
      <c r="G3255" t="s">
        <v>16</v>
      </c>
      <c r="H3255" t="s">
        <v>17</v>
      </c>
      <c r="I3255">
        <v>1</v>
      </c>
      <c r="J3255">
        <v>0</v>
      </c>
      <c r="K3255">
        <v>0</v>
      </c>
    </row>
    <row r="3256" spans="1:11" x14ac:dyDescent="0.25">
      <c r="A3256" t="str">
        <f>"4108"</f>
        <v>4108</v>
      </c>
      <c r="B3256" t="str">
        <f t="shared" si="209"/>
        <v>1</v>
      </c>
      <c r="C3256" t="str">
        <f t="shared" si="211"/>
        <v>175</v>
      </c>
      <c r="D3256" t="str">
        <f>"19"</f>
        <v>19</v>
      </c>
      <c r="E3256" t="str">
        <f>"1-175-19"</f>
        <v>1-175-19</v>
      </c>
      <c r="F3256" t="s">
        <v>15</v>
      </c>
      <c r="G3256" t="s">
        <v>16</v>
      </c>
      <c r="H3256" t="s">
        <v>17</v>
      </c>
      <c r="I3256">
        <v>0</v>
      </c>
      <c r="J3256">
        <v>1</v>
      </c>
      <c r="K3256">
        <v>0</v>
      </c>
    </row>
    <row r="3257" spans="1:11" x14ac:dyDescent="0.25">
      <c r="A3257" t="str">
        <f>"4109"</f>
        <v>4109</v>
      </c>
      <c r="B3257" t="str">
        <f t="shared" si="209"/>
        <v>1</v>
      </c>
      <c r="C3257" t="str">
        <f t="shared" si="211"/>
        <v>175</v>
      </c>
      <c r="D3257" t="str">
        <f>"10"</f>
        <v>10</v>
      </c>
      <c r="E3257" t="str">
        <f>"1-175-10"</f>
        <v>1-175-10</v>
      </c>
      <c r="F3257" t="s">
        <v>15</v>
      </c>
      <c r="G3257" t="s">
        <v>16</v>
      </c>
      <c r="H3257" t="s">
        <v>17</v>
      </c>
      <c r="I3257">
        <v>0</v>
      </c>
      <c r="J3257">
        <v>0</v>
      </c>
      <c r="K3257">
        <v>1</v>
      </c>
    </row>
    <row r="3258" spans="1:11" x14ac:dyDescent="0.25">
      <c r="A3258" t="str">
        <f>"4110"</f>
        <v>4110</v>
      </c>
      <c r="B3258" t="str">
        <f t="shared" si="209"/>
        <v>1</v>
      </c>
      <c r="C3258" t="str">
        <f t="shared" si="211"/>
        <v>175</v>
      </c>
      <c r="D3258" t="str">
        <f>"20"</f>
        <v>20</v>
      </c>
      <c r="E3258" t="str">
        <f>"1-175-20"</f>
        <v>1-175-20</v>
      </c>
      <c r="F3258" t="s">
        <v>15</v>
      </c>
      <c r="G3258" t="s">
        <v>16</v>
      </c>
      <c r="H3258" t="s">
        <v>17</v>
      </c>
      <c r="I3258">
        <v>0</v>
      </c>
      <c r="J3258">
        <v>1</v>
      </c>
      <c r="K3258">
        <v>0</v>
      </c>
    </row>
    <row r="3259" spans="1:11" x14ac:dyDescent="0.25">
      <c r="A3259" t="str">
        <f>"4111"</f>
        <v>4111</v>
      </c>
      <c r="B3259" t="str">
        <f t="shared" si="209"/>
        <v>1</v>
      </c>
      <c r="C3259" t="str">
        <f t="shared" si="211"/>
        <v>175</v>
      </c>
      <c r="D3259" t="str">
        <f>"7"</f>
        <v>7</v>
      </c>
      <c r="E3259" t="str">
        <f>"1-175-7"</f>
        <v>1-175-7</v>
      </c>
      <c r="F3259" t="s">
        <v>15</v>
      </c>
      <c r="G3259" t="s">
        <v>18</v>
      </c>
      <c r="H3259" t="s">
        <v>19</v>
      </c>
      <c r="I3259">
        <v>0</v>
      </c>
      <c r="J3259">
        <v>0</v>
      </c>
      <c r="K3259">
        <v>1</v>
      </c>
    </row>
    <row r="3260" spans="1:11" x14ac:dyDescent="0.25">
      <c r="A3260" t="str">
        <f>"4112"</f>
        <v>4112</v>
      </c>
      <c r="B3260" t="str">
        <f t="shared" si="209"/>
        <v>1</v>
      </c>
      <c r="C3260" t="str">
        <f t="shared" si="211"/>
        <v>175</v>
      </c>
      <c r="D3260" t="str">
        <f>"6"</f>
        <v>6</v>
      </c>
      <c r="E3260" t="str">
        <f>"1-175-6"</f>
        <v>1-175-6</v>
      </c>
      <c r="F3260" t="s">
        <v>15</v>
      </c>
      <c r="G3260" t="s">
        <v>18</v>
      </c>
      <c r="H3260" t="s">
        <v>19</v>
      </c>
      <c r="I3260">
        <v>0</v>
      </c>
      <c r="J3260">
        <v>0</v>
      </c>
      <c r="K3260">
        <v>1</v>
      </c>
    </row>
    <row r="3261" spans="1:11" x14ac:dyDescent="0.25">
      <c r="A3261" t="str">
        <f>"4113"</f>
        <v>4113</v>
      </c>
      <c r="B3261" t="str">
        <f t="shared" si="209"/>
        <v>1</v>
      </c>
      <c r="C3261" t="str">
        <f t="shared" si="211"/>
        <v>175</v>
      </c>
      <c r="D3261" t="str">
        <f>"22"</f>
        <v>22</v>
      </c>
      <c r="E3261" t="str">
        <f>"1-175-22"</f>
        <v>1-175-22</v>
      </c>
      <c r="F3261" t="s">
        <v>15</v>
      </c>
      <c r="G3261" t="s">
        <v>20</v>
      </c>
      <c r="H3261" t="s">
        <v>21</v>
      </c>
      <c r="I3261">
        <v>0</v>
      </c>
      <c r="J3261">
        <v>1</v>
      </c>
      <c r="K3261">
        <v>0</v>
      </c>
    </row>
    <row r="3262" spans="1:11" x14ac:dyDescent="0.25">
      <c r="A3262" t="str">
        <f>"4114"</f>
        <v>4114</v>
      </c>
      <c r="B3262" t="str">
        <f t="shared" si="209"/>
        <v>1</v>
      </c>
      <c r="C3262" t="str">
        <f t="shared" si="211"/>
        <v>175</v>
      </c>
      <c r="D3262" t="str">
        <f>"14"</f>
        <v>14</v>
      </c>
      <c r="E3262" t="str">
        <f>"1-175-14"</f>
        <v>1-175-14</v>
      </c>
      <c r="F3262" t="s">
        <v>15</v>
      </c>
      <c r="G3262" t="s">
        <v>16</v>
      </c>
      <c r="H3262" t="s">
        <v>17</v>
      </c>
      <c r="I3262">
        <v>0</v>
      </c>
      <c r="J3262">
        <v>0</v>
      </c>
      <c r="K3262">
        <v>1</v>
      </c>
    </row>
    <row r="3263" spans="1:11" x14ac:dyDescent="0.25">
      <c r="A3263" t="str">
        <f>"4115"</f>
        <v>4115</v>
      </c>
      <c r="B3263" t="str">
        <f t="shared" si="209"/>
        <v>1</v>
      </c>
      <c r="C3263" t="str">
        <f t="shared" si="211"/>
        <v>175</v>
      </c>
      <c r="D3263" t="str">
        <f>"23"</f>
        <v>23</v>
      </c>
      <c r="E3263" t="str">
        <f>"1-175-23"</f>
        <v>1-175-23</v>
      </c>
      <c r="F3263" t="s">
        <v>15</v>
      </c>
      <c r="G3263" t="s">
        <v>18</v>
      </c>
      <c r="H3263" t="s">
        <v>19</v>
      </c>
      <c r="I3263">
        <v>1</v>
      </c>
      <c r="J3263">
        <v>0</v>
      </c>
      <c r="K3263">
        <v>0</v>
      </c>
    </row>
    <row r="3264" spans="1:11" x14ac:dyDescent="0.25">
      <c r="A3264" t="str">
        <f>"4116"</f>
        <v>4116</v>
      </c>
      <c r="B3264" t="str">
        <f t="shared" si="209"/>
        <v>1</v>
      </c>
      <c r="C3264" t="str">
        <f t="shared" si="211"/>
        <v>175</v>
      </c>
      <c r="D3264" t="str">
        <f>"4"</f>
        <v>4</v>
      </c>
      <c r="E3264" t="str">
        <f>"1-175-4"</f>
        <v>1-175-4</v>
      </c>
      <c r="F3264" t="s">
        <v>15</v>
      </c>
      <c r="G3264" t="s">
        <v>18</v>
      </c>
      <c r="H3264" t="s">
        <v>19</v>
      </c>
      <c r="I3264">
        <v>0</v>
      </c>
      <c r="J3264">
        <v>1</v>
      </c>
      <c r="K3264">
        <v>0</v>
      </c>
    </row>
    <row r="3265" spans="1:11" x14ac:dyDescent="0.25">
      <c r="A3265" t="str">
        <f>"4117"</f>
        <v>4117</v>
      </c>
      <c r="B3265" t="str">
        <f t="shared" si="209"/>
        <v>1</v>
      </c>
      <c r="C3265" t="str">
        <f t="shared" si="211"/>
        <v>175</v>
      </c>
      <c r="D3265" t="str">
        <f>"8"</f>
        <v>8</v>
      </c>
      <c r="E3265" t="str">
        <f>"1-175-8"</f>
        <v>1-175-8</v>
      </c>
      <c r="F3265" t="s">
        <v>15</v>
      </c>
      <c r="G3265" t="s">
        <v>16</v>
      </c>
      <c r="H3265" t="s">
        <v>17</v>
      </c>
      <c r="I3265">
        <v>0</v>
      </c>
      <c r="J3265">
        <v>0</v>
      </c>
      <c r="K3265">
        <v>1</v>
      </c>
    </row>
    <row r="3266" spans="1:11" x14ac:dyDescent="0.25">
      <c r="A3266" t="str">
        <f>"4118"</f>
        <v>4118</v>
      </c>
      <c r="B3266" t="str">
        <f t="shared" si="209"/>
        <v>1</v>
      </c>
      <c r="C3266" t="str">
        <f t="shared" si="211"/>
        <v>175</v>
      </c>
      <c r="D3266" t="str">
        <f>"25"</f>
        <v>25</v>
      </c>
      <c r="E3266" t="str">
        <f>"1-175-25"</f>
        <v>1-175-25</v>
      </c>
      <c r="F3266" t="s">
        <v>15</v>
      </c>
      <c r="G3266" t="s">
        <v>16</v>
      </c>
      <c r="H3266" t="s">
        <v>17</v>
      </c>
      <c r="I3266">
        <v>0</v>
      </c>
      <c r="J3266">
        <v>0</v>
      </c>
      <c r="K3266">
        <v>1</v>
      </c>
    </row>
    <row r="3267" spans="1:11" x14ac:dyDescent="0.25">
      <c r="A3267" t="str">
        <f>"4119"</f>
        <v>4119</v>
      </c>
      <c r="B3267" t="str">
        <f t="shared" si="209"/>
        <v>1</v>
      </c>
      <c r="C3267" t="str">
        <f t="shared" si="211"/>
        <v>175</v>
      </c>
      <c r="D3267" t="str">
        <f>"9"</f>
        <v>9</v>
      </c>
      <c r="E3267" t="str">
        <f>"1-175-9"</f>
        <v>1-175-9</v>
      </c>
      <c r="F3267" t="s">
        <v>15</v>
      </c>
      <c r="G3267" t="s">
        <v>16</v>
      </c>
      <c r="H3267" t="s">
        <v>17</v>
      </c>
      <c r="I3267">
        <v>0</v>
      </c>
      <c r="J3267">
        <v>0</v>
      </c>
      <c r="K3267">
        <v>1</v>
      </c>
    </row>
    <row r="3268" spans="1:11" x14ac:dyDescent="0.25">
      <c r="A3268" t="str">
        <f>"4120"</f>
        <v>4120</v>
      </c>
      <c r="B3268" t="str">
        <f t="shared" si="209"/>
        <v>1</v>
      </c>
      <c r="C3268" t="str">
        <f t="shared" si="211"/>
        <v>175</v>
      </c>
      <c r="D3268" t="str">
        <f>"26"</f>
        <v>26</v>
      </c>
      <c r="E3268" t="str">
        <f>"1-175-26"</f>
        <v>1-175-26</v>
      </c>
      <c r="F3268" t="s">
        <v>15</v>
      </c>
      <c r="G3268" t="s">
        <v>16</v>
      </c>
      <c r="H3268" t="s">
        <v>17</v>
      </c>
      <c r="I3268">
        <v>1</v>
      </c>
      <c r="J3268">
        <v>0</v>
      </c>
      <c r="K3268">
        <v>0</v>
      </c>
    </row>
    <row r="3269" spans="1:11" x14ac:dyDescent="0.25">
      <c r="A3269" t="str">
        <f>"4121"</f>
        <v>4121</v>
      </c>
      <c r="B3269" t="str">
        <f t="shared" si="209"/>
        <v>1</v>
      </c>
      <c r="C3269" t="str">
        <f t="shared" si="211"/>
        <v>175</v>
      </c>
      <c r="D3269" t="str">
        <f>"27"</f>
        <v>27</v>
      </c>
      <c r="E3269" t="str">
        <f>"1-175-27"</f>
        <v>1-175-27</v>
      </c>
      <c r="F3269" t="s">
        <v>15</v>
      </c>
      <c r="G3269" t="s">
        <v>16</v>
      </c>
      <c r="H3269" t="s">
        <v>17</v>
      </c>
      <c r="I3269">
        <v>1</v>
      </c>
      <c r="J3269">
        <v>0</v>
      </c>
      <c r="K3269">
        <v>0</v>
      </c>
    </row>
    <row r="3270" spans="1:11" x14ac:dyDescent="0.25">
      <c r="A3270" t="str">
        <f>"4122"</f>
        <v>4122</v>
      </c>
      <c r="B3270" t="str">
        <f t="shared" ref="B3270:B3325" si="212">"1"</f>
        <v>1</v>
      </c>
      <c r="C3270" t="str">
        <f t="shared" si="211"/>
        <v>175</v>
      </c>
      <c r="D3270" t="str">
        <f>"1"</f>
        <v>1</v>
      </c>
      <c r="E3270" t="str">
        <f>"1-175-1"</f>
        <v>1-175-1</v>
      </c>
      <c r="F3270" t="s">
        <v>15</v>
      </c>
      <c r="G3270" t="s">
        <v>16</v>
      </c>
      <c r="H3270" t="s">
        <v>17</v>
      </c>
      <c r="I3270">
        <v>1</v>
      </c>
      <c r="J3270">
        <v>0</v>
      </c>
      <c r="K3270">
        <v>0</v>
      </c>
    </row>
    <row r="3271" spans="1:11" x14ac:dyDescent="0.25">
      <c r="A3271" t="str">
        <f>"4123"</f>
        <v>4123</v>
      </c>
      <c r="B3271" t="str">
        <f t="shared" si="212"/>
        <v>1</v>
      </c>
      <c r="C3271" t="str">
        <f t="shared" si="211"/>
        <v>175</v>
      </c>
      <c r="D3271" t="str">
        <f>"28"</f>
        <v>28</v>
      </c>
      <c r="E3271" t="str">
        <f>"1-175-28"</f>
        <v>1-175-28</v>
      </c>
      <c r="F3271" t="s">
        <v>15</v>
      </c>
      <c r="G3271" t="s">
        <v>16</v>
      </c>
      <c r="H3271" t="s">
        <v>17</v>
      </c>
      <c r="I3271">
        <v>1</v>
      </c>
      <c r="J3271">
        <v>0</v>
      </c>
      <c r="K3271">
        <v>0</v>
      </c>
    </row>
    <row r="3272" spans="1:11" x14ac:dyDescent="0.25">
      <c r="A3272" t="str">
        <f>"4124"</f>
        <v>4124</v>
      </c>
      <c r="B3272" t="str">
        <f t="shared" si="212"/>
        <v>1</v>
      </c>
      <c r="C3272" t="str">
        <f t="shared" si="211"/>
        <v>175</v>
      </c>
      <c r="D3272" t="str">
        <f>"11"</f>
        <v>11</v>
      </c>
      <c r="E3272" t="str">
        <f>"1-175-11"</f>
        <v>1-175-11</v>
      </c>
      <c r="F3272" t="s">
        <v>15</v>
      </c>
      <c r="G3272" t="s">
        <v>16</v>
      </c>
      <c r="H3272" t="s">
        <v>17</v>
      </c>
      <c r="I3272">
        <v>1</v>
      </c>
      <c r="J3272">
        <v>0</v>
      </c>
      <c r="K3272">
        <v>0</v>
      </c>
    </row>
    <row r="3273" spans="1:11" x14ac:dyDescent="0.25">
      <c r="A3273" t="str">
        <f>"4125"</f>
        <v>4125</v>
      </c>
      <c r="B3273" t="str">
        <f t="shared" si="212"/>
        <v>1</v>
      </c>
      <c r="C3273" t="str">
        <f t="shared" si="211"/>
        <v>175</v>
      </c>
      <c r="D3273" t="str">
        <f>"24"</f>
        <v>24</v>
      </c>
      <c r="E3273" t="str">
        <f>"1-175-24"</f>
        <v>1-175-24</v>
      </c>
      <c r="F3273" t="s">
        <v>15</v>
      </c>
      <c r="G3273" t="s">
        <v>16</v>
      </c>
      <c r="H3273" t="s">
        <v>17</v>
      </c>
      <c r="I3273">
        <v>0</v>
      </c>
      <c r="J3273">
        <v>0</v>
      </c>
      <c r="K3273">
        <v>0</v>
      </c>
    </row>
    <row r="3274" spans="1:11" x14ac:dyDescent="0.25">
      <c r="A3274" t="str">
        <f>"4126"</f>
        <v>4126</v>
      </c>
      <c r="B3274" t="str">
        <f t="shared" si="212"/>
        <v>1</v>
      </c>
      <c r="C3274" t="str">
        <f t="shared" si="211"/>
        <v>175</v>
      </c>
      <c r="D3274" t="str">
        <f>"3"</f>
        <v>3</v>
      </c>
      <c r="E3274" t="str">
        <f>"1-175-3"</f>
        <v>1-175-3</v>
      </c>
      <c r="F3274" t="s">
        <v>15</v>
      </c>
      <c r="G3274" t="s">
        <v>18</v>
      </c>
      <c r="H3274" t="s">
        <v>19</v>
      </c>
      <c r="I3274">
        <v>0</v>
      </c>
      <c r="J3274">
        <v>0</v>
      </c>
      <c r="K3274">
        <v>0</v>
      </c>
    </row>
    <row r="3275" spans="1:11" x14ac:dyDescent="0.25">
      <c r="A3275" t="str">
        <f>"4127"</f>
        <v>4127</v>
      </c>
      <c r="B3275" t="str">
        <f t="shared" si="212"/>
        <v>1</v>
      </c>
      <c r="C3275" t="str">
        <f t="shared" si="211"/>
        <v>175</v>
      </c>
      <c r="D3275" t="str">
        <f>"21"</f>
        <v>21</v>
      </c>
      <c r="E3275" t="str">
        <f>"1-175-21"</f>
        <v>1-175-21</v>
      </c>
      <c r="F3275" t="s">
        <v>15</v>
      </c>
      <c r="G3275" t="s">
        <v>16</v>
      </c>
      <c r="H3275" t="s">
        <v>17</v>
      </c>
      <c r="I3275">
        <v>0</v>
      </c>
      <c r="J3275">
        <v>0</v>
      </c>
      <c r="K3275">
        <v>0</v>
      </c>
    </row>
    <row r="3276" spans="1:11" x14ac:dyDescent="0.25">
      <c r="A3276" t="str">
        <f>"4128"</f>
        <v>4128</v>
      </c>
      <c r="B3276" t="str">
        <f t="shared" si="212"/>
        <v>1</v>
      </c>
      <c r="C3276" t="str">
        <f t="shared" ref="C3276:C3300" si="213">"176"</f>
        <v>176</v>
      </c>
      <c r="D3276" t="str">
        <f>"22"</f>
        <v>22</v>
      </c>
      <c r="E3276" t="str">
        <f>"1-176-22"</f>
        <v>1-176-22</v>
      </c>
      <c r="F3276" t="s">
        <v>15</v>
      </c>
      <c r="G3276" t="s">
        <v>16</v>
      </c>
      <c r="H3276" t="s">
        <v>17</v>
      </c>
      <c r="I3276">
        <v>1</v>
      </c>
      <c r="J3276">
        <v>0</v>
      </c>
      <c r="K3276">
        <v>0</v>
      </c>
    </row>
    <row r="3277" spans="1:11" x14ac:dyDescent="0.25">
      <c r="A3277" t="str">
        <f>"4129"</f>
        <v>4129</v>
      </c>
      <c r="B3277" t="str">
        <f t="shared" si="212"/>
        <v>1</v>
      </c>
      <c r="C3277" t="str">
        <f t="shared" si="213"/>
        <v>176</v>
      </c>
      <c r="D3277" t="str">
        <f>"7"</f>
        <v>7</v>
      </c>
      <c r="E3277" t="str">
        <f>"1-176-7"</f>
        <v>1-176-7</v>
      </c>
      <c r="F3277" t="s">
        <v>15</v>
      </c>
      <c r="G3277" t="s">
        <v>16</v>
      </c>
      <c r="H3277" t="s">
        <v>17</v>
      </c>
      <c r="I3277">
        <v>0</v>
      </c>
      <c r="J3277">
        <v>1</v>
      </c>
      <c r="K3277">
        <v>0</v>
      </c>
    </row>
    <row r="3278" spans="1:11" x14ac:dyDescent="0.25">
      <c r="A3278" t="str">
        <f>"4130"</f>
        <v>4130</v>
      </c>
      <c r="B3278" t="str">
        <f t="shared" si="212"/>
        <v>1</v>
      </c>
      <c r="C3278" t="str">
        <f t="shared" si="213"/>
        <v>176</v>
      </c>
      <c r="D3278" t="str">
        <f>"16"</f>
        <v>16</v>
      </c>
      <c r="E3278" t="str">
        <f>"1-176-16"</f>
        <v>1-176-16</v>
      </c>
      <c r="F3278" t="s">
        <v>15</v>
      </c>
      <c r="G3278" t="s">
        <v>16</v>
      </c>
      <c r="H3278" t="s">
        <v>17</v>
      </c>
      <c r="I3278">
        <v>1</v>
      </c>
      <c r="J3278">
        <v>0</v>
      </c>
      <c r="K3278">
        <v>0</v>
      </c>
    </row>
    <row r="3279" spans="1:11" x14ac:dyDescent="0.25">
      <c r="A3279" t="str">
        <f>"4131"</f>
        <v>4131</v>
      </c>
      <c r="B3279" t="str">
        <f t="shared" si="212"/>
        <v>1</v>
      </c>
      <c r="C3279" t="str">
        <f t="shared" si="213"/>
        <v>176</v>
      </c>
      <c r="D3279" t="str">
        <f>"3"</f>
        <v>3</v>
      </c>
      <c r="E3279" t="str">
        <f>"1-176-3"</f>
        <v>1-176-3</v>
      </c>
      <c r="F3279" t="s">
        <v>15</v>
      </c>
      <c r="G3279" t="s">
        <v>16</v>
      </c>
      <c r="H3279" t="s">
        <v>17</v>
      </c>
      <c r="I3279">
        <v>0</v>
      </c>
      <c r="J3279">
        <v>0</v>
      </c>
      <c r="K3279">
        <v>1</v>
      </c>
    </row>
    <row r="3280" spans="1:11" x14ac:dyDescent="0.25">
      <c r="A3280" t="str">
        <f>"4132"</f>
        <v>4132</v>
      </c>
      <c r="B3280" t="str">
        <f t="shared" si="212"/>
        <v>1</v>
      </c>
      <c r="C3280" t="str">
        <f t="shared" si="213"/>
        <v>176</v>
      </c>
      <c r="D3280" t="str">
        <f>"17"</f>
        <v>17</v>
      </c>
      <c r="E3280" t="str">
        <f>"1-176-17"</f>
        <v>1-176-17</v>
      </c>
      <c r="F3280" t="s">
        <v>15</v>
      </c>
      <c r="G3280" t="s">
        <v>16</v>
      </c>
      <c r="H3280" t="s">
        <v>17</v>
      </c>
      <c r="I3280">
        <v>0</v>
      </c>
      <c r="J3280">
        <v>1</v>
      </c>
      <c r="K3280">
        <v>0</v>
      </c>
    </row>
    <row r="3281" spans="1:11" x14ac:dyDescent="0.25">
      <c r="A3281" t="str">
        <f>"4133"</f>
        <v>4133</v>
      </c>
      <c r="B3281" t="str">
        <f t="shared" si="212"/>
        <v>1</v>
      </c>
      <c r="C3281" t="str">
        <f t="shared" si="213"/>
        <v>176</v>
      </c>
      <c r="D3281" t="str">
        <f>"1"</f>
        <v>1</v>
      </c>
      <c r="E3281" t="str">
        <f>"1-176-1"</f>
        <v>1-176-1</v>
      </c>
      <c r="F3281" t="s">
        <v>15</v>
      </c>
      <c r="G3281" t="s">
        <v>16</v>
      </c>
      <c r="H3281" t="s">
        <v>17</v>
      </c>
      <c r="I3281">
        <v>1</v>
      </c>
      <c r="J3281">
        <v>0</v>
      </c>
      <c r="K3281">
        <v>0</v>
      </c>
    </row>
    <row r="3282" spans="1:11" x14ac:dyDescent="0.25">
      <c r="A3282" t="str">
        <f>"4134"</f>
        <v>4134</v>
      </c>
      <c r="B3282" t="str">
        <f t="shared" si="212"/>
        <v>1</v>
      </c>
      <c r="C3282" t="str">
        <f t="shared" si="213"/>
        <v>176</v>
      </c>
      <c r="D3282" t="str">
        <f>"18"</f>
        <v>18</v>
      </c>
      <c r="E3282" t="str">
        <f>"1-176-18"</f>
        <v>1-176-18</v>
      </c>
      <c r="F3282" t="s">
        <v>15</v>
      </c>
      <c r="G3282" t="s">
        <v>16</v>
      </c>
      <c r="H3282" t="s">
        <v>17</v>
      </c>
      <c r="I3282">
        <v>1</v>
      </c>
      <c r="J3282">
        <v>0</v>
      </c>
      <c r="K3282">
        <v>0</v>
      </c>
    </row>
    <row r="3283" spans="1:11" x14ac:dyDescent="0.25">
      <c r="A3283" t="str">
        <f>"4135"</f>
        <v>4135</v>
      </c>
      <c r="B3283" t="str">
        <f t="shared" si="212"/>
        <v>1</v>
      </c>
      <c r="C3283" t="str">
        <f t="shared" si="213"/>
        <v>176</v>
      </c>
      <c r="D3283" t="str">
        <f>"14"</f>
        <v>14</v>
      </c>
      <c r="E3283" t="str">
        <f>"1-176-14"</f>
        <v>1-176-14</v>
      </c>
      <c r="F3283" t="s">
        <v>15</v>
      </c>
      <c r="G3283" t="s">
        <v>16</v>
      </c>
      <c r="H3283" t="s">
        <v>17</v>
      </c>
      <c r="I3283">
        <v>1</v>
      </c>
      <c r="J3283">
        <v>0</v>
      </c>
      <c r="K3283">
        <v>0</v>
      </c>
    </row>
    <row r="3284" spans="1:11" x14ac:dyDescent="0.25">
      <c r="A3284" t="str">
        <f>"4136"</f>
        <v>4136</v>
      </c>
      <c r="B3284" t="str">
        <f t="shared" si="212"/>
        <v>1</v>
      </c>
      <c r="C3284" t="str">
        <f t="shared" si="213"/>
        <v>176</v>
      </c>
      <c r="D3284" t="str">
        <f>"19"</f>
        <v>19</v>
      </c>
      <c r="E3284" t="str">
        <f>"1-176-19"</f>
        <v>1-176-19</v>
      </c>
      <c r="F3284" t="s">
        <v>15</v>
      </c>
      <c r="G3284" t="s">
        <v>16</v>
      </c>
      <c r="H3284" t="s">
        <v>17</v>
      </c>
      <c r="I3284">
        <v>1</v>
      </c>
      <c r="J3284">
        <v>0</v>
      </c>
      <c r="K3284">
        <v>0</v>
      </c>
    </row>
    <row r="3285" spans="1:11" x14ac:dyDescent="0.25">
      <c r="A3285" t="str">
        <f>"4137"</f>
        <v>4137</v>
      </c>
      <c r="B3285" t="str">
        <f t="shared" si="212"/>
        <v>1</v>
      </c>
      <c r="C3285" t="str">
        <f t="shared" si="213"/>
        <v>176</v>
      </c>
      <c r="D3285" t="str">
        <f>"6"</f>
        <v>6</v>
      </c>
      <c r="E3285" t="str">
        <f>"1-176-6"</f>
        <v>1-176-6</v>
      </c>
      <c r="F3285" t="s">
        <v>15</v>
      </c>
      <c r="G3285" t="s">
        <v>16</v>
      </c>
      <c r="H3285" t="s">
        <v>17</v>
      </c>
      <c r="I3285">
        <v>0</v>
      </c>
      <c r="J3285">
        <v>0</v>
      </c>
      <c r="K3285">
        <v>1</v>
      </c>
    </row>
    <row r="3286" spans="1:11" x14ac:dyDescent="0.25">
      <c r="A3286" t="str">
        <f>"4138"</f>
        <v>4138</v>
      </c>
      <c r="B3286" t="str">
        <f t="shared" si="212"/>
        <v>1</v>
      </c>
      <c r="C3286" t="str">
        <f t="shared" si="213"/>
        <v>176</v>
      </c>
      <c r="D3286" t="str">
        <f>"20"</f>
        <v>20</v>
      </c>
      <c r="E3286" t="str">
        <f>"1-176-20"</f>
        <v>1-176-20</v>
      </c>
      <c r="F3286" t="s">
        <v>15</v>
      </c>
      <c r="G3286" t="s">
        <v>16</v>
      </c>
      <c r="H3286" t="s">
        <v>17</v>
      </c>
      <c r="I3286">
        <v>0</v>
      </c>
      <c r="J3286">
        <v>1</v>
      </c>
      <c r="K3286">
        <v>0</v>
      </c>
    </row>
    <row r="3287" spans="1:11" x14ac:dyDescent="0.25">
      <c r="A3287" t="str">
        <f>"4139"</f>
        <v>4139</v>
      </c>
      <c r="B3287" t="str">
        <f t="shared" si="212"/>
        <v>1</v>
      </c>
      <c r="C3287" t="str">
        <f t="shared" si="213"/>
        <v>176</v>
      </c>
      <c r="D3287" t="str">
        <f>"4"</f>
        <v>4</v>
      </c>
      <c r="E3287" t="str">
        <f>"1-176-4"</f>
        <v>1-176-4</v>
      </c>
      <c r="F3287" t="s">
        <v>15</v>
      </c>
      <c r="G3287" t="s">
        <v>16</v>
      </c>
      <c r="H3287" t="s">
        <v>17</v>
      </c>
      <c r="I3287">
        <v>0</v>
      </c>
      <c r="J3287">
        <v>0</v>
      </c>
      <c r="K3287">
        <v>1</v>
      </c>
    </row>
    <row r="3288" spans="1:11" x14ac:dyDescent="0.25">
      <c r="A3288" t="str">
        <f>"4140"</f>
        <v>4140</v>
      </c>
      <c r="B3288" t="str">
        <f t="shared" si="212"/>
        <v>1</v>
      </c>
      <c r="C3288" t="str">
        <f t="shared" si="213"/>
        <v>176</v>
      </c>
      <c r="D3288" t="str">
        <f>"21"</f>
        <v>21</v>
      </c>
      <c r="E3288" t="str">
        <f>"1-176-21"</f>
        <v>1-176-21</v>
      </c>
      <c r="F3288" t="s">
        <v>15</v>
      </c>
      <c r="G3288" t="s">
        <v>16</v>
      </c>
      <c r="H3288" t="s">
        <v>17</v>
      </c>
      <c r="I3288">
        <v>0</v>
      </c>
      <c r="J3288">
        <v>0</v>
      </c>
      <c r="K3288">
        <v>1</v>
      </c>
    </row>
    <row r="3289" spans="1:11" x14ac:dyDescent="0.25">
      <c r="A3289" t="str">
        <f>"4141"</f>
        <v>4141</v>
      </c>
      <c r="B3289" t="str">
        <f t="shared" si="212"/>
        <v>1</v>
      </c>
      <c r="C3289" t="str">
        <f t="shared" si="213"/>
        <v>176</v>
      </c>
      <c r="D3289" t="str">
        <f>"12"</f>
        <v>12</v>
      </c>
      <c r="E3289" t="str">
        <f>"1-176-12"</f>
        <v>1-176-12</v>
      </c>
      <c r="F3289" t="s">
        <v>15</v>
      </c>
      <c r="G3289" t="s">
        <v>18</v>
      </c>
      <c r="H3289" t="s">
        <v>19</v>
      </c>
      <c r="I3289">
        <v>0</v>
      </c>
      <c r="J3289">
        <v>1</v>
      </c>
      <c r="K3289">
        <v>0</v>
      </c>
    </row>
    <row r="3290" spans="1:11" x14ac:dyDescent="0.25">
      <c r="A3290" t="str">
        <f>"4142"</f>
        <v>4142</v>
      </c>
      <c r="B3290" t="str">
        <f t="shared" si="212"/>
        <v>1</v>
      </c>
      <c r="C3290" t="str">
        <f t="shared" si="213"/>
        <v>176</v>
      </c>
      <c r="D3290" t="str">
        <f>"23"</f>
        <v>23</v>
      </c>
      <c r="E3290" t="str">
        <f>"1-176-23"</f>
        <v>1-176-23</v>
      </c>
      <c r="F3290" t="s">
        <v>15</v>
      </c>
      <c r="G3290" t="s">
        <v>16</v>
      </c>
      <c r="H3290" t="s">
        <v>17</v>
      </c>
      <c r="I3290">
        <v>1</v>
      </c>
      <c r="J3290">
        <v>0</v>
      </c>
      <c r="K3290">
        <v>0</v>
      </c>
    </row>
    <row r="3291" spans="1:11" x14ac:dyDescent="0.25">
      <c r="A3291" t="str">
        <f>"4143"</f>
        <v>4143</v>
      </c>
      <c r="B3291" t="str">
        <f t="shared" si="212"/>
        <v>1</v>
      </c>
      <c r="C3291" t="str">
        <f t="shared" si="213"/>
        <v>176</v>
      </c>
      <c r="D3291" t="str">
        <f>"11"</f>
        <v>11</v>
      </c>
      <c r="E3291" t="str">
        <f>"1-176-11"</f>
        <v>1-176-11</v>
      </c>
      <c r="F3291" t="s">
        <v>15</v>
      </c>
      <c r="G3291" t="s">
        <v>16</v>
      </c>
      <c r="H3291" t="s">
        <v>17</v>
      </c>
      <c r="I3291">
        <v>0</v>
      </c>
      <c r="J3291">
        <v>1</v>
      </c>
      <c r="K3291">
        <v>0</v>
      </c>
    </row>
    <row r="3292" spans="1:11" x14ac:dyDescent="0.25">
      <c r="A3292" t="str">
        <f>"4144"</f>
        <v>4144</v>
      </c>
      <c r="B3292" t="str">
        <f t="shared" si="212"/>
        <v>1</v>
      </c>
      <c r="C3292" t="str">
        <f t="shared" si="213"/>
        <v>176</v>
      </c>
      <c r="D3292" t="str">
        <f>"24"</f>
        <v>24</v>
      </c>
      <c r="E3292" t="str">
        <f>"1-176-24"</f>
        <v>1-176-24</v>
      </c>
      <c r="F3292" t="s">
        <v>15</v>
      </c>
      <c r="G3292" t="s">
        <v>20</v>
      </c>
      <c r="H3292" t="s">
        <v>21</v>
      </c>
      <c r="I3292">
        <v>0</v>
      </c>
      <c r="J3292">
        <v>0</v>
      </c>
      <c r="K3292">
        <v>1</v>
      </c>
    </row>
    <row r="3293" spans="1:11" x14ac:dyDescent="0.25">
      <c r="A3293" t="str">
        <f>"4145"</f>
        <v>4145</v>
      </c>
      <c r="B3293" t="str">
        <f t="shared" si="212"/>
        <v>1</v>
      </c>
      <c r="C3293" t="str">
        <f t="shared" si="213"/>
        <v>176</v>
      </c>
      <c r="D3293" t="str">
        <f>"13"</f>
        <v>13</v>
      </c>
      <c r="E3293" t="str">
        <f>"1-176-13"</f>
        <v>1-176-13</v>
      </c>
      <c r="F3293" t="s">
        <v>15</v>
      </c>
      <c r="G3293" t="s">
        <v>16</v>
      </c>
      <c r="H3293" t="s">
        <v>17</v>
      </c>
      <c r="I3293">
        <v>1</v>
      </c>
      <c r="J3293">
        <v>0</v>
      </c>
      <c r="K3293">
        <v>0</v>
      </c>
    </row>
    <row r="3294" spans="1:11" x14ac:dyDescent="0.25">
      <c r="A3294" t="str">
        <f>"4146"</f>
        <v>4146</v>
      </c>
      <c r="B3294" t="str">
        <f t="shared" si="212"/>
        <v>1</v>
      </c>
      <c r="C3294" t="str">
        <f t="shared" si="213"/>
        <v>176</v>
      </c>
      <c r="D3294" t="str">
        <f>"25"</f>
        <v>25</v>
      </c>
      <c r="E3294" t="str">
        <f>"1-176-25"</f>
        <v>1-176-25</v>
      </c>
      <c r="F3294" t="s">
        <v>15</v>
      </c>
      <c r="G3294" t="s">
        <v>20</v>
      </c>
      <c r="H3294" t="s">
        <v>21</v>
      </c>
      <c r="I3294">
        <v>0</v>
      </c>
      <c r="J3294">
        <v>0</v>
      </c>
      <c r="K3294">
        <v>1</v>
      </c>
    </row>
    <row r="3295" spans="1:11" x14ac:dyDescent="0.25">
      <c r="A3295" t="str">
        <f>"4147"</f>
        <v>4147</v>
      </c>
      <c r="B3295" t="str">
        <f t="shared" si="212"/>
        <v>1</v>
      </c>
      <c r="C3295" t="str">
        <f t="shared" si="213"/>
        <v>176</v>
      </c>
      <c r="D3295" t="str">
        <f>"2"</f>
        <v>2</v>
      </c>
      <c r="E3295" t="str">
        <f>"1-176-2"</f>
        <v>1-176-2</v>
      </c>
      <c r="F3295" t="s">
        <v>15</v>
      </c>
      <c r="G3295" t="s">
        <v>18</v>
      </c>
      <c r="H3295" t="s">
        <v>19</v>
      </c>
      <c r="I3295">
        <v>1</v>
      </c>
      <c r="J3295">
        <v>0</v>
      </c>
      <c r="K3295">
        <v>0</v>
      </c>
    </row>
    <row r="3296" spans="1:11" x14ac:dyDescent="0.25">
      <c r="A3296" t="str">
        <f>"4148"</f>
        <v>4148</v>
      </c>
      <c r="B3296" t="str">
        <f t="shared" si="212"/>
        <v>1</v>
      </c>
      <c r="C3296" t="str">
        <f t="shared" si="213"/>
        <v>176</v>
      </c>
      <c r="D3296" t="str">
        <f>"10"</f>
        <v>10</v>
      </c>
      <c r="E3296" t="str">
        <f>"1-176-10"</f>
        <v>1-176-10</v>
      </c>
      <c r="F3296" t="s">
        <v>15</v>
      </c>
      <c r="G3296" t="s">
        <v>18</v>
      </c>
      <c r="H3296" t="s">
        <v>19</v>
      </c>
      <c r="I3296">
        <v>0</v>
      </c>
      <c r="J3296">
        <v>0</v>
      </c>
      <c r="K3296">
        <v>1</v>
      </c>
    </row>
    <row r="3297" spans="1:11" x14ac:dyDescent="0.25">
      <c r="A3297" t="str">
        <f>"4149"</f>
        <v>4149</v>
      </c>
      <c r="B3297" t="str">
        <f t="shared" si="212"/>
        <v>1</v>
      </c>
      <c r="C3297" t="str">
        <f t="shared" si="213"/>
        <v>176</v>
      </c>
      <c r="D3297" t="str">
        <f>"5"</f>
        <v>5</v>
      </c>
      <c r="E3297" t="str">
        <f>"1-176-5"</f>
        <v>1-176-5</v>
      </c>
      <c r="F3297" t="s">
        <v>15</v>
      </c>
      <c r="G3297" t="s">
        <v>16</v>
      </c>
      <c r="H3297" t="s">
        <v>17</v>
      </c>
      <c r="I3297">
        <v>0</v>
      </c>
      <c r="J3297">
        <v>0</v>
      </c>
      <c r="K3297">
        <v>1</v>
      </c>
    </row>
    <row r="3298" spans="1:11" x14ac:dyDescent="0.25">
      <c r="A3298" t="str">
        <f>"4150"</f>
        <v>4150</v>
      </c>
      <c r="B3298" t="str">
        <f t="shared" si="212"/>
        <v>1</v>
      </c>
      <c r="C3298" t="str">
        <f t="shared" si="213"/>
        <v>176</v>
      </c>
      <c r="D3298" t="str">
        <f>"8"</f>
        <v>8</v>
      </c>
      <c r="E3298" t="str">
        <f>"1-176-8"</f>
        <v>1-176-8</v>
      </c>
      <c r="F3298" t="s">
        <v>15</v>
      </c>
      <c r="G3298" t="s">
        <v>18</v>
      </c>
      <c r="H3298" t="s">
        <v>19</v>
      </c>
      <c r="I3298">
        <v>0</v>
      </c>
      <c r="J3298">
        <v>1</v>
      </c>
      <c r="K3298">
        <v>0</v>
      </c>
    </row>
    <row r="3299" spans="1:11" x14ac:dyDescent="0.25">
      <c r="A3299" t="str">
        <f>"4151"</f>
        <v>4151</v>
      </c>
      <c r="B3299" t="str">
        <f t="shared" si="212"/>
        <v>1</v>
      </c>
      <c r="C3299" t="str">
        <f t="shared" si="213"/>
        <v>176</v>
      </c>
      <c r="D3299" t="str">
        <f>"9"</f>
        <v>9</v>
      </c>
      <c r="E3299" t="str">
        <f>"1-176-9"</f>
        <v>1-176-9</v>
      </c>
      <c r="F3299" t="s">
        <v>15</v>
      </c>
      <c r="G3299" t="s">
        <v>18</v>
      </c>
      <c r="H3299" t="s">
        <v>19</v>
      </c>
      <c r="I3299">
        <v>0</v>
      </c>
      <c r="J3299">
        <v>0</v>
      </c>
      <c r="K3299">
        <v>1</v>
      </c>
    </row>
    <row r="3300" spans="1:11" x14ac:dyDescent="0.25">
      <c r="A3300" t="str">
        <f>"4152"</f>
        <v>4152</v>
      </c>
      <c r="B3300" t="str">
        <f t="shared" si="212"/>
        <v>1</v>
      </c>
      <c r="C3300" t="str">
        <f t="shared" si="213"/>
        <v>176</v>
      </c>
      <c r="D3300" t="str">
        <f>"15"</f>
        <v>15</v>
      </c>
      <c r="E3300" t="str">
        <f>"1-176-15"</f>
        <v>1-176-15</v>
      </c>
      <c r="F3300" t="s">
        <v>15</v>
      </c>
      <c r="G3300" t="s">
        <v>16</v>
      </c>
      <c r="H3300" t="s">
        <v>17</v>
      </c>
      <c r="I3300">
        <v>0</v>
      </c>
      <c r="J3300">
        <v>0</v>
      </c>
      <c r="K3300">
        <v>0</v>
      </c>
    </row>
    <row r="3301" spans="1:11" x14ac:dyDescent="0.25">
      <c r="A3301" t="str">
        <f>"4153"</f>
        <v>4153</v>
      </c>
      <c r="B3301" t="str">
        <f t="shared" si="212"/>
        <v>1</v>
      </c>
      <c r="C3301" t="str">
        <f t="shared" ref="C3301:C3316" si="214">"177"</f>
        <v>177</v>
      </c>
      <c r="D3301" t="str">
        <f>"15"</f>
        <v>15</v>
      </c>
      <c r="E3301" t="str">
        <f>"1-177-15"</f>
        <v>1-177-15</v>
      </c>
      <c r="F3301" t="s">
        <v>15</v>
      </c>
      <c r="G3301" t="s">
        <v>16</v>
      </c>
      <c r="H3301" t="s">
        <v>17</v>
      </c>
      <c r="I3301">
        <v>0</v>
      </c>
      <c r="J3301">
        <v>0</v>
      </c>
      <c r="K3301">
        <v>1</v>
      </c>
    </row>
    <row r="3302" spans="1:11" x14ac:dyDescent="0.25">
      <c r="A3302" t="str">
        <f>"4154"</f>
        <v>4154</v>
      </c>
      <c r="B3302" t="str">
        <f t="shared" si="212"/>
        <v>1</v>
      </c>
      <c r="C3302" t="str">
        <f t="shared" si="214"/>
        <v>177</v>
      </c>
      <c r="D3302" t="str">
        <f>"4"</f>
        <v>4</v>
      </c>
      <c r="E3302" t="str">
        <f>"1-177-4"</f>
        <v>1-177-4</v>
      </c>
      <c r="F3302" t="s">
        <v>15</v>
      </c>
      <c r="G3302" t="s">
        <v>16</v>
      </c>
      <c r="H3302" t="s">
        <v>17</v>
      </c>
      <c r="I3302">
        <v>0</v>
      </c>
      <c r="J3302">
        <v>1</v>
      </c>
      <c r="K3302">
        <v>0</v>
      </c>
    </row>
    <row r="3303" spans="1:11" x14ac:dyDescent="0.25">
      <c r="A3303" t="str">
        <f>"4155"</f>
        <v>4155</v>
      </c>
      <c r="B3303" t="str">
        <f t="shared" si="212"/>
        <v>1</v>
      </c>
      <c r="C3303" t="str">
        <f t="shared" si="214"/>
        <v>177</v>
      </c>
      <c r="D3303" t="str">
        <f>"16"</f>
        <v>16</v>
      </c>
      <c r="E3303" t="str">
        <f>"1-177-16"</f>
        <v>1-177-16</v>
      </c>
      <c r="F3303" t="s">
        <v>15</v>
      </c>
      <c r="G3303" t="s">
        <v>16</v>
      </c>
      <c r="H3303" t="s">
        <v>17</v>
      </c>
      <c r="I3303">
        <v>0</v>
      </c>
      <c r="J3303">
        <v>1</v>
      </c>
      <c r="K3303">
        <v>0</v>
      </c>
    </row>
    <row r="3304" spans="1:11" x14ac:dyDescent="0.25">
      <c r="A3304" t="str">
        <f>"4156"</f>
        <v>4156</v>
      </c>
      <c r="B3304" t="str">
        <f t="shared" si="212"/>
        <v>1</v>
      </c>
      <c r="C3304" t="str">
        <f t="shared" si="214"/>
        <v>177</v>
      </c>
      <c r="D3304" t="str">
        <f>"3"</f>
        <v>3</v>
      </c>
      <c r="E3304" t="str">
        <f>"1-177-3"</f>
        <v>1-177-3</v>
      </c>
      <c r="F3304" t="s">
        <v>15</v>
      </c>
      <c r="G3304" t="s">
        <v>18</v>
      </c>
      <c r="H3304" t="s">
        <v>19</v>
      </c>
      <c r="I3304">
        <v>0</v>
      </c>
      <c r="J3304">
        <v>0</v>
      </c>
      <c r="K3304">
        <v>1</v>
      </c>
    </row>
    <row r="3305" spans="1:11" x14ac:dyDescent="0.25">
      <c r="A3305" t="str">
        <f>"4157"</f>
        <v>4157</v>
      </c>
      <c r="B3305" t="str">
        <f t="shared" si="212"/>
        <v>1</v>
      </c>
      <c r="C3305" t="str">
        <f t="shared" si="214"/>
        <v>177</v>
      </c>
      <c r="D3305" t="str">
        <f>"10"</f>
        <v>10</v>
      </c>
      <c r="E3305" t="str">
        <f>"1-177-10"</f>
        <v>1-177-10</v>
      </c>
      <c r="F3305" t="s">
        <v>15</v>
      </c>
      <c r="G3305" t="s">
        <v>16</v>
      </c>
      <c r="H3305" t="s">
        <v>17</v>
      </c>
      <c r="I3305">
        <v>0</v>
      </c>
      <c r="J3305">
        <v>1</v>
      </c>
      <c r="K3305">
        <v>0</v>
      </c>
    </row>
    <row r="3306" spans="1:11" x14ac:dyDescent="0.25">
      <c r="A3306" t="str">
        <f>"4158"</f>
        <v>4158</v>
      </c>
      <c r="B3306" t="str">
        <f t="shared" si="212"/>
        <v>1</v>
      </c>
      <c r="C3306" t="str">
        <f t="shared" si="214"/>
        <v>177</v>
      </c>
      <c r="D3306" t="str">
        <f>"5"</f>
        <v>5</v>
      </c>
      <c r="E3306" t="str">
        <f>"1-177-5"</f>
        <v>1-177-5</v>
      </c>
      <c r="F3306" t="s">
        <v>15</v>
      </c>
      <c r="G3306" t="s">
        <v>16</v>
      </c>
      <c r="H3306" t="s">
        <v>17</v>
      </c>
      <c r="I3306">
        <v>0</v>
      </c>
      <c r="J3306">
        <v>1</v>
      </c>
      <c r="K3306">
        <v>0</v>
      </c>
    </row>
    <row r="3307" spans="1:11" x14ac:dyDescent="0.25">
      <c r="A3307" t="str">
        <f>"4159"</f>
        <v>4159</v>
      </c>
      <c r="B3307" t="str">
        <f t="shared" si="212"/>
        <v>1</v>
      </c>
      <c r="C3307" t="str">
        <f t="shared" si="214"/>
        <v>177</v>
      </c>
      <c r="D3307" t="str">
        <f>"13"</f>
        <v>13</v>
      </c>
      <c r="E3307" t="str">
        <f>"1-177-13"</f>
        <v>1-177-13</v>
      </c>
      <c r="F3307" t="s">
        <v>15</v>
      </c>
      <c r="G3307" t="s">
        <v>16</v>
      </c>
      <c r="H3307" t="s">
        <v>17</v>
      </c>
      <c r="I3307">
        <v>0</v>
      </c>
      <c r="J3307">
        <v>0</v>
      </c>
      <c r="K3307">
        <v>1</v>
      </c>
    </row>
    <row r="3308" spans="1:11" x14ac:dyDescent="0.25">
      <c r="A3308" t="str">
        <f>"4160"</f>
        <v>4160</v>
      </c>
      <c r="B3308" t="str">
        <f t="shared" si="212"/>
        <v>1</v>
      </c>
      <c r="C3308" t="str">
        <f t="shared" si="214"/>
        <v>177</v>
      </c>
      <c r="D3308" t="str">
        <f>"2"</f>
        <v>2</v>
      </c>
      <c r="E3308" t="str">
        <f>"1-177-2"</f>
        <v>1-177-2</v>
      </c>
      <c r="F3308" t="s">
        <v>15</v>
      </c>
      <c r="G3308" t="s">
        <v>16</v>
      </c>
      <c r="H3308" t="s">
        <v>17</v>
      </c>
      <c r="I3308">
        <v>1</v>
      </c>
      <c r="J3308">
        <v>0</v>
      </c>
      <c r="K3308">
        <v>0</v>
      </c>
    </row>
    <row r="3309" spans="1:11" x14ac:dyDescent="0.25">
      <c r="A3309" t="str">
        <f>"4161"</f>
        <v>4161</v>
      </c>
      <c r="B3309" t="str">
        <f t="shared" si="212"/>
        <v>1</v>
      </c>
      <c r="C3309" t="str">
        <f t="shared" si="214"/>
        <v>177</v>
      </c>
      <c r="D3309" t="str">
        <f>"1"</f>
        <v>1</v>
      </c>
      <c r="E3309" t="str">
        <f>"1-177-1"</f>
        <v>1-177-1</v>
      </c>
      <c r="F3309" t="s">
        <v>15</v>
      </c>
      <c r="G3309" t="s">
        <v>16</v>
      </c>
      <c r="H3309" t="s">
        <v>17</v>
      </c>
      <c r="I3309">
        <v>1</v>
      </c>
      <c r="J3309">
        <v>0</v>
      </c>
      <c r="K3309">
        <v>0</v>
      </c>
    </row>
    <row r="3310" spans="1:11" x14ac:dyDescent="0.25">
      <c r="A3310" t="str">
        <f>"4162"</f>
        <v>4162</v>
      </c>
      <c r="B3310" t="str">
        <f t="shared" si="212"/>
        <v>1</v>
      </c>
      <c r="C3310" t="str">
        <f t="shared" si="214"/>
        <v>177</v>
      </c>
      <c r="D3310" t="str">
        <f>"6"</f>
        <v>6</v>
      </c>
      <c r="E3310" t="str">
        <f>"1-177-6"</f>
        <v>1-177-6</v>
      </c>
      <c r="F3310" t="s">
        <v>15</v>
      </c>
      <c r="G3310" t="s">
        <v>16</v>
      </c>
      <c r="H3310" t="s">
        <v>17</v>
      </c>
      <c r="I3310">
        <v>0</v>
      </c>
      <c r="J3310">
        <v>0</v>
      </c>
      <c r="K3310">
        <v>1</v>
      </c>
    </row>
    <row r="3311" spans="1:11" x14ac:dyDescent="0.25">
      <c r="A3311" t="str">
        <f>"4163"</f>
        <v>4163</v>
      </c>
      <c r="B3311" t="str">
        <f t="shared" si="212"/>
        <v>1</v>
      </c>
      <c r="C3311" t="str">
        <f t="shared" si="214"/>
        <v>177</v>
      </c>
      <c r="D3311" t="str">
        <f>"14"</f>
        <v>14</v>
      </c>
      <c r="E3311" t="str">
        <f>"1-177-14"</f>
        <v>1-177-14</v>
      </c>
      <c r="F3311" t="s">
        <v>15</v>
      </c>
      <c r="G3311" t="s">
        <v>16</v>
      </c>
      <c r="H3311" t="s">
        <v>17</v>
      </c>
      <c r="I3311">
        <v>0</v>
      </c>
      <c r="J3311">
        <v>0</v>
      </c>
      <c r="K3311">
        <v>1</v>
      </c>
    </row>
    <row r="3312" spans="1:11" x14ac:dyDescent="0.25">
      <c r="A3312" t="str">
        <f>"4164"</f>
        <v>4164</v>
      </c>
      <c r="B3312" t="str">
        <f t="shared" si="212"/>
        <v>1</v>
      </c>
      <c r="C3312" t="str">
        <f t="shared" si="214"/>
        <v>177</v>
      </c>
      <c r="D3312" t="str">
        <f>"11"</f>
        <v>11</v>
      </c>
      <c r="E3312" t="str">
        <f>"1-177-11"</f>
        <v>1-177-11</v>
      </c>
      <c r="F3312" t="s">
        <v>15</v>
      </c>
      <c r="G3312" t="s">
        <v>16</v>
      </c>
      <c r="H3312" t="s">
        <v>17</v>
      </c>
      <c r="I3312">
        <v>0</v>
      </c>
      <c r="J3312">
        <v>1</v>
      </c>
      <c r="K3312">
        <v>0</v>
      </c>
    </row>
    <row r="3313" spans="1:11" x14ac:dyDescent="0.25">
      <c r="A3313" t="str">
        <f>"4165"</f>
        <v>4165</v>
      </c>
      <c r="B3313" t="str">
        <f t="shared" si="212"/>
        <v>1</v>
      </c>
      <c r="C3313" t="str">
        <f t="shared" si="214"/>
        <v>177</v>
      </c>
      <c r="D3313" t="str">
        <f>"12"</f>
        <v>12</v>
      </c>
      <c r="E3313" t="str">
        <f>"1-177-12"</f>
        <v>1-177-12</v>
      </c>
      <c r="F3313" t="s">
        <v>15</v>
      </c>
      <c r="G3313" t="s">
        <v>16</v>
      </c>
      <c r="H3313" t="s">
        <v>17</v>
      </c>
      <c r="I3313">
        <v>0</v>
      </c>
      <c r="J3313">
        <v>1</v>
      </c>
      <c r="K3313">
        <v>0</v>
      </c>
    </row>
    <row r="3314" spans="1:11" x14ac:dyDescent="0.25">
      <c r="A3314" t="str">
        <f>"4166"</f>
        <v>4166</v>
      </c>
      <c r="B3314" t="str">
        <f t="shared" si="212"/>
        <v>1</v>
      </c>
      <c r="C3314" t="str">
        <f t="shared" si="214"/>
        <v>177</v>
      </c>
      <c r="D3314" t="str">
        <f>"8"</f>
        <v>8</v>
      </c>
      <c r="E3314" t="str">
        <f>"1-177-8"</f>
        <v>1-177-8</v>
      </c>
      <c r="F3314" t="s">
        <v>15</v>
      </c>
      <c r="G3314" t="s">
        <v>16</v>
      </c>
      <c r="H3314" t="s">
        <v>17</v>
      </c>
      <c r="I3314">
        <v>0</v>
      </c>
      <c r="J3314">
        <v>0</v>
      </c>
      <c r="K3314">
        <v>1</v>
      </c>
    </row>
    <row r="3315" spans="1:11" x14ac:dyDescent="0.25">
      <c r="A3315" t="str">
        <f>"4167"</f>
        <v>4167</v>
      </c>
      <c r="B3315" t="str">
        <f t="shared" si="212"/>
        <v>1</v>
      </c>
      <c r="C3315" t="str">
        <f t="shared" si="214"/>
        <v>177</v>
      </c>
      <c r="D3315" t="str">
        <f>"7"</f>
        <v>7</v>
      </c>
      <c r="E3315" t="str">
        <f>"1-177-7"</f>
        <v>1-177-7</v>
      </c>
      <c r="F3315" t="s">
        <v>15</v>
      </c>
      <c r="G3315" t="s">
        <v>16</v>
      </c>
      <c r="H3315" t="s">
        <v>17</v>
      </c>
      <c r="I3315">
        <v>0</v>
      </c>
      <c r="J3315">
        <v>1</v>
      </c>
      <c r="K3315">
        <v>0</v>
      </c>
    </row>
    <row r="3316" spans="1:11" x14ac:dyDescent="0.25">
      <c r="A3316" t="str">
        <f>"4168"</f>
        <v>4168</v>
      </c>
      <c r="B3316" t="str">
        <f t="shared" si="212"/>
        <v>1</v>
      </c>
      <c r="C3316" t="str">
        <f t="shared" si="214"/>
        <v>177</v>
      </c>
      <c r="D3316" t="str">
        <f>"9"</f>
        <v>9</v>
      </c>
      <c r="E3316" t="str">
        <f>"1-177-9"</f>
        <v>1-177-9</v>
      </c>
      <c r="F3316" t="s">
        <v>15</v>
      </c>
      <c r="G3316" t="s">
        <v>16</v>
      </c>
      <c r="H3316" t="s">
        <v>17</v>
      </c>
      <c r="I3316">
        <v>0</v>
      </c>
      <c r="J3316">
        <v>0</v>
      </c>
      <c r="K3316">
        <v>1</v>
      </c>
    </row>
    <row r="3317" spans="1:11" x14ac:dyDescent="0.25">
      <c r="A3317" t="str">
        <f>"4169"</f>
        <v>4169</v>
      </c>
      <c r="B3317" t="str">
        <f t="shared" si="212"/>
        <v>1</v>
      </c>
      <c r="C3317" t="str">
        <f>"178"</f>
        <v>178</v>
      </c>
      <c r="D3317" t="str">
        <f>"1"</f>
        <v>1</v>
      </c>
      <c r="E3317" t="str">
        <f>"1-178-1"</f>
        <v>1-178-1</v>
      </c>
      <c r="F3317" t="s">
        <v>15</v>
      </c>
      <c r="G3317" t="s">
        <v>16</v>
      </c>
      <c r="H3317" t="s">
        <v>17</v>
      </c>
      <c r="I3317">
        <v>1</v>
      </c>
      <c r="J3317">
        <v>0</v>
      </c>
      <c r="K3317">
        <v>0</v>
      </c>
    </row>
    <row r="3318" spans="1:11" x14ac:dyDescent="0.25">
      <c r="A3318" t="str">
        <f>"4178"</f>
        <v>4178</v>
      </c>
      <c r="B3318" t="str">
        <f t="shared" si="212"/>
        <v>1</v>
      </c>
      <c r="C3318" t="str">
        <f t="shared" ref="C3318:C3342" si="215">"180"</f>
        <v>180</v>
      </c>
      <c r="D3318" t="str">
        <f>"21"</f>
        <v>21</v>
      </c>
      <c r="E3318" t="str">
        <f>"1-180-21"</f>
        <v>1-180-21</v>
      </c>
      <c r="F3318" t="s">
        <v>15</v>
      </c>
      <c r="G3318" t="s">
        <v>20</v>
      </c>
      <c r="H3318" t="s">
        <v>21</v>
      </c>
      <c r="I3318">
        <v>0</v>
      </c>
      <c r="J3318">
        <v>0</v>
      </c>
      <c r="K3318">
        <v>1</v>
      </c>
    </row>
    <row r="3319" spans="1:11" x14ac:dyDescent="0.25">
      <c r="A3319" t="str">
        <f>"4179"</f>
        <v>4179</v>
      </c>
      <c r="B3319" t="str">
        <f t="shared" si="212"/>
        <v>1</v>
      </c>
      <c r="C3319" t="str">
        <f t="shared" si="215"/>
        <v>180</v>
      </c>
      <c r="D3319" t="str">
        <f>"15"</f>
        <v>15</v>
      </c>
      <c r="E3319" t="str">
        <f>"1-180-15"</f>
        <v>1-180-15</v>
      </c>
      <c r="F3319" t="s">
        <v>15</v>
      </c>
      <c r="G3319" t="s">
        <v>20</v>
      </c>
      <c r="H3319" t="s">
        <v>21</v>
      </c>
      <c r="I3319">
        <v>1</v>
      </c>
      <c r="J3319">
        <v>0</v>
      </c>
      <c r="K3319">
        <v>0</v>
      </c>
    </row>
    <row r="3320" spans="1:11" x14ac:dyDescent="0.25">
      <c r="A3320" t="str">
        <f>"4180"</f>
        <v>4180</v>
      </c>
      <c r="B3320" t="str">
        <f t="shared" si="212"/>
        <v>1</v>
      </c>
      <c r="C3320" t="str">
        <f t="shared" si="215"/>
        <v>180</v>
      </c>
      <c r="D3320" t="str">
        <f>"7"</f>
        <v>7</v>
      </c>
      <c r="E3320" t="str">
        <f>"1-180-7"</f>
        <v>1-180-7</v>
      </c>
      <c r="F3320" t="s">
        <v>15</v>
      </c>
      <c r="G3320" t="s">
        <v>20</v>
      </c>
      <c r="H3320" t="s">
        <v>21</v>
      </c>
      <c r="I3320">
        <v>0</v>
      </c>
      <c r="J3320">
        <v>0</v>
      </c>
      <c r="K3320">
        <v>1</v>
      </c>
    </row>
    <row r="3321" spans="1:11" x14ac:dyDescent="0.25">
      <c r="A3321" t="str">
        <f>"4181"</f>
        <v>4181</v>
      </c>
      <c r="B3321" t="str">
        <f t="shared" si="212"/>
        <v>1</v>
      </c>
      <c r="C3321" t="str">
        <f t="shared" si="215"/>
        <v>180</v>
      </c>
      <c r="D3321" t="str">
        <f>"24"</f>
        <v>24</v>
      </c>
      <c r="E3321" t="str">
        <f>"1-180-24"</f>
        <v>1-180-24</v>
      </c>
      <c r="F3321" t="s">
        <v>15</v>
      </c>
      <c r="G3321" t="s">
        <v>20</v>
      </c>
      <c r="H3321" t="s">
        <v>21</v>
      </c>
      <c r="I3321">
        <v>0</v>
      </c>
      <c r="J3321">
        <v>0</v>
      </c>
      <c r="K3321">
        <v>1</v>
      </c>
    </row>
    <row r="3322" spans="1:11" x14ac:dyDescent="0.25">
      <c r="A3322" t="str">
        <f>"4182"</f>
        <v>4182</v>
      </c>
      <c r="B3322" t="str">
        <f t="shared" si="212"/>
        <v>1</v>
      </c>
      <c r="C3322" t="str">
        <f t="shared" si="215"/>
        <v>180</v>
      </c>
      <c r="D3322" t="str">
        <f>"16"</f>
        <v>16</v>
      </c>
      <c r="E3322" t="str">
        <f>"1-180-16"</f>
        <v>1-180-16</v>
      </c>
      <c r="F3322" t="s">
        <v>15</v>
      </c>
      <c r="G3322" t="s">
        <v>20</v>
      </c>
      <c r="H3322" t="s">
        <v>21</v>
      </c>
      <c r="I3322">
        <v>0</v>
      </c>
      <c r="J3322">
        <v>1</v>
      </c>
      <c r="K3322">
        <v>0</v>
      </c>
    </row>
    <row r="3323" spans="1:11" x14ac:dyDescent="0.25">
      <c r="A3323" t="str">
        <f>"4183"</f>
        <v>4183</v>
      </c>
      <c r="B3323" t="str">
        <f t="shared" si="212"/>
        <v>1</v>
      </c>
      <c r="C3323" t="str">
        <f t="shared" si="215"/>
        <v>180</v>
      </c>
      <c r="D3323" t="str">
        <f>"1"</f>
        <v>1</v>
      </c>
      <c r="E3323" t="str">
        <f>"1-180-1"</f>
        <v>1-180-1</v>
      </c>
      <c r="F3323" t="s">
        <v>15</v>
      </c>
      <c r="G3323" t="s">
        <v>20</v>
      </c>
      <c r="H3323" t="s">
        <v>21</v>
      </c>
      <c r="I3323">
        <v>1</v>
      </c>
      <c r="J3323">
        <v>0</v>
      </c>
      <c r="K3323">
        <v>0</v>
      </c>
    </row>
    <row r="3324" spans="1:11" x14ac:dyDescent="0.25">
      <c r="A3324" t="str">
        <f>"4184"</f>
        <v>4184</v>
      </c>
      <c r="B3324" t="str">
        <f t="shared" si="212"/>
        <v>1</v>
      </c>
      <c r="C3324" t="str">
        <f t="shared" si="215"/>
        <v>180</v>
      </c>
      <c r="D3324" t="str">
        <f>"17"</f>
        <v>17</v>
      </c>
      <c r="E3324" t="str">
        <f>"1-180-17"</f>
        <v>1-180-17</v>
      </c>
      <c r="F3324" t="s">
        <v>15</v>
      </c>
      <c r="G3324" t="s">
        <v>20</v>
      </c>
      <c r="H3324" t="s">
        <v>21</v>
      </c>
      <c r="I3324">
        <v>0</v>
      </c>
      <c r="J3324">
        <v>1</v>
      </c>
      <c r="K3324">
        <v>0</v>
      </c>
    </row>
    <row r="3325" spans="1:11" x14ac:dyDescent="0.25">
      <c r="A3325" t="str">
        <f>"4185"</f>
        <v>4185</v>
      </c>
      <c r="B3325" t="str">
        <f t="shared" si="212"/>
        <v>1</v>
      </c>
      <c r="C3325" t="str">
        <f t="shared" si="215"/>
        <v>180</v>
      </c>
      <c r="D3325" t="str">
        <f>"4"</f>
        <v>4</v>
      </c>
      <c r="E3325" t="str">
        <f>"1-180-4"</f>
        <v>1-180-4</v>
      </c>
      <c r="F3325" t="s">
        <v>15</v>
      </c>
      <c r="G3325" t="s">
        <v>20</v>
      </c>
      <c r="H3325" t="s">
        <v>21</v>
      </c>
      <c r="I3325">
        <v>1</v>
      </c>
      <c r="J3325">
        <v>0</v>
      </c>
      <c r="K3325">
        <v>0</v>
      </c>
    </row>
    <row r="3326" spans="1:11" x14ac:dyDescent="0.25">
      <c r="A3326" t="str">
        <f>"4186"</f>
        <v>4186</v>
      </c>
      <c r="B3326" t="str">
        <f t="shared" ref="B3326:B3389" si="216">"1"</f>
        <v>1</v>
      </c>
      <c r="C3326" t="str">
        <f t="shared" si="215"/>
        <v>180</v>
      </c>
      <c r="D3326" t="str">
        <f>"18"</f>
        <v>18</v>
      </c>
      <c r="E3326" t="str">
        <f>"1-180-18"</f>
        <v>1-180-18</v>
      </c>
      <c r="F3326" t="s">
        <v>15</v>
      </c>
      <c r="G3326" t="s">
        <v>20</v>
      </c>
      <c r="H3326" t="s">
        <v>21</v>
      </c>
      <c r="I3326">
        <v>1</v>
      </c>
      <c r="J3326">
        <v>0</v>
      </c>
      <c r="K3326">
        <v>0</v>
      </c>
    </row>
    <row r="3327" spans="1:11" x14ac:dyDescent="0.25">
      <c r="A3327" t="str">
        <f>"4187"</f>
        <v>4187</v>
      </c>
      <c r="B3327" t="str">
        <f t="shared" si="216"/>
        <v>1</v>
      </c>
      <c r="C3327" t="str">
        <f t="shared" si="215"/>
        <v>180</v>
      </c>
      <c r="D3327" t="str">
        <f>"6"</f>
        <v>6</v>
      </c>
      <c r="E3327" t="str">
        <f>"1-180-6"</f>
        <v>1-180-6</v>
      </c>
      <c r="F3327" t="s">
        <v>15</v>
      </c>
      <c r="G3327" t="s">
        <v>20</v>
      </c>
      <c r="H3327" t="s">
        <v>21</v>
      </c>
      <c r="I3327">
        <v>1</v>
      </c>
      <c r="J3327">
        <v>0</v>
      </c>
      <c r="K3327">
        <v>0</v>
      </c>
    </row>
    <row r="3328" spans="1:11" x14ac:dyDescent="0.25">
      <c r="A3328" t="str">
        <f>"4188"</f>
        <v>4188</v>
      </c>
      <c r="B3328" t="str">
        <f t="shared" si="216"/>
        <v>1</v>
      </c>
      <c r="C3328" t="str">
        <f t="shared" si="215"/>
        <v>180</v>
      </c>
      <c r="D3328" t="str">
        <f>"19"</f>
        <v>19</v>
      </c>
      <c r="E3328" t="str">
        <f>"1-180-19"</f>
        <v>1-180-19</v>
      </c>
      <c r="F3328" t="s">
        <v>15</v>
      </c>
      <c r="G3328" t="s">
        <v>20</v>
      </c>
      <c r="H3328" t="s">
        <v>21</v>
      </c>
      <c r="I3328">
        <v>1</v>
      </c>
      <c r="J3328">
        <v>0</v>
      </c>
      <c r="K3328">
        <v>0</v>
      </c>
    </row>
    <row r="3329" spans="1:11" x14ac:dyDescent="0.25">
      <c r="A3329" t="str">
        <f>"4189"</f>
        <v>4189</v>
      </c>
      <c r="B3329" t="str">
        <f t="shared" si="216"/>
        <v>1</v>
      </c>
      <c r="C3329" t="str">
        <f t="shared" si="215"/>
        <v>180</v>
      </c>
      <c r="D3329" t="str">
        <f>"14"</f>
        <v>14</v>
      </c>
      <c r="E3329" t="str">
        <f>"1-180-14"</f>
        <v>1-180-14</v>
      </c>
      <c r="F3329" t="s">
        <v>15</v>
      </c>
      <c r="G3329" t="s">
        <v>20</v>
      </c>
      <c r="H3329" t="s">
        <v>21</v>
      </c>
      <c r="I3329">
        <v>1</v>
      </c>
      <c r="J3329">
        <v>0</v>
      </c>
      <c r="K3329">
        <v>0</v>
      </c>
    </row>
    <row r="3330" spans="1:11" x14ac:dyDescent="0.25">
      <c r="A3330" t="str">
        <f>"4190"</f>
        <v>4190</v>
      </c>
      <c r="B3330" t="str">
        <f t="shared" si="216"/>
        <v>1</v>
      </c>
      <c r="C3330" t="str">
        <f t="shared" si="215"/>
        <v>180</v>
      </c>
      <c r="D3330" t="str">
        <f>"20"</f>
        <v>20</v>
      </c>
      <c r="E3330" t="str">
        <f>"1-180-20"</f>
        <v>1-180-20</v>
      </c>
      <c r="F3330" t="s">
        <v>15</v>
      </c>
      <c r="G3330" t="s">
        <v>20</v>
      </c>
      <c r="H3330" t="s">
        <v>21</v>
      </c>
      <c r="I3330">
        <v>0</v>
      </c>
      <c r="J3330">
        <v>0</v>
      </c>
      <c r="K3330">
        <v>1</v>
      </c>
    </row>
    <row r="3331" spans="1:11" x14ac:dyDescent="0.25">
      <c r="A3331" t="str">
        <f>"4191"</f>
        <v>4191</v>
      </c>
      <c r="B3331" t="str">
        <f t="shared" si="216"/>
        <v>1</v>
      </c>
      <c r="C3331" t="str">
        <f t="shared" si="215"/>
        <v>180</v>
      </c>
      <c r="D3331" t="str">
        <f>"13"</f>
        <v>13</v>
      </c>
      <c r="E3331" t="str">
        <f>"1-180-13"</f>
        <v>1-180-13</v>
      </c>
      <c r="F3331" t="s">
        <v>15</v>
      </c>
      <c r="G3331" t="s">
        <v>20</v>
      </c>
      <c r="H3331" t="s">
        <v>21</v>
      </c>
      <c r="I3331">
        <v>1</v>
      </c>
      <c r="J3331">
        <v>0</v>
      </c>
      <c r="K3331">
        <v>0</v>
      </c>
    </row>
    <row r="3332" spans="1:11" x14ac:dyDescent="0.25">
      <c r="A3332" t="str">
        <f>"4192"</f>
        <v>4192</v>
      </c>
      <c r="B3332" t="str">
        <f t="shared" si="216"/>
        <v>1</v>
      </c>
      <c r="C3332" t="str">
        <f t="shared" si="215"/>
        <v>180</v>
      </c>
      <c r="D3332" t="str">
        <f>"22"</f>
        <v>22</v>
      </c>
      <c r="E3332" t="str">
        <f>"1-180-22"</f>
        <v>1-180-22</v>
      </c>
      <c r="F3332" t="s">
        <v>15</v>
      </c>
      <c r="G3332" t="s">
        <v>20</v>
      </c>
      <c r="H3332" t="s">
        <v>21</v>
      </c>
      <c r="I3332">
        <v>0</v>
      </c>
      <c r="J3332">
        <v>1</v>
      </c>
      <c r="K3332">
        <v>0</v>
      </c>
    </row>
    <row r="3333" spans="1:11" x14ac:dyDescent="0.25">
      <c r="A3333" t="str">
        <f>"4193"</f>
        <v>4193</v>
      </c>
      <c r="B3333" t="str">
        <f t="shared" si="216"/>
        <v>1</v>
      </c>
      <c r="C3333" t="str">
        <f t="shared" si="215"/>
        <v>180</v>
      </c>
      <c r="D3333" t="str">
        <f>"5"</f>
        <v>5</v>
      </c>
      <c r="E3333" t="str">
        <f>"1-180-5"</f>
        <v>1-180-5</v>
      </c>
      <c r="F3333" t="s">
        <v>15</v>
      </c>
      <c r="G3333" t="s">
        <v>20</v>
      </c>
      <c r="H3333" t="s">
        <v>21</v>
      </c>
      <c r="I3333">
        <v>1</v>
      </c>
      <c r="J3333">
        <v>0</v>
      </c>
      <c r="K3333">
        <v>0</v>
      </c>
    </row>
    <row r="3334" spans="1:11" x14ac:dyDescent="0.25">
      <c r="A3334" t="str">
        <f>"4194"</f>
        <v>4194</v>
      </c>
      <c r="B3334" t="str">
        <f t="shared" si="216"/>
        <v>1</v>
      </c>
      <c r="C3334" t="str">
        <f t="shared" si="215"/>
        <v>180</v>
      </c>
      <c r="D3334" t="str">
        <f>"23"</f>
        <v>23</v>
      </c>
      <c r="E3334" t="str">
        <f>"1-180-23"</f>
        <v>1-180-23</v>
      </c>
      <c r="F3334" t="s">
        <v>15</v>
      </c>
      <c r="G3334" t="s">
        <v>20</v>
      </c>
      <c r="H3334" t="s">
        <v>21</v>
      </c>
      <c r="I3334">
        <v>0</v>
      </c>
      <c r="J3334">
        <v>1</v>
      </c>
      <c r="K3334">
        <v>0</v>
      </c>
    </row>
    <row r="3335" spans="1:11" x14ac:dyDescent="0.25">
      <c r="A3335" t="str">
        <f>"4195"</f>
        <v>4195</v>
      </c>
      <c r="B3335" t="str">
        <f t="shared" si="216"/>
        <v>1</v>
      </c>
      <c r="C3335" t="str">
        <f t="shared" si="215"/>
        <v>180</v>
      </c>
      <c r="D3335" t="str">
        <f>"3"</f>
        <v>3</v>
      </c>
      <c r="E3335" t="str">
        <f>"1-180-3"</f>
        <v>1-180-3</v>
      </c>
      <c r="F3335" t="s">
        <v>15</v>
      </c>
      <c r="G3335" t="s">
        <v>20</v>
      </c>
      <c r="H3335" t="s">
        <v>21</v>
      </c>
      <c r="I3335">
        <v>1</v>
      </c>
      <c r="J3335">
        <v>0</v>
      </c>
      <c r="K3335">
        <v>0</v>
      </c>
    </row>
    <row r="3336" spans="1:11" x14ac:dyDescent="0.25">
      <c r="A3336" t="str">
        <f>"4196"</f>
        <v>4196</v>
      </c>
      <c r="B3336" t="str">
        <f t="shared" si="216"/>
        <v>1</v>
      </c>
      <c r="C3336" t="str">
        <f t="shared" si="215"/>
        <v>180</v>
      </c>
      <c r="D3336" t="str">
        <f>"25"</f>
        <v>25</v>
      </c>
      <c r="E3336" t="str">
        <f>"1-180-25"</f>
        <v>1-180-25</v>
      </c>
      <c r="F3336" t="s">
        <v>15</v>
      </c>
      <c r="G3336" t="s">
        <v>20</v>
      </c>
      <c r="H3336" t="s">
        <v>21</v>
      </c>
      <c r="I3336">
        <v>0</v>
      </c>
      <c r="J3336">
        <v>0</v>
      </c>
      <c r="K3336">
        <v>1</v>
      </c>
    </row>
    <row r="3337" spans="1:11" x14ac:dyDescent="0.25">
      <c r="A3337" t="str">
        <f>"4197"</f>
        <v>4197</v>
      </c>
      <c r="B3337" t="str">
        <f t="shared" si="216"/>
        <v>1</v>
      </c>
      <c r="C3337" t="str">
        <f t="shared" si="215"/>
        <v>180</v>
      </c>
      <c r="D3337" t="str">
        <f>"11"</f>
        <v>11</v>
      </c>
      <c r="E3337" t="str">
        <f>"1-180-11"</f>
        <v>1-180-11</v>
      </c>
      <c r="F3337" t="s">
        <v>15</v>
      </c>
      <c r="G3337" t="s">
        <v>20</v>
      </c>
      <c r="H3337" t="s">
        <v>21</v>
      </c>
      <c r="I3337">
        <v>1</v>
      </c>
      <c r="J3337">
        <v>0</v>
      </c>
      <c r="K3337">
        <v>0</v>
      </c>
    </row>
    <row r="3338" spans="1:11" x14ac:dyDescent="0.25">
      <c r="A3338" t="str">
        <f>"4198"</f>
        <v>4198</v>
      </c>
      <c r="B3338" t="str">
        <f t="shared" si="216"/>
        <v>1</v>
      </c>
      <c r="C3338" t="str">
        <f t="shared" si="215"/>
        <v>180</v>
      </c>
      <c r="D3338" t="str">
        <f>"10"</f>
        <v>10</v>
      </c>
      <c r="E3338" t="str">
        <f>"1-180-10"</f>
        <v>1-180-10</v>
      </c>
      <c r="F3338" t="s">
        <v>15</v>
      </c>
      <c r="G3338" t="s">
        <v>20</v>
      </c>
      <c r="H3338" t="s">
        <v>21</v>
      </c>
      <c r="I3338">
        <v>1</v>
      </c>
      <c r="J3338">
        <v>0</v>
      </c>
      <c r="K3338">
        <v>0</v>
      </c>
    </row>
    <row r="3339" spans="1:11" x14ac:dyDescent="0.25">
      <c r="A3339" t="str">
        <f>"4199"</f>
        <v>4199</v>
      </c>
      <c r="B3339" t="str">
        <f t="shared" si="216"/>
        <v>1</v>
      </c>
      <c r="C3339" t="str">
        <f t="shared" si="215"/>
        <v>180</v>
      </c>
      <c r="D3339" t="str">
        <f>"9"</f>
        <v>9</v>
      </c>
      <c r="E3339" t="str">
        <f>"1-180-9"</f>
        <v>1-180-9</v>
      </c>
      <c r="F3339" t="s">
        <v>15</v>
      </c>
      <c r="G3339" t="s">
        <v>20</v>
      </c>
      <c r="H3339" t="s">
        <v>21</v>
      </c>
      <c r="I3339">
        <v>0</v>
      </c>
      <c r="J3339">
        <v>0</v>
      </c>
      <c r="K3339">
        <v>1</v>
      </c>
    </row>
    <row r="3340" spans="1:11" x14ac:dyDescent="0.25">
      <c r="A3340" t="str">
        <f>"4200"</f>
        <v>4200</v>
      </c>
      <c r="B3340" t="str">
        <f t="shared" si="216"/>
        <v>1</v>
      </c>
      <c r="C3340" t="str">
        <f t="shared" si="215"/>
        <v>180</v>
      </c>
      <c r="D3340" t="str">
        <f>"2"</f>
        <v>2</v>
      </c>
      <c r="E3340" t="str">
        <f>"1-180-2"</f>
        <v>1-180-2</v>
      </c>
      <c r="F3340" t="s">
        <v>15</v>
      </c>
      <c r="G3340" t="s">
        <v>20</v>
      </c>
      <c r="H3340" t="s">
        <v>21</v>
      </c>
      <c r="I3340">
        <v>0</v>
      </c>
      <c r="J3340">
        <v>0</v>
      </c>
      <c r="K3340">
        <v>1</v>
      </c>
    </row>
    <row r="3341" spans="1:11" x14ac:dyDescent="0.25">
      <c r="A3341" t="str">
        <f>"4201"</f>
        <v>4201</v>
      </c>
      <c r="B3341" t="str">
        <f t="shared" si="216"/>
        <v>1</v>
      </c>
      <c r="C3341" t="str">
        <f t="shared" si="215"/>
        <v>180</v>
      </c>
      <c r="D3341" t="str">
        <f>"8"</f>
        <v>8</v>
      </c>
      <c r="E3341" t="str">
        <f>"1-180-8"</f>
        <v>1-180-8</v>
      </c>
      <c r="F3341" t="s">
        <v>15</v>
      </c>
      <c r="G3341" t="s">
        <v>20</v>
      </c>
      <c r="H3341" t="s">
        <v>21</v>
      </c>
      <c r="I3341">
        <v>1</v>
      </c>
      <c r="J3341">
        <v>0</v>
      </c>
      <c r="K3341">
        <v>0</v>
      </c>
    </row>
    <row r="3342" spans="1:11" x14ac:dyDescent="0.25">
      <c r="A3342" t="str">
        <f>"4202"</f>
        <v>4202</v>
      </c>
      <c r="B3342" t="str">
        <f t="shared" si="216"/>
        <v>1</v>
      </c>
      <c r="C3342" t="str">
        <f t="shared" si="215"/>
        <v>180</v>
      </c>
      <c r="D3342" t="str">
        <f>"12"</f>
        <v>12</v>
      </c>
      <c r="E3342" t="str">
        <f>"1-180-12"</f>
        <v>1-180-12</v>
      </c>
      <c r="F3342" t="s">
        <v>15</v>
      </c>
      <c r="G3342" t="s">
        <v>20</v>
      </c>
      <c r="H3342" t="s">
        <v>21</v>
      </c>
      <c r="I3342">
        <v>0</v>
      </c>
      <c r="J3342">
        <v>0</v>
      </c>
      <c r="K3342">
        <v>1</v>
      </c>
    </row>
    <row r="3343" spans="1:11" x14ac:dyDescent="0.25">
      <c r="A3343" t="str">
        <f>"4203"</f>
        <v>4203</v>
      </c>
      <c r="B3343" t="str">
        <f t="shared" si="216"/>
        <v>1</v>
      </c>
      <c r="C3343" t="str">
        <f t="shared" ref="C3343:C3361" si="217">"181"</f>
        <v>181</v>
      </c>
      <c r="D3343" t="str">
        <f>"15"</f>
        <v>15</v>
      </c>
      <c r="E3343" t="str">
        <f>"1-181-15"</f>
        <v>1-181-15</v>
      </c>
      <c r="F3343" t="s">
        <v>15</v>
      </c>
      <c r="G3343" t="s">
        <v>16</v>
      </c>
      <c r="H3343" t="s">
        <v>17</v>
      </c>
      <c r="I3343">
        <v>0</v>
      </c>
      <c r="J3343">
        <v>1</v>
      </c>
      <c r="K3343">
        <v>0</v>
      </c>
    </row>
    <row r="3344" spans="1:11" x14ac:dyDescent="0.25">
      <c r="A3344" t="str">
        <f>"4204"</f>
        <v>4204</v>
      </c>
      <c r="B3344" t="str">
        <f t="shared" si="216"/>
        <v>1</v>
      </c>
      <c r="C3344" t="str">
        <f t="shared" si="217"/>
        <v>181</v>
      </c>
      <c r="D3344" t="str">
        <f>"1"</f>
        <v>1</v>
      </c>
      <c r="E3344" t="str">
        <f>"1-181-1"</f>
        <v>1-181-1</v>
      </c>
      <c r="F3344" t="s">
        <v>15</v>
      </c>
      <c r="G3344" t="s">
        <v>16</v>
      </c>
      <c r="H3344" t="s">
        <v>17</v>
      </c>
      <c r="I3344">
        <v>0</v>
      </c>
      <c r="J3344">
        <v>1</v>
      </c>
      <c r="K3344">
        <v>0</v>
      </c>
    </row>
    <row r="3345" spans="1:11" x14ac:dyDescent="0.25">
      <c r="A3345" t="str">
        <f>"4205"</f>
        <v>4205</v>
      </c>
      <c r="B3345" t="str">
        <f t="shared" si="216"/>
        <v>1</v>
      </c>
      <c r="C3345" t="str">
        <f t="shared" si="217"/>
        <v>181</v>
      </c>
      <c r="D3345" t="str">
        <f>"16"</f>
        <v>16</v>
      </c>
      <c r="E3345" t="str">
        <f>"1-181-16"</f>
        <v>1-181-16</v>
      </c>
      <c r="F3345" t="s">
        <v>15</v>
      </c>
      <c r="G3345" t="s">
        <v>16</v>
      </c>
      <c r="H3345" t="s">
        <v>17</v>
      </c>
      <c r="I3345">
        <v>1</v>
      </c>
      <c r="J3345">
        <v>0</v>
      </c>
      <c r="K3345">
        <v>0</v>
      </c>
    </row>
    <row r="3346" spans="1:11" x14ac:dyDescent="0.25">
      <c r="A3346" t="str">
        <f>"4206"</f>
        <v>4206</v>
      </c>
      <c r="B3346" t="str">
        <f t="shared" si="216"/>
        <v>1</v>
      </c>
      <c r="C3346" t="str">
        <f t="shared" si="217"/>
        <v>181</v>
      </c>
      <c r="D3346" t="str">
        <f>"4"</f>
        <v>4</v>
      </c>
      <c r="E3346" t="str">
        <f>"1-181-4"</f>
        <v>1-181-4</v>
      </c>
      <c r="F3346" t="s">
        <v>15</v>
      </c>
      <c r="G3346" t="s">
        <v>16</v>
      </c>
      <c r="H3346" t="s">
        <v>17</v>
      </c>
      <c r="I3346">
        <v>1</v>
      </c>
      <c r="J3346">
        <v>0</v>
      </c>
      <c r="K3346">
        <v>0</v>
      </c>
    </row>
    <row r="3347" spans="1:11" x14ac:dyDescent="0.25">
      <c r="A3347" t="str">
        <f>"4207"</f>
        <v>4207</v>
      </c>
      <c r="B3347" t="str">
        <f t="shared" si="216"/>
        <v>1</v>
      </c>
      <c r="C3347" t="str">
        <f t="shared" si="217"/>
        <v>181</v>
      </c>
      <c r="D3347" t="str">
        <f>"17"</f>
        <v>17</v>
      </c>
      <c r="E3347" t="str">
        <f>"1-181-17"</f>
        <v>1-181-17</v>
      </c>
      <c r="F3347" t="s">
        <v>15</v>
      </c>
      <c r="G3347" t="s">
        <v>16</v>
      </c>
      <c r="H3347" t="s">
        <v>17</v>
      </c>
      <c r="I3347">
        <v>0</v>
      </c>
      <c r="J3347">
        <v>1</v>
      </c>
      <c r="K3347">
        <v>0</v>
      </c>
    </row>
    <row r="3348" spans="1:11" x14ac:dyDescent="0.25">
      <c r="A3348" t="str">
        <f>"4208"</f>
        <v>4208</v>
      </c>
      <c r="B3348" t="str">
        <f t="shared" si="216"/>
        <v>1</v>
      </c>
      <c r="C3348" t="str">
        <f t="shared" si="217"/>
        <v>181</v>
      </c>
      <c r="D3348" t="str">
        <f>"14"</f>
        <v>14</v>
      </c>
      <c r="E3348" t="str">
        <f>"1-181-14"</f>
        <v>1-181-14</v>
      </c>
      <c r="F3348" t="s">
        <v>15</v>
      </c>
      <c r="G3348" t="s">
        <v>16</v>
      </c>
      <c r="H3348" t="s">
        <v>17</v>
      </c>
      <c r="I3348">
        <v>0</v>
      </c>
      <c r="J3348">
        <v>1</v>
      </c>
      <c r="K3348">
        <v>0</v>
      </c>
    </row>
    <row r="3349" spans="1:11" x14ac:dyDescent="0.25">
      <c r="A3349" t="str">
        <f>"4209"</f>
        <v>4209</v>
      </c>
      <c r="B3349" t="str">
        <f t="shared" si="216"/>
        <v>1</v>
      </c>
      <c r="C3349" t="str">
        <f t="shared" si="217"/>
        <v>181</v>
      </c>
      <c r="D3349" t="str">
        <f>"18"</f>
        <v>18</v>
      </c>
      <c r="E3349" t="str">
        <f>"1-181-18"</f>
        <v>1-181-18</v>
      </c>
      <c r="F3349" t="s">
        <v>15</v>
      </c>
      <c r="G3349" t="s">
        <v>16</v>
      </c>
      <c r="H3349" t="s">
        <v>17</v>
      </c>
      <c r="I3349">
        <v>0</v>
      </c>
      <c r="J3349">
        <v>1</v>
      </c>
      <c r="K3349">
        <v>0</v>
      </c>
    </row>
    <row r="3350" spans="1:11" x14ac:dyDescent="0.25">
      <c r="A3350" t="str">
        <f>"4210"</f>
        <v>4210</v>
      </c>
      <c r="B3350" t="str">
        <f t="shared" si="216"/>
        <v>1</v>
      </c>
      <c r="C3350" t="str">
        <f t="shared" si="217"/>
        <v>181</v>
      </c>
      <c r="D3350" t="str">
        <f>"3"</f>
        <v>3</v>
      </c>
      <c r="E3350" t="str">
        <f>"1-181-3"</f>
        <v>1-181-3</v>
      </c>
      <c r="F3350" t="s">
        <v>15</v>
      </c>
      <c r="G3350" t="s">
        <v>16</v>
      </c>
      <c r="H3350" t="s">
        <v>17</v>
      </c>
      <c r="I3350">
        <v>1</v>
      </c>
      <c r="J3350">
        <v>0</v>
      </c>
      <c r="K3350">
        <v>0</v>
      </c>
    </row>
    <row r="3351" spans="1:11" x14ac:dyDescent="0.25">
      <c r="A3351" t="str">
        <f>"4211"</f>
        <v>4211</v>
      </c>
      <c r="B3351" t="str">
        <f t="shared" si="216"/>
        <v>1</v>
      </c>
      <c r="C3351" t="str">
        <f t="shared" si="217"/>
        <v>181</v>
      </c>
      <c r="D3351" t="str">
        <f>"19"</f>
        <v>19</v>
      </c>
      <c r="E3351" t="str">
        <f>"1-181-19"</f>
        <v>1-181-19</v>
      </c>
      <c r="F3351" t="s">
        <v>15</v>
      </c>
      <c r="G3351" t="s">
        <v>16</v>
      </c>
      <c r="H3351" t="s">
        <v>17</v>
      </c>
      <c r="I3351">
        <v>0</v>
      </c>
      <c r="J3351">
        <v>1</v>
      </c>
      <c r="K3351">
        <v>0</v>
      </c>
    </row>
    <row r="3352" spans="1:11" x14ac:dyDescent="0.25">
      <c r="A3352" t="str">
        <f>"4212"</f>
        <v>4212</v>
      </c>
      <c r="B3352" t="str">
        <f t="shared" si="216"/>
        <v>1</v>
      </c>
      <c r="C3352" t="str">
        <f t="shared" si="217"/>
        <v>181</v>
      </c>
      <c r="D3352" t="str">
        <f>"10"</f>
        <v>10</v>
      </c>
      <c r="E3352" t="str">
        <f>"1-181-10"</f>
        <v>1-181-10</v>
      </c>
      <c r="F3352" t="s">
        <v>15</v>
      </c>
      <c r="G3352" t="s">
        <v>16</v>
      </c>
      <c r="H3352" t="s">
        <v>17</v>
      </c>
      <c r="I3352">
        <v>1</v>
      </c>
      <c r="J3352">
        <v>0</v>
      </c>
      <c r="K3352">
        <v>0</v>
      </c>
    </row>
    <row r="3353" spans="1:11" x14ac:dyDescent="0.25">
      <c r="A3353" t="str">
        <f>"4213"</f>
        <v>4213</v>
      </c>
      <c r="B3353" t="str">
        <f t="shared" si="216"/>
        <v>1</v>
      </c>
      <c r="C3353" t="str">
        <f t="shared" si="217"/>
        <v>181</v>
      </c>
      <c r="D3353" t="str">
        <f>"11"</f>
        <v>11</v>
      </c>
      <c r="E3353" t="str">
        <f>"1-181-11"</f>
        <v>1-181-11</v>
      </c>
      <c r="F3353" t="s">
        <v>15</v>
      </c>
      <c r="G3353" t="s">
        <v>16</v>
      </c>
      <c r="H3353" t="s">
        <v>17</v>
      </c>
      <c r="I3353">
        <v>1</v>
      </c>
      <c r="J3353">
        <v>0</v>
      </c>
      <c r="K3353">
        <v>0</v>
      </c>
    </row>
    <row r="3354" spans="1:11" x14ac:dyDescent="0.25">
      <c r="A3354" t="str">
        <f>"4214"</f>
        <v>4214</v>
      </c>
      <c r="B3354" t="str">
        <f t="shared" si="216"/>
        <v>1</v>
      </c>
      <c r="C3354" t="str">
        <f t="shared" si="217"/>
        <v>181</v>
      </c>
      <c r="D3354" t="str">
        <f>"12"</f>
        <v>12</v>
      </c>
      <c r="E3354" t="str">
        <f>"1-181-12"</f>
        <v>1-181-12</v>
      </c>
      <c r="F3354" t="s">
        <v>15</v>
      </c>
      <c r="G3354" t="s">
        <v>16</v>
      </c>
      <c r="H3354" t="s">
        <v>17</v>
      </c>
      <c r="I3354">
        <v>0</v>
      </c>
      <c r="J3354">
        <v>1</v>
      </c>
      <c r="K3354">
        <v>0</v>
      </c>
    </row>
    <row r="3355" spans="1:11" x14ac:dyDescent="0.25">
      <c r="A3355" t="str">
        <f>"4215"</f>
        <v>4215</v>
      </c>
      <c r="B3355" t="str">
        <f t="shared" si="216"/>
        <v>1</v>
      </c>
      <c r="C3355" t="str">
        <f t="shared" si="217"/>
        <v>181</v>
      </c>
      <c r="D3355" t="str">
        <f>"9"</f>
        <v>9</v>
      </c>
      <c r="E3355" t="str">
        <f>"1-181-9"</f>
        <v>1-181-9</v>
      </c>
      <c r="F3355" t="s">
        <v>15</v>
      </c>
      <c r="G3355" t="s">
        <v>16</v>
      </c>
      <c r="H3355" t="s">
        <v>17</v>
      </c>
      <c r="I3355">
        <v>1</v>
      </c>
      <c r="J3355">
        <v>0</v>
      </c>
      <c r="K3355">
        <v>0</v>
      </c>
    </row>
    <row r="3356" spans="1:11" x14ac:dyDescent="0.25">
      <c r="A3356" t="str">
        <f>"4216"</f>
        <v>4216</v>
      </c>
      <c r="B3356" t="str">
        <f t="shared" si="216"/>
        <v>1</v>
      </c>
      <c r="C3356" t="str">
        <f t="shared" si="217"/>
        <v>181</v>
      </c>
      <c r="D3356" t="str">
        <f>"2"</f>
        <v>2</v>
      </c>
      <c r="E3356" t="str">
        <f>"1-181-2"</f>
        <v>1-181-2</v>
      </c>
      <c r="F3356" t="s">
        <v>15</v>
      </c>
      <c r="G3356" t="s">
        <v>16</v>
      </c>
      <c r="H3356" t="s">
        <v>17</v>
      </c>
      <c r="I3356">
        <v>0</v>
      </c>
      <c r="J3356">
        <v>1</v>
      </c>
      <c r="K3356">
        <v>0</v>
      </c>
    </row>
    <row r="3357" spans="1:11" x14ac:dyDescent="0.25">
      <c r="A3357" t="str">
        <f>"4217"</f>
        <v>4217</v>
      </c>
      <c r="B3357" t="str">
        <f t="shared" si="216"/>
        <v>1</v>
      </c>
      <c r="C3357" t="str">
        <f t="shared" si="217"/>
        <v>181</v>
      </c>
      <c r="D3357" t="str">
        <f>"8"</f>
        <v>8</v>
      </c>
      <c r="E3357" t="str">
        <f>"1-181-8"</f>
        <v>1-181-8</v>
      </c>
      <c r="F3357" t="s">
        <v>15</v>
      </c>
      <c r="G3357" t="s">
        <v>16</v>
      </c>
      <c r="H3357" t="s">
        <v>17</v>
      </c>
      <c r="I3357">
        <v>1</v>
      </c>
      <c r="J3357">
        <v>0</v>
      </c>
      <c r="K3357">
        <v>0</v>
      </c>
    </row>
    <row r="3358" spans="1:11" x14ac:dyDescent="0.25">
      <c r="A3358" t="str">
        <f>"4218"</f>
        <v>4218</v>
      </c>
      <c r="B3358" t="str">
        <f t="shared" si="216"/>
        <v>1</v>
      </c>
      <c r="C3358" t="str">
        <f t="shared" si="217"/>
        <v>181</v>
      </c>
      <c r="D3358" t="str">
        <f>"5"</f>
        <v>5</v>
      </c>
      <c r="E3358" t="str">
        <f>"1-181-5"</f>
        <v>1-181-5</v>
      </c>
      <c r="F3358" t="s">
        <v>15</v>
      </c>
      <c r="G3358" t="s">
        <v>16</v>
      </c>
      <c r="H3358" t="s">
        <v>17</v>
      </c>
      <c r="I3358">
        <v>1</v>
      </c>
      <c r="J3358">
        <v>0</v>
      </c>
      <c r="K3358">
        <v>0</v>
      </c>
    </row>
    <row r="3359" spans="1:11" x14ac:dyDescent="0.25">
      <c r="A3359" t="str">
        <f>"4219"</f>
        <v>4219</v>
      </c>
      <c r="B3359" t="str">
        <f t="shared" si="216"/>
        <v>1</v>
      </c>
      <c r="C3359" t="str">
        <f t="shared" si="217"/>
        <v>181</v>
      </c>
      <c r="D3359" t="str">
        <f>"6"</f>
        <v>6</v>
      </c>
      <c r="E3359" t="str">
        <f>"1-181-6"</f>
        <v>1-181-6</v>
      </c>
      <c r="F3359" t="s">
        <v>15</v>
      </c>
      <c r="G3359" t="s">
        <v>16</v>
      </c>
      <c r="H3359" t="s">
        <v>17</v>
      </c>
      <c r="I3359">
        <v>1</v>
      </c>
      <c r="J3359">
        <v>0</v>
      </c>
      <c r="K3359">
        <v>0</v>
      </c>
    </row>
    <row r="3360" spans="1:11" x14ac:dyDescent="0.25">
      <c r="A3360" t="str">
        <f>"4220"</f>
        <v>4220</v>
      </c>
      <c r="B3360" t="str">
        <f t="shared" si="216"/>
        <v>1</v>
      </c>
      <c r="C3360" t="str">
        <f t="shared" si="217"/>
        <v>181</v>
      </c>
      <c r="D3360" t="str">
        <f>"13"</f>
        <v>13</v>
      </c>
      <c r="E3360" t="str">
        <f>"1-181-13"</f>
        <v>1-181-13</v>
      </c>
      <c r="F3360" t="s">
        <v>15</v>
      </c>
      <c r="G3360" t="s">
        <v>16</v>
      </c>
      <c r="H3360" t="s">
        <v>17</v>
      </c>
      <c r="I3360">
        <v>1</v>
      </c>
      <c r="J3360">
        <v>0</v>
      </c>
      <c r="K3360">
        <v>0</v>
      </c>
    </row>
    <row r="3361" spans="1:11" x14ac:dyDescent="0.25">
      <c r="A3361" t="str">
        <f>"4221"</f>
        <v>4221</v>
      </c>
      <c r="B3361" t="str">
        <f t="shared" si="216"/>
        <v>1</v>
      </c>
      <c r="C3361" t="str">
        <f t="shared" si="217"/>
        <v>181</v>
      </c>
      <c r="D3361" t="str">
        <f>"7"</f>
        <v>7</v>
      </c>
      <c r="E3361" t="str">
        <f>"1-181-7"</f>
        <v>1-181-7</v>
      </c>
      <c r="F3361" t="s">
        <v>15</v>
      </c>
      <c r="G3361" t="s">
        <v>16</v>
      </c>
      <c r="H3361" t="s">
        <v>17</v>
      </c>
      <c r="I3361">
        <v>1</v>
      </c>
      <c r="J3361">
        <v>0</v>
      </c>
      <c r="K3361">
        <v>0</v>
      </c>
    </row>
    <row r="3362" spans="1:11" x14ac:dyDescent="0.25">
      <c r="A3362" t="str">
        <f>"4222"</f>
        <v>4222</v>
      </c>
      <c r="B3362" t="str">
        <f t="shared" si="216"/>
        <v>1</v>
      </c>
      <c r="C3362" t="str">
        <f t="shared" ref="C3362:C3386" si="218">"182"</f>
        <v>182</v>
      </c>
      <c r="D3362" t="str">
        <f>"20"</f>
        <v>20</v>
      </c>
      <c r="E3362" t="str">
        <f>"1-182-20"</f>
        <v>1-182-20</v>
      </c>
      <c r="F3362" t="s">
        <v>15</v>
      </c>
      <c r="G3362" t="s">
        <v>18</v>
      </c>
      <c r="H3362" t="s">
        <v>19</v>
      </c>
      <c r="I3362">
        <v>1</v>
      </c>
      <c r="J3362">
        <v>0</v>
      </c>
      <c r="K3362">
        <v>0</v>
      </c>
    </row>
    <row r="3363" spans="1:11" x14ac:dyDescent="0.25">
      <c r="A3363" t="str">
        <f>"4223"</f>
        <v>4223</v>
      </c>
      <c r="B3363" t="str">
        <f t="shared" si="216"/>
        <v>1</v>
      </c>
      <c r="C3363" t="str">
        <f t="shared" si="218"/>
        <v>182</v>
      </c>
      <c r="D3363" t="str">
        <f>"15"</f>
        <v>15</v>
      </c>
      <c r="E3363" t="str">
        <f>"1-182-15"</f>
        <v>1-182-15</v>
      </c>
      <c r="F3363" t="s">
        <v>15</v>
      </c>
      <c r="G3363" t="s">
        <v>18</v>
      </c>
      <c r="H3363" t="s">
        <v>19</v>
      </c>
      <c r="I3363">
        <v>0</v>
      </c>
      <c r="J3363">
        <v>1</v>
      </c>
      <c r="K3363">
        <v>0</v>
      </c>
    </row>
    <row r="3364" spans="1:11" x14ac:dyDescent="0.25">
      <c r="A3364" t="str">
        <f>"4224"</f>
        <v>4224</v>
      </c>
      <c r="B3364" t="str">
        <f t="shared" si="216"/>
        <v>1</v>
      </c>
      <c r="C3364" t="str">
        <f t="shared" si="218"/>
        <v>182</v>
      </c>
      <c r="D3364" t="str">
        <f>"6"</f>
        <v>6</v>
      </c>
      <c r="E3364" t="str">
        <f>"1-182-6"</f>
        <v>1-182-6</v>
      </c>
      <c r="F3364" t="s">
        <v>15</v>
      </c>
      <c r="G3364" t="s">
        <v>18</v>
      </c>
      <c r="H3364" t="s">
        <v>19</v>
      </c>
      <c r="I3364">
        <v>0</v>
      </c>
      <c r="J3364">
        <v>0</v>
      </c>
      <c r="K3364">
        <v>1</v>
      </c>
    </row>
    <row r="3365" spans="1:11" x14ac:dyDescent="0.25">
      <c r="A3365" t="str">
        <f>"4225"</f>
        <v>4225</v>
      </c>
      <c r="B3365" t="str">
        <f t="shared" si="216"/>
        <v>1</v>
      </c>
      <c r="C3365" t="str">
        <f t="shared" si="218"/>
        <v>182</v>
      </c>
      <c r="D3365" t="str">
        <f>"19"</f>
        <v>19</v>
      </c>
      <c r="E3365" t="str">
        <f>"1-182-19"</f>
        <v>1-182-19</v>
      </c>
      <c r="F3365" t="s">
        <v>15</v>
      </c>
      <c r="G3365" t="s">
        <v>18</v>
      </c>
      <c r="H3365" t="s">
        <v>19</v>
      </c>
      <c r="I3365">
        <v>1</v>
      </c>
      <c r="J3365">
        <v>0</v>
      </c>
      <c r="K3365">
        <v>0</v>
      </c>
    </row>
    <row r="3366" spans="1:11" x14ac:dyDescent="0.25">
      <c r="A3366" t="str">
        <f>"4226"</f>
        <v>4226</v>
      </c>
      <c r="B3366" t="str">
        <f t="shared" si="216"/>
        <v>1</v>
      </c>
      <c r="C3366" t="str">
        <f t="shared" si="218"/>
        <v>182</v>
      </c>
      <c r="D3366" t="str">
        <f>"16"</f>
        <v>16</v>
      </c>
      <c r="E3366" t="str">
        <f>"1-182-16"</f>
        <v>1-182-16</v>
      </c>
      <c r="F3366" t="s">
        <v>15</v>
      </c>
      <c r="G3366" t="s">
        <v>18</v>
      </c>
      <c r="H3366" t="s">
        <v>19</v>
      </c>
      <c r="I3366">
        <v>0</v>
      </c>
      <c r="J3366">
        <v>1</v>
      </c>
      <c r="K3366">
        <v>0</v>
      </c>
    </row>
    <row r="3367" spans="1:11" x14ac:dyDescent="0.25">
      <c r="A3367" t="str">
        <f>"4227"</f>
        <v>4227</v>
      </c>
      <c r="B3367" t="str">
        <f t="shared" si="216"/>
        <v>1</v>
      </c>
      <c r="C3367" t="str">
        <f t="shared" si="218"/>
        <v>182</v>
      </c>
      <c r="D3367" t="str">
        <f>"1"</f>
        <v>1</v>
      </c>
      <c r="E3367" t="str">
        <f>"1-182-1"</f>
        <v>1-182-1</v>
      </c>
      <c r="F3367" t="s">
        <v>15</v>
      </c>
      <c r="G3367" t="s">
        <v>18</v>
      </c>
      <c r="H3367" t="s">
        <v>19</v>
      </c>
      <c r="I3367">
        <v>0</v>
      </c>
      <c r="J3367">
        <v>0</v>
      </c>
      <c r="K3367">
        <v>1</v>
      </c>
    </row>
    <row r="3368" spans="1:11" x14ac:dyDescent="0.25">
      <c r="A3368" t="str">
        <f>"4228"</f>
        <v>4228</v>
      </c>
      <c r="B3368" t="str">
        <f t="shared" si="216"/>
        <v>1</v>
      </c>
      <c r="C3368" t="str">
        <f t="shared" si="218"/>
        <v>182</v>
      </c>
      <c r="D3368" t="str">
        <f>"17"</f>
        <v>17</v>
      </c>
      <c r="E3368" t="str">
        <f>"1-182-17"</f>
        <v>1-182-17</v>
      </c>
      <c r="F3368" t="s">
        <v>15</v>
      </c>
      <c r="G3368" t="s">
        <v>18</v>
      </c>
      <c r="H3368" t="s">
        <v>19</v>
      </c>
      <c r="I3368">
        <v>0</v>
      </c>
      <c r="J3368">
        <v>1</v>
      </c>
      <c r="K3368">
        <v>0</v>
      </c>
    </row>
    <row r="3369" spans="1:11" x14ac:dyDescent="0.25">
      <c r="A3369" t="str">
        <f>"4229"</f>
        <v>4229</v>
      </c>
      <c r="B3369" t="str">
        <f t="shared" si="216"/>
        <v>1</v>
      </c>
      <c r="C3369" t="str">
        <f t="shared" si="218"/>
        <v>182</v>
      </c>
      <c r="D3369" t="str">
        <f>"2"</f>
        <v>2</v>
      </c>
      <c r="E3369" t="str">
        <f>"1-182-2"</f>
        <v>1-182-2</v>
      </c>
      <c r="F3369" t="s">
        <v>15</v>
      </c>
      <c r="G3369" t="s">
        <v>18</v>
      </c>
      <c r="H3369" t="s">
        <v>19</v>
      </c>
      <c r="I3369">
        <v>0</v>
      </c>
      <c r="J3369">
        <v>0</v>
      </c>
      <c r="K3369">
        <v>1</v>
      </c>
    </row>
    <row r="3370" spans="1:11" x14ac:dyDescent="0.25">
      <c r="A3370" t="str">
        <f>"4230"</f>
        <v>4230</v>
      </c>
      <c r="B3370" t="str">
        <f t="shared" si="216"/>
        <v>1</v>
      </c>
      <c r="C3370" t="str">
        <f t="shared" si="218"/>
        <v>182</v>
      </c>
      <c r="D3370" t="str">
        <f>"18"</f>
        <v>18</v>
      </c>
      <c r="E3370" t="str">
        <f>"1-182-18"</f>
        <v>1-182-18</v>
      </c>
      <c r="F3370" t="s">
        <v>15</v>
      </c>
      <c r="G3370" t="s">
        <v>18</v>
      </c>
      <c r="H3370" t="s">
        <v>19</v>
      </c>
      <c r="I3370">
        <v>1</v>
      </c>
      <c r="J3370">
        <v>0</v>
      </c>
      <c r="K3370">
        <v>0</v>
      </c>
    </row>
    <row r="3371" spans="1:11" x14ac:dyDescent="0.25">
      <c r="A3371" t="str">
        <f>"4231"</f>
        <v>4231</v>
      </c>
      <c r="B3371" t="str">
        <f t="shared" si="216"/>
        <v>1</v>
      </c>
      <c r="C3371" t="str">
        <f t="shared" si="218"/>
        <v>182</v>
      </c>
      <c r="D3371" t="str">
        <f>"12"</f>
        <v>12</v>
      </c>
      <c r="E3371" t="str">
        <f>"1-182-12"</f>
        <v>1-182-12</v>
      </c>
      <c r="F3371" t="s">
        <v>15</v>
      </c>
      <c r="G3371" t="s">
        <v>18</v>
      </c>
      <c r="H3371" t="s">
        <v>19</v>
      </c>
      <c r="I3371">
        <v>1</v>
      </c>
      <c r="J3371">
        <v>0</v>
      </c>
      <c r="K3371">
        <v>0</v>
      </c>
    </row>
    <row r="3372" spans="1:11" x14ac:dyDescent="0.25">
      <c r="A3372" t="str">
        <f>"4232"</f>
        <v>4232</v>
      </c>
      <c r="B3372" t="str">
        <f t="shared" si="216"/>
        <v>1</v>
      </c>
      <c r="C3372" t="str">
        <f t="shared" si="218"/>
        <v>182</v>
      </c>
      <c r="D3372" t="str">
        <f>"11"</f>
        <v>11</v>
      </c>
      <c r="E3372" t="str">
        <f>"1-182-11"</f>
        <v>1-182-11</v>
      </c>
      <c r="F3372" t="s">
        <v>15</v>
      </c>
      <c r="G3372" t="s">
        <v>18</v>
      </c>
      <c r="H3372" t="s">
        <v>19</v>
      </c>
      <c r="I3372">
        <v>0</v>
      </c>
      <c r="J3372">
        <v>1</v>
      </c>
      <c r="K3372">
        <v>0</v>
      </c>
    </row>
    <row r="3373" spans="1:11" x14ac:dyDescent="0.25">
      <c r="A3373" t="str">
        <f>"4233"</f>
        <v>4233</v>
      </c>
      <c r="B3373" t="str">
        <f t="shared" si="216"/>
        <v>1</v>
      </c>
      <c r="C3373" t="str">
        <f t="shared" si="218"/>
        <v>182</v>
      </c>
      <c r="D3373" t="str">
        <f>"22"</f>
        <v>22</v>
      </c>
      <c r="E3373" t="str">
        <f>"1-182-22"</f>
        <v>1-182-22</v>
      </c>
      <c r="F3373" t="s">
        <v>15</v>
      </c>
      <c r="G3373" t="s">
        <v>16</v>
      </c>
      <c r="H3373" t="s">
        <v>17</v>
      </c>
      <c r="I3373">
        <v>0</v>
      </c>
      <c r="J3373">
        <v>1</v>
      </c>
      <c r="K3373">
        <v>0</v>
      </c>
    </row>
    <row r="3374" spans="1:11" x14ac:dyDescent="0.25">
      <c r="A3374" t="str">
        <f>"4234"</f>
        <v>4234</v>
      </c>
      <c r="B3374" t="str">
        <f t="shared" si="216"/>
        <v>1</v>
      </c>
      <c r="C3374" t="str">
        <f t="shared" si="218"/>
        <v>182</v>
      </c>
      <c r="D3374" t="str">
        <f>"13"</f>
        <v>13</v>
      </c>
      <c r="E3374" t="str">
        <f>"1-182-13"</f>
        <v>1-182-13</v>
      </c>
      <c r="F3374" t="s">
        <v>15</v>
      </c>
      <c r="G3374" t="s">
        <v>18</v>
      </c>
      <c r="H3374" t="s">
        <v>19</v>
      </c>
      <c r="I3374">
        <v>1</v>
      </c>
      <c r="J3374">
        <v>0</v>
      </c>
      <c r="K3374">
        <v>0</v>
      </c>
    </row>
    <row r="3375" spans="1:11" x14ac:dyDescent="0.25">
      <c r="A3375" t="str">
        <f>"4235"</f>
        <v>4235</v>
      </c>
      <c r="B3375" t="str">
        <f t="shared" si="216"/>
        <v>1</v>
      </c>
      <c r="C3375" t="str">
        <f t="shared" si="218"/>
        <v>182</v>
      </c>
      <c r="D3375" t="str">
        <f>"23"</f>
        <v>23</v>
      </c>
      <c r="E3375" t="str">
        <f>"1-182-23"</f>
        <v>1-182-23</v>
      </c>
      <c r="F3375" t="s">
        <v>15</v>
      </c>
      <c r="G3375" t="s">
        <v>16</v>
      </c>
      <c r="H3375" t="s">
        <v>17</v>
      </c>
      <c r="I3375">
        <v>0</v>
      </c>
      <c r="J3375">
        <v>1</v>
      </c>
      <c r="K3375">
        <v>0</v>
      </c>
    </row>
    <row r="3376" spans="1:11" x14ac:dyDescent="0.25">
      <c r="A3376" t="str">
        <f>"4236"</f>
        <v>4236</v>
      </c>
      <c r="B3376" t="str">
        <f t="shared" si="216"/>
        <v>1</v>
      </c>
      <c r="C3376" t="str">
        <f t="shared" si="218"/>
        <v>182</v>
      </c>
      <c r="D3376" t="str">
        <f>"7"</f>
        <v>7</v>
      </c>
      <c r="E3376" t="str">
        <f>"1-182-7"</f>
        <v>1-182-7</v>
      </c>
      <c r="F3376" t="s">
        <v>15</v>
      </c>
      <c r="G3376" t="s">
        <v>18</v>
      </c>
      <c r="H3376" t="s">
        <v>19</v>
      </c>
      <c r="I3376">
        <v>1</v>
      </c>
      <c r="J3376">
        <v>0</v>
      </c>
      <c r="K3376">
        <v>0</v>
      </c>
    </row>
    <row r="3377" spans="1:11" x14ac:dyDescent="0.25">
      <c r="A3377" t="str">
        <f>"4237"</f>
        <v>4237</v>
      </c>
      <c r="B3377" t="str">
        <f t="shared" si="216"/>
        <v>1</v>
      </c>
      <c r="C3377" t="str">
        <f t="shared" si="218"/>
        <v>182</v>
      </c>
      <c r="D3377" t="str">
        <f>"24"</f>
        <v>24</v>
      </c>
      <c r="E3377" t="str">
        <f>"1-182-24"</f>
        <v>1-182-24</v>
      </c>
      <c r="F3377" t="s">
        <v>15</v>
      </c>
      <c r="G3377" t="s">
        <v>18</v>
      </c>
      <c r="H3377" t="s">
        <v>19</v>
      </c>
      <c r="I3377">
        <v>1</v>
      </c>
      <c r="J3377">
        <v>0</v>
      </c>
      <c r="K3377">
        <v>0</v>
      </c>
    </row>
    <row r="3378" spans="1:11" x14ac:dyDescent="0.25">
      <c r="A3378" t="str">
        <f>"4238"</f>
        <v>4238</v>
      </c>
      <c r="B3378" t="str">
        <f t="shared" si="216"/>
        <v>1</v>
      </c>
      <c r="C3378" t="str">
        <f t="shared" si="218"/>
        <v>182</v>
      </c>
      <c r="D3378" t="str">
        <f>"14"</f>
        <v>14</v>
      </c>
      <c r="E3378" t="str">
        <f>"1-182-14"</f>
        <v>1-182-14</v>
      </c>
      <c r="F3378" t="s">
        <v>15</v>
      </c>
      <c r="G3378" t="s">
        <v>18</v>
      </c>
      <c r="H3378" t="s">
        <v>19</v>
      </c>
      <c r="I3378">
        <v>0</v>
      </c>
      <c r="J3378">
        <v>1</v>
      </c>
      <c r="K3378">
        <v>0</v>
      </c>
    </row>
    <row r="3379" spans="1:11" x14ac:dyDescent="0.25">
      <c r="A3379" t="str">
        <f>"4239"</f>
        <v>4239</v>
      </c>
      <c r="B3379" t="str">
        <f t="shared" si="216"/>
        <v>1</v>
      </c>
      <c r="C3379" t="str">
        <f t="shared" si="218"/>
        <v>182</v>
      </c>
      <c r="D3379" t="str">
        <f>"25"</f>
        <v>25</v>
      </c>
      <c r="E3379" t="str">
        <f>"1-182-25"</f>
        <v>1-182-25</v>
      </c>
      <c r="F3379" t="s">
        <v>15</v>
      </c>
      <c r="G3379" t="s">
        <v>18</v>
      </c>
      <c r="H3379" t="s">
        <v>19</v>
      </c>
      <c r="I3379">
        <v>0</v>
      </c>
      <c r="J3379">
        <v>1</v>
      </c>
      <c r="K3379">
        <v>0</v>
      </c>
    </row>
    <row r="3380" spans="1:11" x14ac:dyDescent="0.25">
      <c r="A3380" t="str">
        <f>"4240"</f>
        <v>4240</v>
      </c>
      <c r="B3380" t="str">
        <f t="shared" si="216"/>
        <v>1</v>
      </c>
      <c r="C3380" t="str">
        <f t="shared" si="218"/>
        <v>182</v>
      </c>
      <c r="D3380" t="str">
        <f>"3"</f>
        <v>3</v>
      </c>
      <c r="E3380" t="str">
        <f>"1-182-3"</f>
        <v>1-182-3</v>
      </c>
      <c r="F3380" t="s">
        <v>15</v>
      </c>
      <c r="G3380" t="s">
        <v>18</v>
      </c>
      <c r="H3380" t="s">
        <v>19</v>
      </c>
      <c r="I3380">
        <v>0</v>
      </c>
      <c r="J3380">
        <v>0</v>
      </c>
      <c r="K3380">
        <v>1</v>
      </c>
    </row>
    <row r="3381" spans="1:11" x14ac:dyDescent="0.25">
      <c r="A3381" t="str">
        <f>"4241"</f>
        <v>4241</v>
      </c>
      <c r="B3381" t="str">
        <f t="shared" si="216"/>
        <v>1</v>
      </c>
      <c r="C3381" t="str">
        <f t="shared" si="218"/>
        <v>182</v>
      </c>
      <c r="D3381" t="str">
        <f>"5"</f>
        <v>5</v>
      </c>
      <c r="E3381" t="str">
        <f>"1-182-5"</f>
        <v>1-182-5</v>
      </c>
      <c r="F3381" t="s">
        <v>15</v>
      </c>
      <c r="G3381" t="s">
        <v>18</v>
      </c>
      <c r="H3381" t="s">
        <v>19</v>
      </c>
      <c r="I3381">
        <v>1</v>
      </c>
      <c r="J3381">
        <v>0</v>
      </c>
      <c r="K3381">
        <v>0</v>
      </c>
    </row>
    <row r="3382" spans="1:11" x14ac:dyDescent="0.25">
      <c r="A3382" t="str">
        <f>"4242"</f>
        <v>4242</v>
      </c>
      <c r="B3382" t="str">
        <f t="shared" si="216"/>
        <v>1</v>
      </c>
      <c r="C3382" t="str">
        <f t="shared" si="218"/>
        <v>182</v>
      </c>
      <c r="D3382" t="str">
        <f>"10"</f>
        <v>10</v>
      </c>
      <c r="E3382" t="str">
        <f>"1-182-10"</f>
        <v>1-182-10</v>
      </c>
      <c r="F3382" t="s">
        <v>15</v>
      </c>
      <c r="G3382" t="s">
        <v>16</v>
      </c>
      <c r="H3382" t="s">
        <v>17</v>
      </c>
      <c r="I3382">
        <v>1</v>
      </c>
      <c r="J3382">
        <v>0</v>
      </c>
      <c r="K3382">
        <v>0</v>
      </c>
    </row>
    <row r="3383" spans="1:11" x14ac:dyDescent="0.25">
      <c r="A3383" t="str">
        <f>"4243"</f>
        <v>4243</v>
      </c>
      <c r="B3383" t="str">
        <f t="shared" si="216"/>
        <v>1</v>
      </c>
      <c r="C3383" t="str">
        <f t="shared" si="218"/>
        <v>182</v>
      </c>
      <c r="D3383" t="str">
        <f>"4"</f>
        <v>4</v>
      </c>
      <c r="E3383" t="str">
        <f>"1-182-4"</f>
        <v>1-182-4</v>
      </c>
      <c r="F3383" t="s">
        <v>15</v>
      </c>
      <c r="G3383" t="s">
        <v>18</v>
      </c>
      <c r="H3383" t="s">
        <v>19</v>
      </c>
      <c r="I3383">
        <v>1</v>
      </c>
      <c r="J3383">
        <v>0</v>
      </c>
      <c r="K3383">
        <v>0</v>
      </c>
    </row>
    <row r="3384" spans="1:11" x14ac:dyDescent="0.25">
      <c r="A3384" t="str">
        <f>"4244"</f>
        <v>4244</v>
      </c>
      <c r="B3384" t="str">
        <f t="shared" si="216"/>
        <v>1</v>
      </c>
      <c r="C3384" t="str">
        <f t="shared" si="218"/>
        <v>182</v>
      </c>
      <c r="D3384" t="str">
        <f>"9"</f>
        <v>9</v>
      </c>
      <c r="E3384" t="str">
        <f>"1-182-9"</f>
        <v>1-182-9</v>
      </c>
      <c r="F3384" t="s">
        <v>15</v>
      </c>
      <c r="G3384" t="s">
        <v>18</v>
      </c>
      <c r="H3384" t="s">
        <v>19</v>
      </c>
      <c r="I3384">
        <v>0</v>
      </c>
      <c r="J3384">
        <v>0</v>
      </c>
      <c r="K3384">
        <v>0</v>
      </c>
    </row>
    <row r="3385" spans="1:11" x14ac:dyDescent="0.25">
      <c r="A3385" t="str">
        <f>"4245"</f>
        <v>4245</v>
      </c>
      <c r="B3385" t="str">
        <f t="shared" si="216"/>
        <v>1</v>
      </c>
      <c r="C3385" t="str">
        <f t="shared" si="218"/>
        <v>182</v>
      </c>
      <c r="D3385" t="str">
        <f>"8"</f>
        <v>8</v>
      </c>
      <c r="E3385" t="str">
        <f>"1-182-8"</f>
        <v>1-182-8</v>
      </c>
      <c r="F3385" t="s">
        <v>15</v>
      </c>
      <c r="G3385" t="s">
        <v>18</v>
      </c>
      <c r="H3385" t="s">
        <v>19</v>
      </c>
      <c r="I3385">
        <v>0</v>
      </c>
      <c r="J3385">
        <v>0</v>
      </c>
      <c r="K3385">
        <v>0</v>
      </c>
    </row>
    <row r="3386" spans="1:11" x14ac:dyDescent="0.25">
      <c r="A3386" t="str">
        <f>"4246"</f>
        <v>4246</v>
      </c>
      <c r="B3386" t="str">
        <f t="shared" si="216"/>
        <v>1</v>
      </c>
      <c r="C3386" t="str">
        <f t="shared" si="218"/>
        <v>182</v>
      </c>
      <c r="D3386" t="str">
        <f>"21"</f>
        <v>21</v>
      </c>
      <c r="E3386" t="str">
        <f>"1-182-21"</f>
        <v>1-182-21</v>
      </c>
      <c r="F3386" t="s">
        <v>15</v>
      </c>
      <c r="G3386" t="s">
        <v>18</v>
      </c>
      <c r="H3386" t="s">
        <v>19</v>
      </c>
      <c r="I3386">
        <v>0</v>
      </c>
      <c r="J3386">
        <v>0</v>
      </c>
      <c r="K3386">
        <v>0</v>
      </c>
    </row>
    <row r="3387" spans="1:11" x14ac:dyDescent="0.25">
      <c r="A3387" t="str">
        <f>"4247"</f>
        <v>4247</v>
      </c>
      <c r="B3387" t="str">
        <f t="shared" si="216"/>
        <v>1</v>
      </c>
      <c r="C3387" t="str">
        <f t="shared" ref="C3387:C3411" si="219">"183"</f>
        <v>183</v>
      </c>
      <c r="D3387" t="str">
        <f>"15"</f>
        <v>15</v>
      </c>
      <c r="E3387" t="str">
        <f>"1-183-15"</f>
        <v>1-183-15</v>
      </c>
      <c r="F3387" t="s">
        <v>15</v>
      </c>
      <c r="G3387" t="s">
        <v>18</v>
      </c>
      <c r="H3387" t="s">
        <v>19</v>
      </c>
      <c r="I3387">
        <v>1</v>
      </c>
      <c r="J3387">
        <v>0</v>
      </c>
      <c r="K3387">
        <v>0</v>
      </c>
    </row>
    <row r="3388" spans="1:11" x14ac:dyDescent="0.25">
      <c r="A3388" t="str">
        <f>"4248"</f>
        <v>4248</v>
      </c>
      <c r="B3388" t="str">
        <f t="shared" si="216"/>
        <v>1</v>
      </c>
      <c r="C3388" t="str">
        <f t="shared" si="219"/>
        <v>183</v>
      </c>
      <c r="D3388" t="str">
        <f>"21"</f>
        <v>21</v>
      </c>
      <c r="E3388" t="str">
        <f>"1-183-21"</f>
        <v>1-183-21</v>
      </c>
      <c r="F3388" t="s">
        <v>15</v>
      </c>
      <c r="G3388" t="s">
        <v>18</v>
      </c>
      <c r="H3388" t="s">
        <v>19</v>
      </c>
      <c r="I3388">
        <v>0</v>
      </c>
      <c r="J3388">
        <v>1</v>
      </c>
      <c r="K3388">
        <v>0</v>
      </c>
    </row>
    <row r="3389" spans="1:11" x14ac:dyDescent="0.25">
      <c r="A3389" t="str">
        <f>"4249"</f>
        <v>4249</v>
      </c>
      <c r="B3389" t="str">
        <f t="shared" si="216"/>
        <v>1</v>
      </c>
      <c r="C3389" t="str">
        <f t="shared" si="219"/>
        <v>183</v>
      </c>
      <c r="D3389" t="str">
        <f>"16"</f>
        <v>16</v>
      </c>
      <c r="E3389" t="str">
        <f>"1-183-16"</f>
        <v>1-183-16</v>
      </c>
      <c r="F3389" t="s">
        <v>15</v>
      </c>
      <c r="G3389" t="s">
        <v>18</v>
      </c>
      <c r="H3389" t="s">
        <v>19</v>
      </c>
      <c r="I3389">
        <v>0</v>
      </c>
      <c r="J3389">
        <v>0</v>
      </c>
      <c r="K3389">
        <v>1</v>
      </c>
    </row>
    <row r="3390" spans="1:11" x14ac:dyDescent="0.25">
      <c r="A3390" t="str">
        <f>"4250"</f>
        <v>4250</v>
      </c>
      <c r="B3390" t="str">
        <f t="shared" ref="B3390:B3453" si="220">"1"</f>
        <v>1</v>
      </c>
      <c r="C3390" t="str">
        <f t="shared" si="219"/>
        <v>183</v>
      </c>
      <c r="D3390" t="str">
        <f>"9"</f>
        <v>9</v>
      </c>
      <c r="E3390" t="str">
        <f>"1-183-9"</f>
        <v>1-183-9</v>
      </c>
      <c r="F3390" t="s">
        <v>15</v>
      </c>
      <c r="G3390" t="s">
        <v>18</v>
      </c>
      <c r="H3390" t="s">
        <v>19</v>
      </c>
      <c r="I3390">
        <v>0</v>
      </c>
      <c r="J3390">
        <v>1</v>
      </c>
      <c r="K3390">
        <v>0</v>
      </c>
    </row>
    <row r="3391" spans="1:11" x14ac:dyDescent="0.25">
      <c r="A3391" t="str">
        <f>"4251"</f>
        <v>4251</v>
      </c>
      <c r="B3391" t="str">
        <f t="shared" si="220"/>
        <v>1</v>
      </c>
      <c r="C3391" t="str">
        <f t="shared" si="219"/>
        <v>183</v>
      </c>
      <c r="D3391" t="str">
        <f>"17"</f>
        <v>17</v>
      </c>
      <c r="E3391" t="str">
        <f>"1-183-17"</f>
        <v>1-183-17</v>
      </c>
      <c r="F3391" t="s">
        <v>15</v>
      </c>
      <c r="G3391" t="s">
        <v>18</v>
      </c>
      <c r="H3391" t="s">
        <v>19</v>
      </c>
      <c r="I3391">
        <v>1</v>
      </c>
      <c r="J3391">
        <v>0</v>
      </c>
      <c r="K3391">
        <v>0</v>
      </c>
    </row>
    <row r="3392" spans="1:11" x14ac:dyDescent="0.25">
      <c r="A3392" t="str">
        <f>"4252"</f>
        <v>4252</v>
      </c>
      <c r="B3392" t="str">
        <f t="shared" si="220"/>
        <v>1</v>
      </c>
      <c r="C3392" t="str">
        <f t="shared" si="219"/>
        <v>183</v>
      </c>
      <c r="D3392" t="str">
        <f>"10"</f>
        <v>10</v>
      </c>
      <c r="E3392" t="str">
        <f>"1-183-10"</f>
        <v>1-183-10</v>
      </c>
      <c r="F3392" t="s">
        <v>15</v>
      </c>
      <c r="G3392" t="s">
        <v>18</v>
      </c>
      <c r="H3392" t="s">
        <v>19</v>
      </c>
      <c r="I3392">
        <v>1</v>
      </c>
      <c r="J3392">
        <v>0</v>
      </c>
      <c r="K3392">
        <v>0</v>
      </c>
    </row>
    <row r="3393" spans="1:11" x14ac:dyDescent="0.25">
      <c r="A3393" t="str">
        <f>"4253"</f>
        <v>4253</v>
      </c>
      <c r="B3393" t="str">
        <f t="shared" si="220"/>
        <v>1</v>
      </c>
      <c r="C3393" t="str">
        <f t="shared" si="219"/>
        <v>183</v>
      </c>
      <c r="D3393" t="str">
        <f>"18"</f>
        <v>18</v>
      </c>
      <c r="E3393" t="str">
        <f>"1-183-18"</f>
        <v>1-183-18</v>
      </c>
      <c r="F3393" t="s">
        <v>15</v>
      </c>
      <c r="G3393" t="s">
        <v>18</v>
      </c>
      <c r="H3393" t="s">
        <v>19</v>
      </c>
      <c r="I3393">
        <v>0</v>
      </c>
      <c r="J3393">
        <v>1</v>
      </c>
      <c r="K3393">
        <v>0</v>
      </c>
    </row>
    <row r="3394" spans="1:11" x14ac:dyDescent="0.25">
      <c r="A3394" t="str">
        <f>"4254"</f>
        <v>4254</v>
      </c>
      <c r="B3394" t="str">
        <f t="shared" si="220"/>
        <v>1</v>
      </c>
      <c r="C3394" t="str">
        <f t="shared" si="219"/>
        <v>183</v>
      </c>
      <c r="D3394" t="str">
        <f>"14"</f>
        <v>14</v>
      </c>
      <c r="E3394" t="str">
        <f>"1-183-14"</f>
        <v>1-183-14</v>
      </c>
      <c r="F3394" t="s">
        <v>15</v>
      </c>
      <c r="G3394" t="s">
        <v>18</v>
      </c>
      <c r="H3394" t="s">
        <v>19</v>
      </c>
      <c r="I3394">
        <v>1</v>
      </c>
      <c r="J3394">
        <v>0</v>
      </c>
      <c r="K3394">
        <v>0</v>
      </c>
    </row>
    <row r="3395" spans="1:11" x14ac:dyDescent="0.25">
      <c r="A3395" t="str">
        <f>"4255"</f>
        <v>4255</v>
      </c>
      <c r="B3395" t="str">
        <f t="shared" si="220"/>
        <v>1</v>
      </c>
      <c r="C3395" t="str">
        <f t="shared" si="219"/>
        <v>183</v>
      </c>
      <c r="D3395" t="str">
        <f>"19"</f>
        <v>19</v>
      </c>
      <c r="E3395" t="str">
        <f>"1-183-19"</f>
        <v>1-183-19</v>
      </c>
      <c r="F3395" t="s">
        <v>15</v>
      </c>
      <c r="G3395" t="s">
        <v>18</v>
      </c>
      <c r="H3395" t="s">
        <v>19</v>
      </c>
      <c r="I3395">
        <v>1</v>
      </c>
      <c r="J3395">
        <v>0</v>
      </c>
      <c r="K3395">
        <v>0</v>
      </c>
    </row>
    <row r="3396" spans="1:11" x14ac:dyDescent="0.25">
      <c r="A3396" t="str">
        <f>"4256"</f>
        <v>4256</v>
      </c>
      <c r="B3396" t="str">
        <f t="shared" si="220"/>
        <v>1</v>
      </c>
      <c r="C3396" t="str">
        <f t="shared" si="219"/>
        <v>183</v>
      </c>
      <c r="D3396" t="str">
        <f>"5"</f>
        <v>5</v>
      </c>
      <c r="E3396" t="str">
        <f>"1-183-5"</f>
        <v>1-183-5</v>
      </c>
      <c r="F3396" t="s">
        <v>15</v>
      </c>
      <c r="G3396" t="s">
        <v>18</v>
      </c>
      <c r="H3396" t="s">
        <v>19</v>
      </c>
      <c r="I3396">
        <v>0</v>
      </c>
      <c r="J3396">
        <v>1</v>
      </c>
      <c r="K3396">
        <v>0</v>
      </c>
    </row>
    <row r="3397" spans="1:11" x14ac:dyDescent="0.25">
      <c r="A3397" t="str">
        <f>"4257"</f>
        <v>4257</v>
      </c>
      <c r="B3397" t="str">
        <f t="shared" si="220"/>
        <v>1</v>
      </c>
      <c r="C3397" t="str">
        <f t="shared" si="219"/>
        <v>183</v>
      </c>
      <c r="D3397" t="str">
        <f>"20"</f>
        <v>20</v>
      </c>
      <c r="E3397" t="str">
        <f>"1-183-20"</f>
        <v>1-183-20</v>
      </c>
      <c r="F3397" t="s">
        <v>15</v>
      </c>
      <c r="G3397" t="s">
        <v>18</v>
      </c>
      <c r="H3397" t="s">
        <v>19</v>
      </c>
      <c r="I3397">
        <v>0</v>
      </c>
      <c r="J3397">
        <v>1</v>
      </c>
      <c r="K3397">
        <v>0</v>
      </c>
    </row>
    <row r="3398" spans="1:11" x14ac:dyDescent="0.25">
      <c r="A3398" t="str">
        <f>"4258"</f>
        <v>4258</v>
      </c>
      <c r="B3398" t="str">
        <f t="shared" si="220"/>
        <v>1</v>
      </c>
      <c r="C3398" t="str">
        <f t="shared" si="219"/>
        <v>183</v>
      </c>
      <c r="D3398" t="str">
        <f>"7"</f>
        <v>7</v>
      </c>
      <c r="E3398" t="str">
        <f>"1-183-7"</f>
        <v>1-183-7</v>
      </c>
      <c r="F3398" t="s">
        <v>15</v>
      </c>
      <c r="G3398" t="s">
        <v>18</v>
      </c>
      <c r="H3398" t="s">
        <v>19</v>
      </c>
      <c r="I3398">
        <v>0</v>
      </c>
      <c r="J3398">
        <v>0</v>
      </c>
      <c r="K3398">
        <v>1</v>
      </c>
    </row>
    <row r="3399" spans="1:11" x14ac:dyDescent="0.25">
      <c r="A3399" t="str">
        <f>"4259"</f>
        <v>4259</v>
      </c>
      <c r="B3399" t="str">
        <f t="shared" si="220"/>
        <v>1</v>
      </c>
      <c r="C3399" t="str">
        <f t="shared" si="219"/>
        <v>183</v>
      </c>
      <c r="D3399" t="str">
        <f>"22"</f>
        <v>22</v>
      </c>
      <c r="E3399" t="str">
        <f>"1-183-22"</f>
        <v>1-183-22</v>
      </c>
      <c r="F3399" t="s">
        <v>15</v>
      </c>
      <c r="G3399" t="s">
        <v>18</v>
      </c>
      <c r="H3399" t="s">
        <v>19</v>
      </c>
      <c r="I3399">
        <v>0</v>
      </c>
      <c r="J3399">
        <v>0</v>
      </c>
      <c r="K3399">
        <v>1</v>
      </c>
    </row>
    <row r="3400" spans="1:11" x14ac:dyDescent="0.25">
      <c r="A3400" t="str">
        <f>"4260"</f>
        <v>4260</v>
      </c>
      <c r="B3400" t="str">
        <f t="shared" si="220"/>
        <v>1</v>
      </c>
      <c r="C3400" t="str">
        <f t="shared" si="219"/>
        <v>183</v>
      </c>
      <c r="D3400" t="str">
        <f>"12"</f>
        <v>12</v>
      </c>
      <c r="E3400" t="str">
        <f>"1-183-12"</f>
        <v>1-183-12</v>
      </c>
      <c r="F3400" t="s">
        <v>15</v>
      </c>
      <c r="G3400" t="s">
        <v>18</v>
      </c>
      <c r="H3400" t="s">
        <v>19</v>
      </c>
      <c r="I3400">
        <v>1</v>
      </c>
      <c r="J3400">
        <v>0</v>
      </c>
      <c r="K3400">
        <v>0</v>
      </c>
    </row>
    <row r="3401" spans="1:11" x14ac:dyDescent="0.25">
      <c r="A3401" t="str">
        <f>"4261"</f>
        <v>4261</v>
      </c>
      <c r="B3401" t="str">
        <f t="shared" si="220"/>
        <v>1</v>
      </c>
      <c r="C3401" t="str">
        <f t="shared" si="219"/>
        <v>183</v>
      </c>
      <c r="D3401" t="str">
        <f>"23"</f>
        <v>23</v>
      </c>
      <c r="E3401" t="str">
        <f>"1-183-23"</f>
        <v>1-183-23</v>
      </c>
      <c r="F3401" t="s">
        <v>15</v>
      </c>
      <c r="G3401" t="s">
        <v>18</v>
      </c>
      <c r="H3401" t="s">
        <v>19</v>
      </c>
      <c r="I3401">
        <v>0</v>
      </c>
      <c r="J3401">
        <v>0</v>
      </c>
      <c r="K3401">
        <v>1</v>
      </c>
    </row>
    <row r="3402" spans="1:11" x14ac:dyDescent="0.25">
      <c r="A3402" t="str">
        <f>"4262"</f>
        <v>4262</v>
      </c>
      <c r="B3402" t="str">
        <f t="shared" si="220"/>
        <v>1</v>
      </c>
      <c r="C3402" t="str">
        <f t="shared" si="219"/>
        <v>183</v>
      </c>
      <c r="D3402" t="str">
        <f>"3"</f>
        <v>3</v>
      </c>
      <c r="E3402" t="str">
        <f>"1-183-3"</f>
        <v>1-183-3</v>
      </c>
      <c r="F3402" t="s">
        <v>15</v>
      </c>
      <c r="G3402" t="s">
        <v>18</v>
      </c>
      <c r="H3402" t="s">
        <v>19</v>
      </c>
      <c r="I3402">
        <v>0</v>
      </c>
      <c r="J3402">
        <v>1</v>
      </c>
      <c r="K3402">
        <v>0</v>
      </c>
    </row>
    <row r="3403" spans="1:11" x14ac:dyDescent="0.25">
      <c r="A3403" t="str">
        <f>"4263"</f>
        <v>4263</v>
      </c>
      <c r="B3403" t="str">
        <f t="shared" si="220"/>
        <v>1</v>
      </c>
      <c r="C3403" t="str">
        <f t="shared" si="219"/>
        <v>183</v>
      </c>
      <c r="D3403" t="str">
        <f>"24"</f>
        <v>24</v>
      </c>
      <c r="E3403" t="str">
        <f>"1-183-24"</f>
        <v>1-183-24</v>
      </c>
      <c r="F3403" t="s">
        <v>15</v>
      </c>
      <c r="G3403" t="s">
        <v>18</v>
      </c>
      <c r="H3403" t="s">
        <v>19</v>
      </c>
      <c r="I3403">
        <v>1</v>
      </c>
      <c r="J3403">
        <v>0</v>
      </c>
      <c r="K3403">
        <v>0</v>
      </c>
    </row>
    <row r="3404" spans="1:11" x14ac:dyDescent="0.25">
      <c r="A3404" t="str">
        <f>"4264"</f>
        <v>4264</v>
      </c>
      <c r="B3404" t="str">
        <f t="shared" si="220"/>
        <v>1</v>
      </c>
      <c r="C3404" t="str">
        <f t="shared" si="219"/>
        <v>183</v>
      </c>
      <c r="D3404" t="str">
        <f>"8"</f>
        <v>8</v>
      </c>
      <c r="E3404" t="str">
        <f>"1-183-8"</f>
        <v>1-183-8</v>
      </c>
      <c r="F3404" t="s">
        <v>15</v>
      </c>
      <c r="G3404" t="s">
        <v>18</v>
      </c>
      <c r="H3404" t="s">
        <v>19</v>
      </c>
      <c r="I3404">
        <v>0</v>
      </c>
      <c r="J3404">
        <v>0</v>
      </c>
      <c r="K3404">
        <v>1</v>
      </c>
    </row>
    <row r="3405" spans="1:11" x14ac:dyDescent="0.25">
      <c r="A3405" t="str">
        <f>"4265"</f>
        <v>4265</v>
      </c>
      <c r="B3405" t="str">
        <f t="shared" si="220"/>
        <v>1</v>
      </c>
      <c r="C3405" t="str">
        <f t="shared" si="219"/>
        <v>183</v>
      </c>
      <c r="D3405" t="str">
        <f>"25"</f>
        <v>25</v>
      </c>
      <c r="E3405" t="str">
        <f>"1-183-25"</f>
        <v>1-183-25</v>
      </c>
      <c r="F3405" t="s">
        <v>15</v>
      </c>
      <c r="G3405" t="s">
        <v>18</v>
      </c>
      <c r="H3405" t="s">
        <v>19</v>
      </c>
      <c r="I3405">
        <v>0</v>
      </c>
      <c r="J3405">
        <v>1</v>
      </c>
      <c r="K3405">
        <v>0</v>
      </c>
    </row>
    <row r="3406" spans="1:11" x14ac:dyDescent="0.25">
      <c r="A3406" t="str">
        <f>"4266"</f>
        <v>4266</v>
      </c>
      <c r="B3406" t="str">
        <f t="shared" si="220"/>
        <v>1</v>
      </c>
      <c r="C3406" t="str">
        <f t="shared" si="219"/>
        <v>183</v>
      </c>
      <c r="D3406" t="str">
        <f>"6"</f>
        <v>6</v>
      </c>
      <c r="E3406" t="str">
        <f>"1-183-6"</f>
        <v>1-183-6</v>
      </c>
      <c r="F3406" t="s">
        <v>15</v>
      </c>
      <c r="G3406" t="s">
        <v>18</v>
      </c>
      <c r="H3406" t="s">
        <v>19</v>
      </c>
      <c r="I3406">
        <v>0</v>
      </c>
      <c r="J3406">
        <v>1</v>
      </c>
      <c r="K3406">
        <v>0</v>
      </c>
    </row>
    <row r="3407" spans="1:11" x14ac:dyDescent="0.25">
      <c r="A3407" t="str">
        <f>"4267"</f>
        <v>4267</v>
      </c>
      <c r="B3407" t="str">
        <f t="shared" si="220"/>
        <v>1</v>
      </c>
      <c r="C3407" t="str">
        <f t="shared" si="219"/>
        <v>183</v>
      </c>
      <c r="D3407" t="str">
        <f>"4"</f>
        <v>4</v>
      </c>
      <c r="E3407" t="str">
        <f>"1-183-4"</f>
        <v>1-183-4</v>
      </c>
      <c r="F3407" t="s">
        <v>15</v>
      </c>
      <c r="G3407" t="s">
        <v>18</v>
      </c>
      <c r="H3407" t="s">
        <v>19</v>
      </c>
      <c r="I3407">
        <v>0</v>
      </c>
      <c r="J3407">
        <v>1</v>
      </c>
      <c r="K3407">
        <v>0</v>
      </c>
    </row>
    <row r="3408" spans="1:11" x14ac:dyDescent="0.25">
      <c r="A3408" t="str">
        <f>"4268"</f>
        <v>4268</v>
      </c>
      <c r="B3408" t="str">
        <f t="shared" si="220"/>
        <v>1</v>
      </c>
      <c r="C3408" t="str">
        <f t="shared" si="219"/>
        <v>183</v>
      </c>
      <c r="D3408" t="str">
        <f>"13"</f>
        <v>13</v>
      </c>
      <c r="E3408" t="str">
        <f>"1-183-13"</f>
        <v>1-183-13</v>
      </c>
      <c r="F3408" t="s">
        <v>15</v>
      </c>
      <c r="G3408" t="s">
        <v>18</v>
      </c>
      <c r="H3408" t="s">
        <v>19</v>
      </c>
      <c r="I3408">
        <v>1</v>
      </c>
      <c r="J3408">
        <v>0</v>
      </c>
      <c r="K3408">
        <v>0</v>
      </c>
    </row>
    <row r="3409" spans="1:11" x14ac:dyDescent="0.25">
      <c r="A3409" t="str">
        <f>"4269"</f>
        <v>4269</v>
      </c>
      <c r="B3409" t="str">
        <f t="shared" si="220"/>
        <v>1</v>
      </c>
      <c r="C3409" t="str">
        <f t="shared" si="219"/>
        <v>183</v>
      </c>
      <c r="D3409" t="str">
        <f>"11"</f>
        <v>11</v>
      </c>
      <c r="E3409" t="str">
        <f>"1-183-11"</f>
        <v>1-183-11</v>
      </c>
      <c r="F3409" t="s">
        <v>15</v>
      </c>
      <c r="G3409" t="s">
        <v>18</v>
      </c>
      <c r="H3409" t="s">
        <v>19</v>
      </c>
      <c r="I3409">
        <v>1</v>
      </c>
      <c r="J3409">
        <v>0</v>
      </c>
      <c r="K3409">
        <v>0</v>
      </c>
    </row>
    <row r="3410" spans="1:11" x14ac:dyDescent="0.25">
      <c r="A3410" t="str">
        <f>"4270"</f>
        <v>4270</v>
      </c>
      <c r="B3410" t="str">
        <f t="shared" si="220"/>
        <v>1</v>
      </c>
      <c r="C3410" t="str">
        <f t="shared" si="219"/>
        <v>183</v>
      </c>
      <c r="D3410" t="str">
        <f>"2"</f>
        <v>2</v>
      </c>
      <c r="E3410" t="str">
        <f>"1-183-2"</f>
        <v>1-183-2</v>
      </c>
      <c r="F3410" t="s">
        <v>15</v>
      </c>
      <c r="G3410" t="s">
        <v>18</v>
      </c>
      <c r="H3410" t="s">
        <v>19</v>
      </c>
      <c r="I3410">
        <v>1</v>
      </c>
      <c r="J3410">
        <v>0</v>
      </c>
      <c r="K3410">
        <v>0</v>
      </c>
    </row>
    <row r="3411" spans="1:11" x14ac:dyDescent="0.25">
      <c r="A3411" t="str">
        <f>"4271"</f>
        <v>4271</v>
      </c>
      <c r="B3411" t="str">
        <f t="shared" si="220"/>
        <v>1</v>
      </c>
      <c r="C3411" t="str">
        <f t="shared" si="219"/>
        <v>183</v>
      </c>
      <c r="D3411" t="str">
        <f>"1"</f>
        <v>1</v>
      </c>
      <c r="E3411" t="str">
        <f>"1-183-1"</f>
        <v>1-183-1</v>
      </c>
      <c r="F3411" t="s">
        <v>15</v>
      </c>
      <c r="G3411" t="s">
        <v>18</v>
      </c>
      <c r="H3411" t="s">
        <v>19</v>
      </c>
      <c r="I3411">
        <v>0</v>
      </c>
      <c r="J3411">
        <v>0</v>
      </c>
      <c r="K3411">
        <v>0</v>
      </c>
    </row>
    <row r="3412" spans="1:11" x14ac:dyDescent="0.25">
      <c r="A3412" t="str">
        <f>"4272"</f>
        <v>4272</v>
      </c>
      <c r="B3412" t="str">
        <f t="shared" si="220"/>
        <v>1</v>
      </c>
      <c r="C3412" t="str">
        <f t="shared" ref="C3412:C3431" si="221">"184"</f>
        <v>184</v>
      </c>
      <c r="D3412" t="str">
        <f>"15"</f>
        <v>15</v>
      </c>
      <c r="E3412" t="str">
        <f>"1-184-15"</f>
        <v>1-184-15</v>
      </c>
      <c r="F3412" t="s">
        <v>15</v>
      </c>
      <c r="G3412" t="s">
        <v>16</v>
      </c>
      <c r="H3412" t="s">
        <v>17</v>
      </c>
      <c r="I3412">
        <v>1</v>
      </c>
      <c r="J3412">
        <v>0</v>
      </c>
      <c r="K3412">
        <v>0</v>
      </c>
    </row>
    <row r="3413" spans="1:11" x14ac:dyDescent="0.25">
      <c r="A3413" t="str">
        <f>"4273"</f>
        <v>4273</v>
      </c>
      <c r="B3413" t="str">
        <f t="shared" si="220"/>
        <v>1</v>
      </c>
      <c r="C3413" t="str">
        <f t="shared" si="221"/>
        <v>184</v>
      </c>
      <c r="D3413" t="str">
        <f>"2"</f>
        <v>2</v>
      </c>
      <c r="E3413" t="str">
        <f>"1-184-2"</f>
        <v>1-184-2</v>
      </c>
      <c r="F3413" t="s">
        <v>15</v>
      </c>
      <c r="G3413" t="s">
        <v>16</v>
      </c>
      <c r="H3413" t="s">
        <v>17</v>
      </c>
      <c r="I3413">
        <v>1</v>
      </c>
      <c r="J3413">
        <v>0</v>
      </c>
      <c r="K3413">
        <v>0</v>
      </c>
    </row>
    <row r="3414" spans="1:11" x14ac:dyDescent="0.25">
      <c r="A3414" t="str">
        <f>"4274"</f>
        <v>4274</v>
      </c>
      <c r="B3414" t="str">
        <f t="shared" si="220"/>
        <v>1</v>
      </c>
      <c r="C3414" t="str">
        <f t="shared" si="221"/>
        <v>184</v>
      </c>
      <c r="D3414" t="str">
        <f>"16"</f>
        <v>16</v>
      </c>
      <c r="E3414" t="str">
        <f>"1-184-16"</f>
        <v>1-184-16</v>
      </c>
      <c r="F3414" t="s">
        <v>15</v>
      </c>
      <c r="G3414" t="s">
        <v>16</v>
      </c>
      <c r="H3414" t="s">
        <v>17</v>
      </c>
      <c r="I3414">
        <v>1</v>
      </c>
      <c r="J3414">
        <v>0</v>
      </c>
      <c r="K3414">
        <v>0</v>
      </c>
    </row>
    <row r="3415" spans="1:11" x14ac:dyDescent="0.25">
      <c r="A3415" t="str">
        <f>"4275"</f>
        <v>4275</v>
      </c>
      <c r="B3415" t="str">
        <f t="shared" si="220"/>
        <v>1</v>
      </c>
      <c r="C3415" t="str">
        <f t="shared" si="221"/>
        <v>184</v>
      </c>
      <c r="D3415" t="str">
        <f>"7"</f>
        <v>7</v>
      </c>
      <c r="E3415" t="str">
        <f>"1-184-7"</f>
        <v>1-184-7</v>
      </c>
      <c r="F3415" t="s">
        <v>15</v>
      </c>
      <c r="G3415" t="s">
        <v>16</v>
      </c>
      <c r="H3415" t="s">
        <v>17</v>
      </c>
      <c r="I3415">
        <v>1</v>
      </c>
      <c r="J3415">
        <v>0</v>
      </c>
      <c r="K3415">
        <v>0</v>
      </c>
    </row>
    <row r="3416" spans="1:11" x14ac:dyDescent="0.25">
      <c r="A3416" t="str">
        <f>"4276"</f>
        <v>4276</v>
      </c>
      <c r="B3416" t="str">
        <f t="shared" si="220"/>
        <v>1</v>
      </c>
      <c r="C3416" t="str">
        <f t="shared" si="221"/>
        <v>184</v>
      </c>
      <c r="D3416" t="str">
        <f>"17"</f>
        <v>17</v>
      </c>
      <c r="E3416" t="str">
        <f>"1-184-17"</f>
        <v>1-184-17</v>
      </c>
      <c r="F3416" t="s">
        <v>15</v>
      </c>
      <c r="G3416" t="s">
        <v>16</v>
      </c>
      <c r="H3416" t="s">
        <v>17</v>
      </c>
      <c r="I3416">
        <v>0</v>
      </c>
      <c r="J3416">
        <v>1</v>
      </c>
      <c r="K3416">
        <v>0</v>
      </c>
    </row>
    <row r="3417" spans="1:11" x14ac:dyDescent="0.25">
      <c r="A3417" t="str">
        <f>"4277"</f>
        <v>4277</v>
      </c>
      <c r="B3417" t="str">
        <f t="shared" si="220"/>
        <v>1</v>
      </c>
      <c r="C3417" t="str">
        <f t="shared" si="221"/>
        <v>184</v>
      </c>
      <c r="D3417" t="str">
        <f>"10"</f>
        <v>10</v>
      </c>
      <c r="E3417" t="str">
        <f>"1-184-10"</f>
        <v>1-184-10</v>
      </c>
      <c r="F3417" t="s">
        <v>15</v>
      </c>
      <c r="G3417" t="s">
        <v>16</v>
      </c>
      <c r="H3417" t="s">
        <v>17</v>
      </c>
      <c r="I3417">
        <v>0</v>
      </c>
      <c r="J3417">
        <v>1</v>
      </c>
      <c r="K3417">
        <v>0</v>
      </c>
    </row>
    <row r="3418" spans="1:11" x14ac:dyDescent="0.25">
      <c r="A3418" t="str">
        <f>"4278"</f>
        <v>4278</v>
      </c>
      <c r="B3418" t="str">
        <f t="shared" si="220"/>
        <v>1</v>
      </c>
      <c r="C3418" t="str">
        <f t="shared" si="221"/>
        <v>184</v>
      </c>
      <c r="D3418" t="str">
        <f>"18"</f>
        <v>18</v>
      </c>
      <c r="E3418" t="str">
        <f>"1-184-18"</f>
        <v>1-184-18</v>
      </c>
      <c r="F3418" t="s">
        <v>15</v>
      </c>
      <c r="G3418" t="s">
        <v>16</v>
      </c>
      <c r="H3418" t="s">
        <v>17</v>
      </c>
      <c r="I3418">
        <v>1</v>
      </c>
      <c r="J3418">
        <v>0</v>
      </c>
      <c r="K3418">
        <v>0</v>
      </c>
    </row>
    <row r="3419" spans="1:11" x14ac:dyDescent="0.25">
      <c r="A3419" t="str">
        <f>"4279"</f>
        <v>4279</v>
      </c>
      <c r="B3419" t="str">
        <f t="shared" si="220"/>
        <v>1</v>
      </c>
      <c r="C3419" t="str">
        <f t="shared" si="221"/>
        <v>184</v>
      </c>
      <c r="D3419" t="str">
        <f>"8"</f>
        <v>8</v>
      </c>
      <c r="E3419" t="str">
        <f>"1-184-8"</f>
        <v>1-184-8</v>
      </c>
      <c r="F3419" t="s">
        <v>15</v>
      </c>
      <c r="G3419" t="s">
        <v>16</v>
      </c>
      <c r="H3419" t="s">
        <v>17</v>
      </c>
      <c r="I3419">
        <v>1</v>
      </c>
      <c r="J3419">
        <v>0</v>
      </c>
      <c r="K3419">
        <v>0</v>
      </c>
    </row>
    <row r="3420" spans="1:11" x14ac:dyDescent="0.25">
      <c r="A3420" t="str">
        <f>"4280"</f>
        <v>4280</v>
      </c>
      <c r="B3420" t="str">
        <f t="shared" si="220"/>
        <v>1</v>
      </c>
      <c r="C3420" t="str">
        <f t="shared" si="221"/>
        <v>184</v>
      </c>
      <c r="D3420" t="str">
        <f>"19"</f>
        <v>19</v>
      </c>
      <c r="E3420" t="str">
        <f>"1-184-19"</f>
        <v>1-184-19</v>
      </c>
      <c r="F3420" t="s">
        <v>15</v>
      </c>
      <c r="G3420" t="s">
        <v>16</v>
      </c>
      <c r="H3420" t="s">
        <v>17</v>
      </c>
      <c r="I3420">
        <v>1</v>
      </c>
      <c r="J3420">
        <v>0</v>
      </c>
      <c r="K3420">
        <v>0</v>
      </c>
    </row>
    <row r="3421" spans="1:11" x14ac:dyDescent="0.25">
      <c r="A3421" t="str">
        <f>"4281"</f>
        <v>4281</v>
      </c>
      <c r="B3421" t="str">
        <f t="shared" si="220"/>
        <v>1</v>
      </c>
      <c r="C3421" t="str">
        <f t="shared" si="221"/>
        <v>184</v>
      </c>
      <c r="D3421" t="str">
        <f>"4"</f>
        <v>4</v>
      </c>
      <c r="E3421" t="str">
        <f>"1-184-4"</f>
        <v>1-184-4</v>
      </c>
      <c r="F3421" t="s">
        <v>15</v>
      </c>
      <c r="G3421" t="s">
        <v>16</v>
      </c>
      <c r="H3421" t="s">
        <v>17</v>
      </c>
      <c r="I3421">
        <v>1</v>
      </c>
      <c r="J3421">
        <v>0</v>
      </c>
      <c r="K3421">
        <v>0</v>
      </c>
    </row>
    <row r="3422" spans="1:11" x14ac:dyDescent="0.25">
      <c r="A3422" t="str">
        <f>"4282"</f>
        <v>4282</v>
      </c>
      <c r="B3422" t="str">
        <f t="shared" si="220"/>
        <v>1</v>
      </c>
      <c r="C3422" t="str">
        <f t="shared" si="221"/>
        <v>184</v>
      </c>
      <c r="D3422" t="str">
        <f>"20"</f>
        <v>20</v>
      </c>
      <c r="E3422" t="str">
        <f>"1-184-20"</f>
        <v>1-184-20</v>
      </c>
      <c r="F3422" t="s">
        <v>15</v>
      </c>
      <c r="G3422" t="s">
        <v>16</v>
      </c>
      <c r="H3422" t="s">
        <v>17</v>
      </c>
      <c r="I3422">
        <v>1</v>
      </c>
      <c r="J3422">
        <v>0</v>
      </c>
      <c r="K3422">
        <v>0</v>
      </c>
    </row>
    <row r="3423" spans="1:11" x14ac:dyDescent="0.25">
      <c r="A3423" t="str">
        <f>"4283"</f>
        <v>4283</v>
      </c>
      <c r="B3423" t="str">
        <f t="shared" si="220"/>
        <v>1</v>
      </c>
      <c r="C3423" t="str">
        <f t="shared" si="221"/>
        <v>184</v>
      </c>
      <c r="D3423" t="str">
        <f>"5"</f>
        <v>5</v>
      </c>
      <c r="E3423" t="str">
        <f>"1-184-5"</f>
        <v>1-184-5</v>
      </c>
      <c r="F3423" t="s">
        <v>15</v>
      </c>
      <c r="G3423" t="s">
        <v>16</v>
      </c>
      <c r="H3423" t="s">
        <v>17</v>
      </c>
      <c r="I3423">
        <v>1</v>
      </c>
      <c r="J3423">
        <v>0</v>
      </c>
      <c r="K3423">
        <v>0</v>
      </c>
    </row>
    <row r="3424" spans="1:11" x14ac:dyDescent="0.25">
      <c r="A3424" t="str">
        <f>"4284"</f>
        <v>4284</v>
      </c>
      <c r="B3424" t="str">
        <f t="shared" si="220"/>
        <v>1</v>
      </c>
      <c r="C3424" t="str">
        <f t="shared" si="221"/>
        <v>184</v>
      </c>
      <c r="D3424" t="str">
        <f>"13"</f>
        <v>13</v>
      </c>
      <c r="E3424" t="str">
        <f>"1-184-13"</f>
        <v>1-184-13</v>
      </c>
      <c r="F3424" t="s">
        <v>15</v>
      </c>
      <c r="G3424" t="s">
        <v>16</v>
      </c>
      <c r="H3424" t="s">
        <v>17</v>
      </c>
      <c r="I3424">
        <v>1</v>
      </c>
      <c r="J3424">
        <v>0</v>
      </c>
      <c r="K3424">
        <v>0</v>
      </c>
    </row>
    <row r="3425" spans="1:11" x14ac:dyDescent="0.25">
      <c r="A3425" t="str">
        <f>"4285"</f>
        <v>4285</v>
      </c>
      <c r="B3425" t="str">
        <f t="shared" si="220"/>
        <v>1</v>
      </c>
      <c r="C3425" t="str">
        <f t="shared" si="221"/>
        <v>184</v>
      </c>
      <c r="D3425" t="str">
        <f>"14"</f>
        <v>14</v>
      </c>
      <c r="E3425" t="str">
        <f>"1-184-14"</f>
        <v>1-184-14</v>
      </c>
      <c r="F3425" t="s">
        <v>15</v>
      </c>
      <c r="G3425" t="s">
        <v>16</v>
      </c>
      <c r="H3425" t="s">
        <v>17</v>
      </c>
      <c r="I3425">
        <v>1</v>
      </c>
      <c r="J3425">
        <v>0</v>
      </c>
      <c r="K3425">
        <v>0</v>
      </c>
    </row>
    <row r="3426" spans="1:11" x14ac:dyDescent="0.25">
      <c r="A3426" t="str">
        <f>"4286"</f>
        <v>4286</v>
      </c>
      <c r="B3426" t="str">
        <f t="shared" si="220"/>
        <v>1</v>
      </c>
      <c r="C3426" t="str">
        <f t="shared" si="221"/>
        <v>184</v>
      </c>
      <c r="D3426" t="str">
        <f>"6"</f>
        <v>6</v>
      </c>
      <c r="E3426" t="str">
        <f>"1-184-6"</f>
        <v>1-184-6</v>
      </c>
      <c r="F3426" t="s">
        <v>15</v>
      </c>
      <c r="G3426" t="s">
        <v>16</v>
      </c>
      <c r="H3426" t="s">
        <v>17</v>
      </c>
      <c r="I3426">
        <v>1</v>
      </c>
      <c r="J3426">
        <v>0</v>
      </c>
      <c r="K3426">
        <v>0</v>
      </c>
    </row>
    <row r="3427" spans="1:11" x14ac:dyDescent="0.25">
      <c r="A3427" t="str">
        <f>"4287"</f>
        <v>4287</v>
      </c>
      <c r="B3427" t="str">
        <f t="shared" si="220"/>
        <v>1</v>
      </c>
      <c r="C3427" t="str">
        <f t="shared" si="221"/>
        <v>184</v>
      </c>
      <c r="D3427" t="str">
        <f>"9"</f>
        <v>9</v>
      </c>
      <c r="E3427" t="str">
        <f>"1-184-9"</f>
        <v>1-184-9</v>
      </c>
      <c r="F3427" t="s">
        <v>15</v>
      </c>
      <c r="G3427" t="s">
        <v>16</v>
      </c>
      <c r="H3427" t="s">
        <v>17</v>
      </c>
      <c r="I3427">
        <v>1</v>
      </c>
      <c r="J3427">
        <v>0</v>
      </c>
      <c r="K3427">
        <v>0</v>
      </c>
    </row>
    <row r="3428" spans="1:11" x14ac:dyDescent="0.25">
      <c r="A3428" t="str">
        <f>"4288"</f>
        <v>4288</v>
      </c>
      <c r="B3428" t="str">
        <f t="shared" si="220"/>
        <v>1</v>
      </c>
      <c r="C3428" t="str">
        <f t="shared" si="221"/>
        <v>184</v>
      </c>
      <c r="D3428" t="str">
        <f>"12"</f>
        <v>12</v>
      </c>
      <c r="E3428" t="str">
        <f>"1-184-12"</f>
        <v>1-184-12</v>
      </c>
      <c r="F3428" t="s">
        <v>15</v>
      </c>
      <c r="G3428" t="s">
        <v>16</v>
      </c>
      <c r="H3428" t="s">
        <v>17</v>
      </c>
      <c r="I3428">
        <v>1</v>
      </c>
      <c r="J3428">
        <v>0</v>
      </c>
      <c r="K3428">
        <v>0</v>
      </c>
    </row>
    <row r="3429" spans="1:11" x14ac:dyDescent="0.25">
      <c r="A3429" t="str">
        <f>"4289"</f>
        <v>4289</v>
      </c>
      <c r="B3429" t="str">
        <f t="shared" si="220"/>
        <v>1</v>
      </c>
      <c r="C3429" t="str">
        <f t="shared" si="221"/>
        <v>184</v>
      </c>
      <c r="D3429" t="str">
        <f>"1"</f>
        <v>1</v>
      </c>
      <c r="E3429" t="str">
        <f>"1-184-1"</f>
        <v>1-184-1</v>
      </c>
      <c r="F3429" t="s">
        <v>15</v>
      </c>
      <c r="G3429" t="s">
        <v>16</v>
      </c>
      <c r="H3429" t="s">
        <v>17</v>
      </c>
      <c r="I3429">
        <v>1</v>
      </c>
      <c r="J3429">
        <v>0</v>
      </c>
      <c r="K3429">
        <v>0</v>
      </c>
    </row>
    <row r="3430" spans="1:11" x14ac:dyDescent="0.25">
      <c r="A3430" t="str">
        <f>"4290"</f>
        <v>4290</v>
      </c>
      <c r="B3430" t="str">
        <f t="shared" si="220"/>
        <v>1</v>
      </c>
      <c r="C3430" t="str">
        <f t="shared" si="221"/>
        <v>184</v>
      </c>
      <c r="D3430" t="str">
        <f>"3"</f>
        <v>3</v>
      </c>
      <c r="E3430" t="str">
        <f>"1-184-3"</f>
        <v>1-184-3</v>
      </c>
      <c r="F3430" t="s">
        <v>15</v>
      </c>
      <c r="G3430" t="s">
        <v>16</v>
      </c>
      <c r="H3430" t="s">
        <v>17</v>
      </c>
      <c r="I3430">
        <v>1</v>
      </c>
      <c r="J3430">
        <v>0</v>
      </c>
      <c r="K3430">
        <v>0</v>
      </c>
    </row>
    <row r="3431" spans="1:11" x14ac:dyDescent="0.25">
      <c r="A3431" t="str">
        <f>"4291"</f>
        <v>4291</v>
      </c>
      <c r="B3431" t="str">
        <f t="shared" si="220"/>
        <v>1</v>
      </c>
      <c r="C3431" t="str">
        <f t="shared" si="221"/>
        <v>184</v>
      </c>
      <c r="D3431" t="str">
        <f>"11"</f>
        <v>11</v>
      </c>
      <c r="E3431" t="str">
        <f>"1-184-11"</f>
        <v>1-184-11</v>
      </c>
      <c r="F3431" t="s">
        <v>15</v>
      </c>
      <c r="G3431" t="s">
        <v>16</v>
      </c>
      <c r="H3431" t="s">
        <v>17</v>
      </c>
      <c r="I3431">
        <v>0</v>
      </c>
      <c r="J3431">
        <v>0</v>
      </c>
      <c r="K3431">
        <v>1</v>
      </c>
    </row>
    <row r="3432" spans="1:11" x14ac:dyDescent="0.25">
      <c r="A3432" t="str">
        <f>"4292"</f>
        <v>4292</v>
      </c>
      <c r="B3432" t="str">
        <f t="shared" si="220"/>
        <v>1</v>
      </c>
      <c r="C3432" t="str">
        <f t="shared" ref="C3432:C3448" si="222">"185"</f>
        <v>185</v>
      </c>
      <c r="D3432" t="str">
        <f>"15"</f>
        <v>15</v>
      </c>
      <c r="E3432" t="str">
        <f>"1-185-15"</f>
        <v>1-185-15</v>
      </c>
      <c r="F3432" t="s">
        <v>15</v>
      </c>
      <c r="G3432" t="s">
        <v>18</v>
      </c>
      <c r="H3432" t="s">
        <v>19</v>
      </c>
      <c r="I3432">
        <v>0</v>
      </c>
      <c r="J3432">
        <v>0</v>
      </c>
      <c r="K3432">
        <v>1</v>
      </c>
    </row>
    <row r="3433" spans="1:11" x14ac:dyDescent="0.25">
      <c r="A3433" t="str">
        <f>"4293"</f>
        <v>4293</v>
      </c>
      <c r="B3433" t="str">
        <f t="shared" si="220"/>
        <v>1</v>
      </c>
      <c r="C3433" t="str">
        <f t="shared" si="222"/>
        <v>185</v>
      </c>
      <c r="D3433" t="str">
        <f>"4"</f>
        <v>4</v>
      </c>
      <c r="E3433" t="str">
        <f>"1-185-4"</f>
        <v>1-185-4</v>
      </c>
      <c r="F3433" t="s">
        <v>15</v>
      </c>
      <c r="G3433" t="s">
        <v>18</v>
      </c>
      <c r="H3433" t="s">
        <v>19</v>
      </c>
      <c r="I3433">
        <v>1</v>
      </c>
      <c r="J3433">
        <v>0</v>
      </c>
      <c r="K3433">
        <v>0</v>
      </c>
    </row>
    <row r="3434" spans="1:11" x14ac:dyDescent="0.25">
      <c r="A3434" t="str">
        <f>"4294"</f>
        <v>4294</v>
      </c>
      <c r="B3434" t="str">
        <f t="shared" si="220"/>
        <v>1</v>
      </c>
      <c r="C3434" t="str">
        <f t="shared" si="222"/>
        <v>185</v>
      </c>
      <c r="D3434" t="str">
        <f>"16"</f>
        <v>16</v>
      </c>
      <c r="E3434" t="str">
        <f>"1-185-16"</f>
        <v>1-185-16</v>
      </c>
      <c r="F3434" t="s">
        <v>15</v>
      </c>
      <c r="G3434" t="s">
        <v>18</v>
      </c>
      <c r="H3434" t="s">
        <v>19</v>
      </c>
      <c r="I3434">
        <v>0</v>
      </c>
      <c r="J3434">
        <v>1</v>
      </c>
      <c r="K3434">
        <v>0</v>
      </c>
    </row>
    <row r="3435" spans="1:11" x14ac:dyDescent="0.25">
      <c r="A3435" t="str">
        <f>"4295"</f>
        <v>4295</v>
      </c>
      <c r="B3435" t="str">
        <f t="shared" si="220"/>
        <v>1</v>
      </c>
      <c r="C3435" t="str">
        <f t="shared" si="222"/>
        <v>185</v>
      </c>
      <c r="D3435" t="str">
        <f>"3"</f>
        <v>3</v>
      </c>
      <c r="E3435" t="str">
        <f>"1-185-3"</f>
        <v>1-185-3</v>
      </c>
      <c r="F3435" t="s">
        <v>15</v>
      </c>
      <c r="G3435" t="s">
        <v>18</v>
      </c>
      <c r="H3435" t="s">
        <v>19</v>
      </c>
      <c r="I3435">
        <v>0</v>
      </c>
      <c r="J3435">
        <v>0</v>
      </c>
      <c r="K3435">
        <v>1</v>
      </c>
    </row>
    <row r="3436" spans="1:11" x14ac:dyDescent="0.25">
      <c r="A3436" t="str">
        <f>"4296"</f>
        <v>4296</v>
      </c>
      <c r="B3436" t="str">
        <f t="shared" si="220"/>
        <v>1</v>
      </c>
      <c r="C3436" t="str">
        <f t="shared" si="222"/>
        <v>185</v>
      </c>
      <c r="D3436" t="str">
        <f>"17"</f>
        <v>17</v>
      </c>
      <c r="E3436" t="str">
        <f>"1-185-17"</f>
        <v>1-185-17</v>
      </c>
      <c r="F3436" t="s">
        <v>15</v>
      </c>
      <c r="G3436" t="s">
        <v>18</v>
      </c>
      <c r="H3436" t="s">
        <v>19</v>
      </c>
      <c r="I3436">
        <v>0</v>
      </c>
      <c r="J3436">
        <v>0</v>
      </c>
      <c r="K3436">
        <v>1</v>
      </c>
    </row>
    <row r="3437" spans="1:11" x14ac:dyDescent="0.25">
      <c r="A3437" t="str">
        <f>"4297"</f>
        <v>4297</v>
      </c>
      <c r="B3437" t="str">
        <f t="shared" si="220"/>
        <v>1</v>
      </c>
      <c r="C3437" t="str">
        <f t="shared" si="222"/>
        <v>185</v>
      </c>
      <c r="D3437" t="str">
        <f>"2"</f>
        <v>2</v>
      </c>
      <c r="E3437" t="str">
        <f>"1-185-2"</f>
        <v>1-185-2</v>
      </c>
      <c r="F3437" t="s">
        <v>15</v>
      </c>
      <c r="G3437" t="s">
        <v>18</v>
      </c>
      <c r="H3437" t="s">
        <v>19</v>
      </c>
      <c r="I3437">
        <v>1</v>
      </c>
      <c r="J3437">
        <v>0</v>
      </c>
      <c r="K3437">
        <v>0</v>
      </c>
    </row>
    <row r="3438" spans="1:11" x14ac:dyDescent="0.25">
      <c r="A3438" t="str">
        <f>"4298"</f>
        <v>4298</v>
      </c>
      <c r="B3438" t="str">
        <f t="shared" si="220"/>
        <v>1</v>
      </c>
      <c r="C3438" t="str">
        <f t="shared" si="222"/>
        <v>185</v>
      </c>
      <c r="D3438" t="str">
        <f>"13"</f>
        <v>13</v>
      </c>
      <c r="E3438" t="str">
        <f>"1-185-13"</f>
        <v>1-185-13</v>
      </c>
      <c r="F3438" t="s">
        <v>15</v>
      </c>
      <c r="G3438" t="s">
        <v>18</v>
      </c>
      <c r="H3438" t="s">
        <v>19</v>
      </c>
      <c r="I3438">
        <v>0</v>
      </c>
      <c r="J3438">
        <v>0</v>
      </c>
      <c r="K3438">
        <v>1</v>
      </c>
    </row>
    <row r="3439" spans="1:11" x14ac:dyDescent="0.25">
      <c r="A3439" t="str">
        <f>"4299"</f>
        <v>4299</v>
      </c>
      <c r="B3439" t="str">
        <f t="shared" si="220"/>
        <v>1</v>
      </c>
      <c r="C3439" t="str">
        <f t="shared" si="222"/>
        <v>185</v>
      </c>
      <c r="D3439" t="str">
        <f>"7"</f>
        <v>7</v>
      </c>
      <c r="E3439" t="str">
        <f>"1-185-7"</f>
        <v>1-185-7</v>
      </c>
      <c r="F3439" t="s">
        <v>15</v>
      </c>
      <c r="G3439" t="s">
        <v>18</v>
      </c>
      <c r="H3439" t="s">
        <v>19</v>
      </c>
      <c r="I3439">
        <v>0</v>
      </c>
      <c r="J3439">
        <v>0</v>
      </c>
      <c r="K3439">
        <v>1</v>
      </c>
    </row>
    <row r="3440" spans="1:11" x14ac:dyDescent="0.25">
      <c r="A3440" t="str">
        <f>"4300"</f>
        <v>4300</v>
      </c>
      <c r="B3440" t="str">
        <f t="shared" si="220"/>
        <v>1</v>
      </c>
      <c r="C3440" t="str">
        <f t="shared" si="222"/>
        <v>185</v>
      </c>
      <c r="D3440" t="str">
        <f>"11"</f>
        <v>11</v>
      </c>
      <c r="E3440" t="str">
        <f>"1-185-11"</f>
        <v>1-185-11</v>
      </c>
      <c r="F3440" t="s">
        <v>15</v>
      </c>
      <c r="G3440" t="s">
        <v>16</v>
      </c>
      <c r="H3440" t="s">
        <v>17</v>
      </c>
      <c r="I3440">
        <v>1</v>
      </c>
      <c r="J3440">
        <v>0</v>
      </c>
      <c r="K3440">
        <v>0</v>
      </c>
    </row>
    <row r="3441" spans="1:11" x14ac:dyDescent="0.25">
      <c r="A3441" t="str">
        <f>"4301"</f>
        <v>4301</v>
      </c>
      <c r="B3441" t="str">
        <f t="shared" si="220"/>
        <v>1</v>
      </c>
      <c r="C3441" t="str">
        <f t="shared" si="222"/>
        <v>185</v>
      </c>
      <c r="D3441" t="str">
        <f>"14"</f>
        <v>14</v>
      </c>
      <c r="E3441" t="str">
        <f>"1-185-14"</f>
        <v>1-185-14</v>
      </c>
      <c r="F3441" t="s">
        <v>15</v>
      </c>
      <c r="G3441" t="s">
        <v>18</v>
      </c>
      <c r="H3441" t="s">
        <v>19</v>
      </c>
      <c r="I3441">
        <v>0</v>
      </c>
      <c r="J3441">
        <v>0</v>
      </c>
      <c r="K3441">
        <v>1</v>
      </c>
    </row>
    <row r="3442" spans="1:11" x14ac:dyDescent="0.25">
      <c r="A3442" t="str">
        <f>"4302"</f>
        <v>4302</v>
      </c>
      <c r="B3442" t="str">
        <f t="shared" si="220"/>
        <v>1</v>
      </c>
      <c r="C3442" t="str">
        <f t="shared" si="222"/>
        <v>185</v>
      </c>
      <c r="D3442" t="str">
        <f>"5"</f>
        <v>5</v>
      </c>
      <c r="E3442" t="str">
        <f>"1-185-5"</f>
        <v>1-185-5</v>
      </c>
      <c r="F3442" t="s">
        <v>15</v>
      </c>
      <c r="G3442" t="s">
        <v>18</v>
      </c>
      <c r="H3442" t="s">
        <v>19</v>
      </c>
      <c r="I3442">
        <v>0</v>
      </c>
      <c r="J3442">
        <v>0</v>
      </c>
      <c r="K3442">
        <v>1</v>
      </c>
    </row>
    <row r="3443" spans="1:11" x14ac:dyDescent="0.25">
      <c r="A3443" t="str">
        <f>"4303"</f>
        <v>4303</v>
      </c>
      <c r="B3443" t="str">
        <f t="shared" si="220"/>
        <v>1</v>
      </c>
      <c r="C3443" t="str">
        <f t="shared" si="222"/>
        <v>185</v>
      </c>
      <c r="D3443" t="str">
        <f>"6"</f>
        <v>6</v>
      </c>
      <c r="E3443" t="str">
        <f>"1-185-6"</f>
        <v>1-185-6</v>
      </c>
      <c r="F3443" t="s">
        <v>15</v>
      </c>
      <c r="G3443" t="s">
        <v>18</v>
      </c>
      <c r="H3443" t="s">
        <v>19</v>
      </c>
      <c r="I3443">
        <v>0</v>
      </c>
      <c r="J3443">
        <v>0</v>
      </c>
      <c r="K3443">
        <v>1</v>
      </c>
    </row>
    <row r="3444" spans="1:11" x14ac:dyDescent="0.25">
      <c r="A3444" t="str">
        <f>"4304"</f>
        <v>4304</v>
      </c>
      <c r="B3444" t="str">
        <f t="shared" si="220"/>
        <v>1</v>
      </c>
      <c r="C3444" t="str">
        <f t="shared" si="222"/>
        <v>185</v>
      </c>
      <c r="D3444" t="str">
        <f>"10"</f>
        <v>10</v>
      </c>
      <c r="E3444" t="str">
        <f>"1-185-10"</f>
        <v>1-185-10</v>
      </c>
      <c r="F3444" t="s">
        <v>15</v>
      </c>
      <c r="G3444" t="s">
        <v>16</v>
      </c>
      <c r="H3444" t="s">
        <v>17</v>
      </c>
      <c r="I3444">
        <v>1</v>
      </c>
      <c r="J3444">
        <v>0</v>
      </c>
      <c r="K3444">
        <v>0</v>
      </c>
    </row>
    <row r="3445" spans="1:11" x14ac:dyDescent="0.25">
      <c r="A3445" t="str">
        <f>"4305"</f>
        <v>4305</v>
      </c>
      <c r="B3445" t="str">
        <f t="shared" si="220"/>
        <v>1</v>
      </c>
      <c r="C3445" t="str">
        <f t="shared" si="222"/>
        <v>185</v>
      </c>
      <c r="D3445" t="str">
        <f>"1"</f>
        <v>1</v>
      </c>
      <c r="E3445" t="str">
        <f>"1-185-1"</f>
        <v>1-185-1</v>
      </c>
      <c r="F3445" t="s">
        <v>15</v>
      </c>
      <c r="G3445" t="s">
        <v>18</v>
      </c>
      <c r="H3445" t="s">
        <v>19</v>
      </c>
      <c r="I3445">
        <v>1</v>
      </c>
      <c r="J3445">
        <v>0</v>
      </c>
      <c r="K3445">
        <v>0</v>
      </c>
    </row>
    <row r="3446" spans="1:11" x14ac:dyDescent="0.25">
      <c r="A3446" t="str">
        <f>"4306"</f>
        <v>4306</v>
      </c>
      <c r="B3446" t="str">
        <f t="shared" si="220"/>
        <v>1</v>
      </c>
      <c r="C3446" t="str">
        <f t="shared" si="222"/>
        <v>185</v>
      </c>
      <c r="D3446" t="str">
        <f>"8"</f>
        <v>8</v>
      </c>
      <c r="E3446" t="str">
        <f>"1-185-8"</f>
        <v>1-185-8</v>
      </c>
      <c r="F3446" t="s">
        <v>15</v>
      </c>
      <c r="G3446" t="s">
        <v>18</v>
      </c>
      <c r="H3446" t="s">
        <v>19</v>
      </c>
      <c r="I3446">
        <v>0</v>
      </c>
      <c r="J3446">
        <v>0</v>
      </c>
      <c r="K3446">
        <v>1</v>
      </c>
    </row>
    <row r="3447" spans="1:11" x14ac:dyDescent="0.25">
      <c r="A3447" t="str">
        <f>"4307"</f>
        <v>4307</v>
      </c>
      <c r="B3447" t="str">
        <f t="shared" si="220"/>
        <v>1</v>
      </c>
      <c r="C3447" t="str">
        <f t="shared" si="222"/>
        <v>185</v>
      </c>
      <c r="D3447" t="str">
        <f>"9"</f>
        <v>9</v>
      </c>
      <c r="E3447" t="str">
        <f>"1-185-9"</f>
        <v>1-185-9</v>
      </c>
      <c r="F3447" t="s">
        <v>15</v>
      </c>
      <c r="G3447" t="s">
        <v>18</v>
      </c>
      <c r="H3447" t="s">
        <v>19</v>
      </c>
      <c r="I3447">
        <v>1</v>
      </c>
      <c r="J3447">
        <v>0</v>
      </c>
      <c r="K3447">
        <v>0</v>
      </c>
    </row>
    <row r="3448" spans="1:11" x14ac:dyDescent="0.25">
      <c r="A3448" t="str">
        <f>"4308"</f>
        <v>4308</v>
      </c>
      <c r="B3448" t="str">
        <f t="shared" si="220"/>
        <v>1</v>
      </c>
      <c r="C3448" t="str">
        <f t="shared" si="222"/>
        <v>185</v>
      </c>
      <c r="D3448" t="str">
        <f>"12"</f>
        <v>12</v>
      </c>
      <c r="E3448" t="str">
        <f>"1-185-12"</f>
        <v>1-185-12</v>
      </c>
      <c r="F3448" t="s">
        <v>15</v>
      </c>
      <c r="G3448" t="s">
        <v>18</v>
      </c>
      <c r="H3448" t="s">
        <v>19</v>
      </c>
      <c r="I3448">
        <v>0</v>
      </c>
      <c r="J3448">
        <v>0</v>
      </c>
      <c r="K3448">
        <v>1</v>
      </c>
    </row>
    <row r="3449" spans="1:11" x14ac:dyDescent="0.25">
      <c r="A3449" t="str">
        <f>"4309"</f>
        <v>4309</v>
      </c>
      <c r="B3449" t="str">
        <f t="shared" si="220"/>
        <v>1</v>
      </c>
      <c r="C3449" t="str">
        <f t="shared" ref="C3449:C3473" si="223">"186"</f>
        <v>186</v>
      </c>
      <c r="D3449" t="str">
        <f>"15"</f>
        <v>15</v>
      </c>
      <c r="E3449" t="str">
        <f>"1-186-15"</f>
        <v>1-186-15</v>
      </c>
      <c r="F3449" t="s">
        <v>15</v>
      </c>
      <c r="G3449" t="s">
        <v>18</v>
      </c>
      <c r="H3449" t="s">
        <v>19</v>
      </c>
      <c r="I3449">
        <v>0</v>
      </c>
      <c r="J3449">
        <v>0</v>
      </c>
      <c r="K3449">
        <v>1</v>
      </c>
    </row>
    <row r="3450" spans="1:11" x14ac:dyDescent="0.25">
      <c r="A3450" t="str">
        <f>"4310"</f>
        <v>4310</v>
      </c>
      <c r="B3450" t="str">
        <f t="shared" si="220"/>
        <v>1</v>
      </c>
      <c r="C3450" t="str">
        <f t="shared" si="223"/>
        <v>186</v>
      </c>
      <c r="D3450" t="str">
        <f>"2"</f>
        <v>2</v>
      </c>
      <c r="E3450" t="str">
        <f>"1-186-2"</f>
        <v>1-186-2</v>
      </c>
      <c r="F3450" t="s">
        <v>15</v>
      </c>
      <c r="G3450" t="s">
        <v>16</v>
      </c>
      <c r="H3450" t="s">
        <v>17</v>
      </c>
      <c r="I3450">
        <v>1</v>
      </c>
      <c r="J3450">
        <v>0</v>
      </c>
      <c r="K3450">
        <v>0</v>
      </c>
    </row>
    <row r="3451" spans="1:11" x14ac:dyDescent="0.25">
      <c r="A3451" t="str">
        <f>"4311"</f>
        <v>4311</v>
      </c>
      <c r="B3451" t="str">
        <f t="shared" si="220"/>
        <v>1</v>
      </c>
      <c r="C3451" t="str">
        <f t="shared" si="223"/>
        <v>186</v>
      </c>
      <c r="D3451" t="str">
        <f>"19"</f>
        <v>19</v>
      </c>
      <c r="E3451" t="str">
        <f>"1-186-19"</f>
        <v>1-186-19</v>
      </c>
      <c r="F3451" t="s">
        <v>15</v>
      </c>
      <c r="G3451" t="s">
        <v>18</v>
      </c>
      <c r="H3451" t="s">
        <v>19</v>
      </c>
      <c r="I3451">
        <v>0</v>
      </c>
      <c r="J3451">
        <v>0</v>
      </c>
      <c r="K3451">
        <v>1</v>
      </c>
    </row>
    <row r="3452" spans="1:11" x14ac:dyDescent="0.25">
      <c r="A3452" t="str">
        <f>"4312"</f>
        <v>4312</v>
      </c>
      <c r="B3452" t="str">
        <f t="shared" si="220"/>
        <v>1</v>
      </c>
      <c r="C3452" t="str">
        <f t="shared" si="223"/>
        <v>186</v>
      </c>
      <c r="D3452" t="str">
        <f>"16"</f>
        <v>16</v>
      </c>
      <c r="E3452" t="str">
        <f>"1-186-16"</f>
        <v>1-186-16</v>
      </c>
      <c r="F3452" t="s">
        <v>15</v>
      </c>
      <c r="G3452" t="s">
        <v>18</v>
      </c>
      <c r="H3452" t="s">
        <v>19</v>
      </c>
      <c r="I3452">
        <v>0</v>
      </c>
      <c r="J3452">
        <v>0</v>
      </c>
      <c r="K3452">
        <v>1</v>
      </c>
    </row>
    <row r="3453" spans="1:11" x14ac:dyDescent="0.25">
      <c r="A3453" t="str">
        <f>"4313"</f>
        <v>4313</v>
      </c>
      <c r="B3453" t="str">
        <f t="shared" si="220"/>
        <v>1</v>
      </c>
      <c r="C3453" t="str">
        <f t="shared" si="223"/>
        <v>186</v>
      </c>
      <c r="D3453" t="str">
        <f>"8"</f>
        <v>8</v>
      </c>
      <c r="E3453" t="str">
        <f>"1-186-8"</f>
        <v>1-186-8</v>
      </c>
      <c r="F3453" t="s">
        <v>15</v>
      </c>
      <c r="G3453" t="s">
        <v>20</v>
      </c>
      <c r="H3453" t="s">
        <v>21</v>
      </c>
      <c r="I3453">
        <v>0</v>
      </c>
      <c r="J3453">
        <v>0</v>
      </c>
      <c r="K3453">
        <v>1</v>
      </c>
    </row>
    <row r="3454" spans="1:11" x14ac:dyDescent="0.25">
      <c r="A3454" t="str">
        <f>"4314"</f>
        <v>4314</v>
      </c>
      <c r="B3454" t="str">
        <f t="shared" ref="B3454:B3493" si="224">"1"</f>
        <v>1</v>
      </c>
      <c r="C3454" t="str">
        <f t="shared" si="223"/>
        <v>186</v>
      </c>
      <c r="D3454" t="str">
        <f>"17"</f>
        <v>17</v>
      </c>
      <c r="E3454" t="str">
        <f>"1-186-17"</f>
        <v>1-186-17</v>
      </c>
      <c r="F3454" t="s">
        <v>15</v>
      </c>
      <c r="G3454" t="s">
        <v>20</v>
      </c>
      <c r="H3454" t="s">
        <v>21</v>
      </c>
      <c r="I3454">
        <v>0</v>
      </c>
      <c r="J3454">
        <v>1</v>
      </c>
      <c r="K3454">
        <v>0</v>
      </c>
    </row>
    <row r="3455" spans="1:11" x14ac:dyDescent="0.25">
      <c r="A3455" t="str">
        <f>"4315"</f>
        <v>4315</v>
      </c>
      <c r="B3455" t="str">
        <f t="shared" si="224"/>
        <v>1</v>
      </c>
      <c r="C3455" t="str">
        <f t="shared" si="223"/>
        <v>186</v>
      </c>
      <c r="D3455" t="str">
        <f>"18"</f>
        <v>18</v>
      </c>
      <c r="E3455" t="str">
        <f>"1-186-18"</f>
        <v>1-186-18</v>
      </c>
      <c r="F3455" t="s">
        <v>15</v>
      </c>
      <c r="G3455" t="s">
        <v>20</v>
      </c>
      <c r="H3455" t="s">
        <v>21</v>
      </c>
      <c r="I3455">
        <v>0</v>
      </c>
      <c r="J3455">
        <v>1</v>
      </c>
      <c r="K3455">
        <v>0</v>
      </c>
    </row>
    <row r="3456" spans="1:11" x14ac:dyDescent="0.25">
      <c r="A3456" t="str">
        <f>"4316"</f>
        <v>4316</v>
      </c>
      <c r="B3456" t="str">
        <f t="shared" si="224"/>
        <v>1</v>
      </c>
      <c r="C3456" t="str">
        <f t="shared" si="223"/>
        <v>186</v>
      </c>
      <c r="D3456" t="str">
        <f>"11"</f>
        <v>11</v>
      </c>
      <c r="E3456" t="str">
        <f>"1-186-11"</f>
        <v>1-186-11</v>
      </c>
      <c r="F3456" t="s">
        <v>15</v>
      </c>
      <c r="G3456" t="s">
        <v>18</v>
      </c>
      <c r="H3456" t="s">
        <v>19</v>
      </c>
      <c r="I3456">
        <v>0</v>
      </c>
      <c r="J3456">
        <v>0</v>
      </c>
      <c r="K3456">
        <v>1</v>
      </c>
    </row>
    <row r="3457" spans="1:11" x14ac:dyDescent="0.25">
      <c r="A3457" t="str">
        <f>"4317"</f>
        <v>4317</v>
      </c>
      <c r="B3457" t="str">
        <f t="shared" si="224"/>
        <v>1</v>
      </c>
      <c r="C3457" t="str">
        <f t="shared" si="223"/>
        <v>186</v>
      </c>
      <c r="D3457" t="str">
        <f>"20"</f>
        <v>20</v>
      </c>
      <c r="E3457" t="str">
        <f>"1-186-20"</f>
        <v>1-186-20</v>
      </c>
      <c r="F3457" t="s">
        <v>15</v>
      </c>
      <c r="G3457" t="s">
        <v>16</v>
      </c>
      <c r="H3457" t="s">
        <v>17</v>
      </c>
      <c r="I3457">
        <v>0</v>
      </c>
      <c r="J3457">
        <v>1</v>
      </c>
      <c r="K3457">
        <v>0</v>
      </c>
    </row>
    <row r="3458" spans="1:11" x14ac:dyDescent="0.25">
      <c r="A3458" t="str">
        <f>"4318"</f>
        <v>4318</v>
      </c>
      <c r="B3458" t="str">
        <f t="shared" si="224"/>
        <v>1</v>
      </c>
      <c r="C3458" t="str">
        <f t="shared" si="223"/>
        <v>186</v>
      </c>
      <c r="D3458" t="str">
        <f>"10"</f>
        <v>10</v>
      </c>
      <c r="E3458" t="str">
        <f>"1-186-10"</f>
        <v>1-186-10</v>
      </c>
      <c r="F3458" t="s">
        <v>15</v>
      </c>
      <c r="G3458" t="s">
        <v>18</v>
      </c>
      <c r="H3458" t="s">
        <v>19</v>
      </c>
      <c r="I3458">
        <v>0</v>
      </c>
      <c r="J3458">
        <v>0</v>
      </c>
      <c r="K3458">
        <v>1</v>
      </c>
    </row>
    <row r="3459" spans="1:11" x14ac:dyDescent="0.25">
      <c r="A3459" t="str">
        <f>"4319"</f>
        <v>4319</v>
      </c>
      <c r="B3459" t="str">
        <f t="shared" si="224"/>
        <v>1</v>
      </c>
      <c r="C3459" t="str">
        <f t="shared" si="223"/>
        <v>186</v>
      </c>
      <c r="D3459" t="str">
        <f>"21"</f>
        <v>21</v>
      </c>
      <c r="E3459" t="str">
        <f>"1-186-21"</f>
        <v>1-186-21</v>
      </c>
      <c r="F3459" t="s">
        <v>15</v>
      </c>
      <c r="G3459" t="s">
        <v>18</v>
      </c>
      <c r="H3459" t="s">
        <v>19</v>
      </c>
      <c r="I3459">
        <v>1</v>
      </c>
      <c r="J3459">
        <v>0</v>
      </c>
      <c r="K3459">
        <v>0</v>
      </c>
    </row>
    <row r="3460" spans="1:11" x14ac:dyDescent="0.25">
      <c r="A3460" t="str">
        <f>"4320"</f>
        <v>4320</v>
      </c>
      <c r="B3460" t="str">
        <f t="shared" si="224"/>
        <v>1</v>
      </c>
      <c r="C3460" t="str">
        <f t="shared" si="223"/>
        <v>186</v>
      </c>
      <c r="D3460" t="str">
        <f>"5"</f>
        <v>5</v>
      </c>
      <c r="E3460" t="str">
        <f>"1-186-5"</f>
        <v>1-186-5</v>
      </c>
      <c r="F3460" t="s">
        <v>15</v>
      </c>
      <c r="G3460" t="s">
        <v>18</v>
      </c>
      <c r="H3460" t="s">
        <v>19</v>
      </c>
      <c r="I3460">
        <v>0</v>
      </c>
      <c r="J3460">
        <v>0</v>
      </c>
      <c r="K3460">
        <v>1</v>
      </c>
    </row>
    <row r="3461" spans="1:11" x14ac:dyDescent="0.25">
      <c r="A3461" t="str">
        <f>"4321"</f>
        <v>4321</v>
      </c>
      <c r="B3461" t="str">
        <f t="shared" si="224"/>
        <v>1</v>
      </c>
      <c r="C3461" t="str">
        <f t="shared" si="223"/>
        <v>186</v>
      </c>
      <c r="D3461" t="str">
        <f>"22"</f>
        <v>22</v>
      </c>
      <c r="E3461" t="str">
        <f>"1-186-22"</f>
        <v>1-186-22</v>
      </c>
      <c r="F3461" t="s">
        <v>15</v>
      </c>
      <c r="G3461" t="s">
        <v>16</v>
      </c>
      <c r="H3461" t="s">
        <v>17</v>
      </c>
      <c r="I3461">
        <v>1</v>
      </c>
      <c r="J3461">
        <v>0</v>
      </c>
      <c r="K3461">
        <v>0</v>
      </c>
    </row>
    <row r="3462" spans="1:11" x14ac:dyDescent="0.25">
      <c r="A3462" t="str">
        <f>"4322"</f>
        <v>4322</v>
      </c>
      <c r="B3462" t="str">
        <f t="shared" si="224"/>
        <v>1</v>
      </c>
      <c r="C3462" t="str">
        <f t="shared" si="223"/>
        <v>186</v>
      </c>
      <c r="D3462" t="str">
        <f>"7"</f>
        <v>7</v>
      </c>
      <c r="E3462" t="str">
        <f>"1-186-7"</f>
        <v>1-186-7</v>
      </c>
      <c r="F3462" t="s">
        <v>15</v>
      </c>
      <c r="G3462" t="s">
        <v>20</v>
      </c>
      <c r="H3462" t="s">
        <v>21</v>
      </c>
      <c r="I3462">
        <v>0</v>
      </c>
      <c r="J3462">
        <v>0</v>
      </c>
      <c r="K3462">
        <v>1</v>
      </c>
    </row>
    <row r="3463" spans="1:11" x14ac:dyDescent="0.25">
      <c r="A3463" t="str">
        <f>"4323"</f>
        <v>4323</v>
      </c>
      <c r="B3463" t="str">
        <f t="shared" si="224"/>
        <v>1</v>
      </c>
      <c r="C3463" t="str">
        <f t="shared" si="223"/>
        <v>186</v>
      </c>
      <c r="D3463" t="str">
        <f>"23"</f>
        <v>23</v>
      </c>
      <c r="E3463" t="str">
        <f>"1-186-23"</f>
        <v>1-186-23</v>
      </c>
      <c r="F3463" t="s">
        <v>15</v>
      </c>
      <c r="G3463" t="s">
        <v>18</v>
      </c>
      <c r="H3463" t="s">
        <v>19</v>
      </c>
      <c r="I3463">
        <v>1</v>
      </c>
      <c r="J3463">
        <v>0</v>
      </c>
      <c r="K3463">
        <v>0</v>
      </c>
    </row>
    <row r="3464" spans="1:11" x14ac:dyDescent="0.25">
      <c r="A3464" t="str">
        <f>"4324"</f>
        <v>4324</v>
      </c>
      <c r="B3464" t="str">
        <f t="shared" si="224"/>
        <v>1</v>
      </c>
      <c r="C3464" t="str">
        <f t="shared" si="223"/>
        <v>186</v>
      </c>
      <c r="D3464" t="str">
        <f>"14"</f>
        <v>14</v>
      </c>
      <c r="E3464" t="str">
        <f>"1-186-14"</f>
        <v>1-186-14</v>
      </c>
      <c r="F3464" t="s">
        <v>15</v>
      </c>
      <c r="G3464" t="s">
        <v>16</v>
      </c>
      <c r="H3464" t="s">
        <v>17</v>
      </c>
      <c r="I3464">
        <v>0</v>
      </c>
      <c r="J3464">
        <v>1</v>
      </c>
      <c r="K3464">
        <v>0</v>
      </c>
    </row>
    <row r="3465" spans="1:11" x14ac:dyDescent="0.25">
      <c r="A3465" t="str">
        <f>"4325"</f>
        <v>4325</v>
      </c>
      <c r="B3465" t="str">
        <f t="shared" si="224"/>
        <v>1</v>
      </c>
      <c r="C3465" t="str">
        <f t="shared" si="223"/>
        <v>186</v>
      </c>
      <c r="D3465" t="str">
        <f>"24"</f>
        <v>24</v>
      </c>
      <c r="E3465" t="str">
        <f>"1-186-24"</f>
        <v>1-186-24</v>
      </c>
      <c r="F3465" t="s">
        <v>15</v>
      </c>
      <c r="G3465" t="s">
        <v>16</v>
      </c>
      <c r="H3465" t="s">
        <v>17</v>
      </c>
      <c r="I3465">
        <v>1</v>
      </c>
      <c r="J3465">
        <v>0</v>
      </c>
      <c r="K3465">
        <v>0</v>
      </c>
    </row>
    <row r="3466" spans="1:11" x14ac:dyDescent="0.25">
      <c r="A3466" t="str">
        <f>"4326"</f>
        <v>4326</v>
      </c>
      <c r="B3466" t="str">
        <f t="shared" si="224"/>
        <v>1</v>
      </c>
      <c r="C3466" t="str">
        <f t="shared" si="223"/>
        <v>186</v>
      </c>
      <c r="D3466" t="str">
        <f>"12"</f>
        <v>12</v>
      </c>
      <c r="E3466" t="str">
        <f>"1-186-12"</f>
        <v>1-186-12</v>
      </c>
      <c r="F3466" t="s">
        <v>15</v>
      </c>
      <c r="G3466" t="s">
        <v>18</v>
      </c>
      <c r="H3466" t="s">
        <v>19</v>
      </c>
      <c r="I3466">
        <v>0</v>
      </c>
      <c r="J3466">
        <v>1</v>
      </c>
      <c r="K3466">
        <v>0</v>
      </c>
    </row>
    <row r="3467" spans="1:11" x14ac:dyDescent="0.25">
      <c r="A3467" t="str">
        <f>"4327"</f>
        <v>4327</v>
      </c>
      <c r="B3467" t="str">
        <f t="shared" si="224"/>
        <v>1</v>
      </c>
      <c r="C3467" t="str">
        <f t="shared" si="223"/>
        <v>186</v>
      </c>
      <c r="D3467" t="str">
        <f>"25"</f>
        <v>25</v>
      </c>
      <c r="E3467" t="str">
        <f>"1-186-25"</f>
        <v>1-186-25</v>
      </c>
      <c r="F3467" t="s">
        <v>15</v>
      </c>
      <c r="G3467" t="s">
        <v>16</v>
      </c>
      <c r="H3467" t="s">
        <v>17</v>
      </c>
      <c r="I3467">
        <v>1</v>
      </c>
      <c r="J3467">
        <v>0</v>
      </c>
      <c r="K3467">
        <v>0</v>
      </c>
    </row>
    <row r="3468" spans="1:11" x14ac:dyDescent="0.25">
      <c r="A3468" t="str">
        <f>"4328"</f>
        <v>4328</v>
      </c>
      <c r="B3468" t="str">
        <f t="shared" si="224"/>
        <v>1</v>
      </c>
      <c r="C3468" t="str">
        <f t="shared" si="223"/>
        <v>186</v>
      </c>
      <c r="D3468" t="str">
        <f>"9"</f>
        <v>9</v>
      </c>
      <c r="E3468" t="str">
        <f>"1-186-9"</f>
        <v>1-186-9</v>
      </c>
      <c r="F3468" t="s">
        <v>15</v>
      </c>
      <c r="G3468" t="s">
        <v>20</v>
      </c>
      <c r="H3468" t="s">
        <v>21</v>
      </c>
      <c r="I3468">
        <v>1</v>
      </c>
      <c r="J3468">
        <v>0</v>
      </c>
      <c r="K3468">
        <v>0</v>
      </c>
    </row>
    <row r="3469" spans="1:11" x14ac:dyDescent="0.25">
      <c r="A3469" t="str">
        <f>"4329"</f>
        <v>4329</v>
      </c>
      <c r="B3469" t="str">
        <f t="shared" si="224"/>
        <v>1</v>
      </c>
      <c r="C3469" t="str">
        <f t="shared" si="223"/>
        <v>186</v>
      </c>
      <c r="D3469" t="str">
        <f>"4"</f>
        <v>4</v>
      </c>
      <c r="E3469" t="str">
        <f>"1-186-4"</f>
        <v>1-186-4</v>
      </c>
      <c r="F3469" t="s">
        <v>15</v>
      </c>
      <c r="G3469" t="s">
        <v>16</v>
      </c>
      <c r="H3469" t="s">
        <v>17</v>
      </c>
      <c r="I3469">
        <v>0</v>
      </c>
      <c r="J3469">
        <v>0</v>
      </c>
      <c r="K3469">
        <v>1</v>
      </c>
    </row>
    <row r="3470" spans="1:11" x14ac:dyDescent="0.25">
      <c r="A3470" t="str">
        <f>"4330"</f>
        <v>4330</v>
      </c>
      <c r="B3470" t="str">
        <f t="shared" si="224"/>
        <v>1</v>
      </c>
      <c r="C3470" t="str">
        <f t="shared" si="223"/>
        <v>186</v>
      </c>
      <c r="D3470" t="str">
        <f>"3"</f>
        <v>3</v>
      </c>
      <c r="E3470" t="str">
        <f>"1-186-3"</f>
        <v>1-186-3</v>
      </c>
      <c r="F3470" t="s">
        <v>15</v>
      </c>
      <c r="G3470" t="s">
        <v>16</v>
      </c>
      <c r="H3470" t="s">
        <v>17</v>
      </c>
      <c r="I3470">
        <v>1</v>
      </c>
      <c r="J3470">
        <v>0</v>
      </c>
      <c r="K3470">
        <v>0</v>
      </c>
    </row>
    <row r="3471" spans="1:11" x14ac:dyDescent="0.25">
      <c r="A3471" t="str">
        <f>"4331"</f>
        <v>4331</v>
      </c>
      <c r="B3471" t="str">
        <f t="shared" si="224"/>
        <v>1</v>
      </c>
      <c r="C3471" t="str">
        <f t="shared" si="223"/>
        <v>186</v>
      </c>
      <c r="D3471" t="str">
        <f>"13"</f>
        <v>13</v>
      </c>
      <c r="E3471" t="str">
        <f>"1-186-13"</f>
        <v>1-186-13</v>
      </c>
      <c r="F3471" t="s">
        <v>15</v>
      </c>
      <c r="G3471" t="s">
        <v>20</v>
      </c>
      <c r="H3471" t="s">
        <v>21</v>
      </c>
      <c r="I3471">
        <v>1</v>
      </c>
      <c r="J3471">
        <v>0</v>
      </c>
      <c r="K3471">
        <v>0</v>
      </c>
    </row>
    <row r="3472" spans="1:11" x14ac:dyDescent="0.25">
      <c r="A3472" t="str">
        <f>"4332"</f>
        <v>4332</v>
      </c>
      <c r="B3472" t="str">
        <f t="shared" si="224"/>
        <v>1</v>
      </c>
      <c r="C3472" t="str">
        <f t="shared" si="223"/>
        <v>186</v>
      </c>
      <c r="D3472" t="str">
        <f>"6"</f>
        <v>6</v>
      </c>
      <c r="E3472" t="str">
        <f>"1-186-6"</f>
        <v>1-186-6</v>
      </c>
      <c r="F3472" t="s">
        <v>15</v>
      </c>
      <c r="G3472" t="s">
        <v>20</v>
      </c>
      <c r="H3472" t="s">
        <v>21</v>
      </c>
      <c r="I3472">
        <v>1</v>
      </c>
      <c r="J3472">
        <v>0</v>
      </c>
      <c r="K3472">
        <v>0</v>
      </c>
    </row>
    <row r="3473" spans="1:11" x14ac:dyDescent="0.25">
      <c r="A3473" t="str">
        <f>"4333"</f>
        <v>4333</v>
      </c>
      <c r="B3473" t="str">
        <f t="shared" si="224"/>
        <v>1</v>
      </c>
      <c r="C3473" t="str">
        <f t="shared" si="223"/>
        <v>186</v>
      </c>
      <c r="D3473" t="str">
        <f>"1"</f>
        <v>1</v>
      </c>
      <c r="E3473" t="str">
        <f>"1-186-1"</f>
        <v>1-186-1</v>
      </c>
      <c r="F3473" t="s">
        <v>15</v>
      </c>
      <c r="G3473" t="s">
        <v>16</v>
      </c>
      <c r="H3473" t="s">
        <v>17</v>
      </c>
      <c r="I3473">
        <v>0</v>
      </c>
      <c r="J3473">
        <v>0</v>
      </c>
      <c r="K3473">
        <v>0</v>
      </c>
    </row>
    <row r="3474" spans="1:11" x14ac:dyDescent="0.25">
      <c r="A3474" t="str">
        <f>"4334"</f>
        <v>4334</v>
      </c>
      <c r="B3474" t="str">
        <f t="shared" si="224"/>
        <v>1</v>
      </c>
      <c r="C3474" t="str">
        <f t="shared" ref="C3474:C3493" si="225">"187"</f>
        <v>187</v>
      </c>
      <c r="D3474" t="str">
        <f>"20"</f>
        <v>20</v>
      </c>
      <c r="E3474" t="str">
        <f>"1-187-20"</f>
        <v>1-187-20</v>
      </c>
      <c r="F3474" t="s">
        <v>15</v>
      </c>
      <c r="G3474" t="s">
        <v>16</v>
      </c>
      <c r="H3474" t="s">
        <v>17</v>
      </c>
      <c r="I3474">
        <v>0</v>
      </c>
      <c r="J3474">
        <v>1</v>
      </c>
      <c r="K3474">
        <v>0</v>
      </c>
    </row>
    <row r="3475" spans="1:11" x14ac:dyDescent="0.25">
      <c r="A3475" t="str">
        <f>"4335"</f>
        <v>4335</v>
      </c>
      <c r="B3475" t="str">
        <f t="shared" si="224"/>
        <v>1</v>
      </c>
      <c r="C3475" t="str">
        <f t="shared" si="225"/>
        <v>187</v>
      </c>
      <c r="D3475" t="str">
        <f>"15"</f>
        <v>15</v>
      </c>
      <c r="E3475" t="str">
        <f>"1-187-15"</f>
        <v>1-187-15</v>
      </c>
      <c r="F3475" t="s">
        <v>15</v>
      </c>
      <c r="G3475" t="s">
        <v>16</v>
      </c>
      <c r="H3475" t="s">
        <v>17</v>
      </c>
      <c r="I3475">
        <v>1</v>
      </c>
      <c r="J3475">
        <v>0</v>
      </c>
      <c r="K3475">
        <v>0</v>
      </c>
    </row>
    <row r="3476" spans="1:11" x14ac:dyDescent="0.25">
      <c r="A3476" t="str">
        <f>"4336"</f>
        <v>4336</v>
      </c>
      <c r="B3476" t="str">
        <f t="shared" si="224"/>
        <v>1</v>
      </c>
      <c r="C3476" t="str">
        <f t="shared" si="225"/>
        <v>187</v>
      </c>
      <c r="D3476" t="str">
        <f>"5"</f>
        <v>5</v>
      </c>
      <c r="E3476" t="str">
        <f>"1-187-5"</f>
        <v>1-187-5</v>
      </c>
      <c r="F3476" t="s">
        <v>15</v>
      </c>
      <c r="G3476" t="s">
        <v>16</v>
      </c>
      <c r="H3476" t="s">
        <v>17</v>
      </c>
      <c r="I3476">
        <v>0</v>
      </c>
      <c r="J3476">
        <v>1</v>
      </c>
      <c r="K3476">
        <v>0</v>
      </c>
    </row>
    <row r="3477" spans="1:11" x14ac:dyDescent="0.25">
      <c r="A3477" t="str">
        <f>"4337"</f>
        <v>4337</v>
      </c>
      <c r="B3477" t="str">
        <f t="shared" si="224"/>
        <v>1</v>
      </c>
      <c r="C3477" t="str">
        <f t="shared" si="225"/>
        <v>187</v>
      </c>
      <c r="D3477" t="str">
        <f>"16"</f>
        <v>16</v>
      </c>
      <c r="E3477" t="str">
        <f>"1-187-16"</f>
        <v>1-187-16</v>
      </c>
      <c r="F3477" t="s">
        <v>15</v>
      </c>
      <c r="G3477" t="s">
        <v>16</v>
      </c>
      <c r="H3477" t="s">
        <v>17</v>
      </c>
      <c r="I3477">
        <v>1</v>
      </c>
      <c r="J3477">
        <v>0</v>
      </c>
      <c r="K3477">
        <v>0</v>
      </c>
    </row>
    <row r="3478" spans="1:11" x14ac:dyDescent="0.25">
      <c r="A3478" t="str">
        <f>"4338"</f>
        <v>4338</v>
      </c>
      <c r="B3478" t="str">
        <f t="shared" si="224"/>
        <v>1</v>
      </c>
      <c r="C3478" t="str">
        <f t="shared" si="225"/>
        <v>187</v>
      </c>
      <c r="D3478" t="str">
        <f>"4"</f>
        <v>4</v>
      </c>
      <c r="E3478" t="str">
        <f>"1-187-4"</f>
        <v>1-187-4</v>
      </c>
      <c r="F3478" t="s">
        <v>15</v>
      </c>
      <c r="G3478" t="s">
        <v>16</v>
      </c>
      <c r="H3478" t="s">
        <v>17</v>
      </c>
      <c r="I3478">
        <v>0</v>
      </c>
      <c r="J3478">
        <v>0</v>
      </c>
      <c r="K3478">
        <v>1</v>
      </c>
    </row>
    <row r="3479" spans="1:11" x14ac:dyDescent="0.25">
      <c r="A3479" t="str">
        <f>"4339"</f>
        <v>4339</v>
      </c>
      <c r="B3479" t="str">
        <f t="shared" si="224"/>
        <v>1</v>
      </c>
      <c r="C3479" t="str">
        <f t="shared" si="225"/>
        <v>187</v>
      </c>
      <c r="D3479" t="str">
        <f>"17"</f>
        <v>17</v>
      </c>
      <c r="E3479" t="str">
        <f>"1-187-17"</f>
        <v>1-187-17</v>
      </c>
      <c r="F3479" t="s">
        <v>15</v>
      </c>
      <c r="G3479" t="s">
        <v>16</v>
      </c>
      <c r="H3479" t="s">
        <v>17</v>
      </c>
      <c r="I3479">
        <v>0</v>
      </c>
      <c r="J3479">
        <v>0</v>
      </c>
      <c r="K3479">
        <v>1</v>
      </c>
    </row>
    <row r="3480" spans="1:11" x14ac:dyDescent="0.25">
      <c r="A3480" t="str">
        <f>"4340"</f>
        <v>4340</v>
      </c>
      <c r="B3480" t="str">
        <f t="shared" si="224"/>
        <v>1</v>
      </c>
      <c r="C3480" t="str">
        <f t="shared" si="225"/>
        <v>187</v>
      </c>
      <c r="D3480" t="str">
        <f>"18"</f>
        <v>18</v>
      </c>
      <c r="E3480" t="str">
        <f>"1-187-18"</f>
        <v>1-187-18</v>
      </c>
      <c r="F3480" t="s">
        <v>15</v>
      </c>
      <c r="G3480" t="s">
        <v>16</v>
      </c>
      <c r="H3480" t="s">
        <v>17</v>
      </c>
      <c r="I3480">
        <v>1</v>
      </c>
      <c r="J3480">
        <v>0</v>
      </c>
      <c r="K3480">
        <v>0</v>
      </c>
    </row>
    <row r="3481" spans="1:11" x14ac:dyDescent="0.25">
      <c r="A3481" t="str">
        <f>"4341"</f>
        <v>4341</v>
      </c>
      <c r="B3481" t="str">
        <f t="shared" si="224"/>
        <v>1</v>
      </c>
      <c r="C3481" t="str">
        <f t="shared" si="225"/>
        <v>187</v>
      </c>
      <c r="D3481" t="str">
        <f>"13"</f>
        <v>13</v>
      </c>
      <c r="E3481" t="str">
        <f>"1-187-13"</f>
        <v>1-187-13</v>
      </c>
      <c r="F3481" t="s">
        <v>15</v>
      </c>
      <c r="G3481" t="s">
        <v>16</v>
      </c>
      <c r="H3481" t="s">
        <v>17</v>
      </c>
      <c r="I3481">
        <v>1</v>
      </c>
      <c r="J3481">
        <v>0</v>
      </c>
      <c r="K3481">
        <v>0</v>
      </c>
    </row>
    <row r="3482" spans="1:11" x14ac:dyDescent="0.25">
      <c r="A3482" t="str">
        <f>"4342"</f>
        <v>4342</v>
      </c>
      <c r="B3482" t="str">
        <f t="shared" si="224"/>
        <v>1</v>
      </c>
      <c r="C3482" t="str">
        <f t="shared" si="225"/>
        <v>187</v>
      </c>
      <c r="D3482" t="str">
        <f>"19"</f>
        <v>19</v>
      </c>
      <c r="E3482" t="str">
        <f>"1-187-19"</f>
        <v>1-187-19</v>
      </c>
      <c r="F3482" t="s">
        <v>15</v>
      </c>
      <c r="G3482" t="s">
        <v>16</v>
      </c>
      <c r="H3482" t="s">
        <v>17</v>
      </c>
      <c r="I3482">
        <v>0</v>
      </c>
      <c r="J3482">
        <v>1</v>
      </c>
      <c r="K3482">
        <v>0</v>
      </c>
    </row>
    <row r="3483" spans="1:11" x14ac:dyDescent="0.25">
      <c r="A3483" t="str">
        <f>"4343"</f>
        <v>4343</v>
      </c>
      <c r="B3483" t="str">
        <f t="shared" si="224"/>
        <v>1</v>
      </c>
      <c r="C3483" t="str">
        <f t="shared" si="225"/>
        <v>187</v>
      </c>
      <c r="D3483" t="str">
        <f>"12"</f>
        <v>12</v>
      </c>
      <c r="E3483" t="str">
        <f>"1-187-12"</f>
        <v>1-187-12</v>
      </c>
      <c r="F3483" t="s">
        <v>15</v>
      </c>
      <c r="G3483" t="s">
        <v>16</v>
      </c>
      <c r="H3483" t="s">
        <v>17</v>
      </c>
      <c r="I3483">
        <v>1</v>
      </c>
      <c r="J3483">
        <v>0</v>
      </c>
      <c r="K3483">
        <v>0</v>
      </c>
    </row>
    <row r="3484" spans="1:11" x14ac:dyDescent="0.25">
      <c r="A3484" t="str">
        <f>"4344"</f>
        <v>4344</v>
      </c>
      <c r="B3484" t="str">
        <f t="shared" si="224"/>
        <v>1</v>
      </c>
      <c r="C3484" t="str">
        <f t="shared" si="225"/>
        <v>187</v>
      </c>
      <c r="D3484" t="str">
        <f>"6"</f>
        <v>6</v>
      </c>
      <c r="E3484" t="str">
        <f>"1-187-6"</f>
        <v>1-187-6</v>
      </c>
      <c r="F3484" t="s">
        <v>15</v>
      </c>
      <c r="G3484" t="s">
        <v>16</v>
      </c>
      <c r="H3484" t="s">
        <v>17</v>
      </c>
      <c r="I3484">
        <v>1</v>
      </c>
      <c r="J3484">
        <v>0</v>
      </c>
      <c r="K3484">
        <v>0</v>
      </c>
    </row>
    <row r="3485" spans="1:11" x14ac:dyDescent="0.25">
      <c r="A3485" t="str">
        <f>"4345"</f>
        <v>4345</v>
      </c>
      <c r="B3485" t="str">
        <f t="shared" si="224"/>
        <v>1</v>
      </c>
      <c r="C3485" t="str">
        <f t="shared" si="225"/>
        <v>187</v>
      </c>
      <c r="D3485" t="str">
        <f>"14"</f>
        <v>14</v>
      </c>
      <c r="E3485" t="str">
        <f>"1-187-14"</f>
        <v>1-187-14</v>
      </c>
      <c r="F3485" t="s">
        <v>15</v>
      </c>
      <c r="G3485" t="s">
        <v>16</v>
      </c>
      <c r="H3485" t="s">
        <v>17</v>
      </c>
      <c r="I3485">
        <v>1</v>
      </c>
      <c r="J3485">
        <v>0</v>
      </c>
      <c r="K3485">
        <v>0</v>
      </c>
    </row>
    <row r="3486" spans="1:11" x14ac:dyDescent="0.25">
      <c r="A3486" t="str">
        <f>"4346"</f>
        <v>4346</v>
      </c>
      <c r="B3486" t="str">
        <f t="shared" si="224"/>
        <v>1</v>
      </c>
      <c r="C3486" t="str">
        <f t="shared" si="225"/>
        <v>187</v>
      </c>
      <c r="D3486" t="str">
        <f>"8"</f>
        <v>8</v>
      </c>
      <c r="E3486" t="str">
        <f>"1-187-8"</f>
        <v>1-187-8</v>
      </c>
      <c r="F3486" t="s">
        <v>15</v>
      </c>
      <c r="G3486" t="s">
        <v>18</v>
      </c>
      <c r="H3486" t="s">
        <v>19</v>
      </c>
      <c r="I3486">
        <v>1</v>
      </c>
      <c r="J3486">
        <v>0</v>
      </c>
      <c r="K3486">
        <v>0</v>
      </c>
    </row>
    <row r="3487" spans="1:11" x14ac:dyDescent="0.25">
      <c r="A3487" t="str">
        <f>"4347"</f>
        <v>4347</v>
      </c>
      <c r="B3487" t="str">
        <f t="shared" si="224"/>
        <v>1</v>
      </c>
      <c r="C3487" t="str">
        <f t="shared" si="225"/>
        <v>187</v>
      </c>
      <c r="D3487" t="str">
        <f>"11"</f>
        <v>11</v>
      </c>
      <c r="E3487" t="str">
        <f>"1-187-11"</f>
        <v>1-187-11</v>
      </c>
      <c r="F3487" t="s">
        <v>15</v>
      </c>
      <c r="G3487" t="s">
        <v>16</v>
      </c>
      <c r="H3487" t="s">
        <v>17</v>
      </c>
      <c r="I3487">
        <v>0</v>
      </c>
      <c r="J3487">
        <v>0</v>
      </c>
      <c r="K3487">
        <v>1</v>
      </c>
    </row>
    <row r="3488" spans="1:11" x14ac:dyDescent="0.25">
      <c r="A3488" t="str">
        <f>"4348"</f>
        <v>4348</v>
      </c>
      <c r="B3488" t="str">
        <f t="shared" si="224"/>
        <v>1</v>
      </c>
      <c r="C3488" t="str">
        <f t="shared" si="225"/>
        <v>187</v>
      </c>
      <c r="D3488" t="str">
        <f>"2"</f>
        <v>2</v>
      </c>
      <c r="E3488" t="str">
        <f>"1-187-2"</f>
        <v>1-187-2</v>
      </c>
      <c r="F3488" t="s">
        <v>15</v>
      </c>
      <c r="G3488" t="s">
        <v>16</v>
      </c>
      <c r="H3488" t="s">
        <v>17</v>
      </c>
      <c r="I3488">
        <v>0</v>
      </c>
      <c r="J3488">
        <v>0</v>
      </c>
      <c r="K3488">
        <v>1</v>
      </c>
    </row>
    <row r="3489" spans="1:11" x14ac:dyDescent="0.25">
      <c r="A3489" t="str">
        <f>"4349"</f>
        <v>4349</v>
      </c>
      <c r="B3489" t="str">
        <f t="shared" si="224"/>
        <v>1</v>
      </c>
      <c r="C3489" t="str">
        <f t="shared" si="225"/>
        <v>187</v>
      </c>
      <c r="D3489" t="str">
        <f>"10"</f>
        <v>10</v>
      </c>
      <c r="E3489" t="str">
        <f>"1-187-10"</f>
        <v>1-187-10</v>
      </c>
      <c r="F3489" t="s">
        <v>15</v>
      </c>
      <c r="G3489" t="s">
        <v>18</v>
      </c>
      <c r="H3489" t="s">
        <v>19</v>
      </c>
      <c r="I3489">
        <v>1</v>
      </c>
      <c r="J3489">
        <v>0</v>
      </c>
      <c r="K3489">
        <v>0</v>
      </c>
    </row>
    <row r="3490" spans="1:11" x14ac:dyDescent="0.25">
      <c r="A3490" t="str">
        <f>"4350"</f>
        <v>4350</v>
      </c>
      <c r="B3490" t="str">
        <f t="shared" si="224"/>
        <v>1</v>
      </c>
      <c r="C3490" t="str">
        <f t="shared" si="225"/>
        <v>187</v>
      </c>
      <c r="D3490" t="str">
        <f>"3"</f>
        <v>3</v>
      </c>
      <c r="E3490" t="str">
        <f>"1-187-3"</f>
        <v>1-187-3</v>
      </c>
      <c r="F3490" t="s">
        <v>15</v>
      </c>
      <c r="G3490" t="s">
        <v>16</v>
      </c>
      <c r="H3490" t="s">
        <v>17</v>
      </c>
      <c r="I3490">
        <v>0</v>
      </c>
      <c r="J3490">
        <v>0</v>
      </c>
      <c r="K3490">
        <v>1</v>
      </c>
    </row>
    <row r="3491" spans="1:11" x14ac:dyDescent="0.25">
      <c r="A3491" t="str">
        <f>"4351"</f>
        <v>4351</v>
      </c>
      <c r="B3491" t="str">
        <f t="shared" si="224"/>
        <v>1</v>
      </c>
      <c r="C3491" t="str">
        <f t="shared" si="225"/>
        <v>187</v>
      </c>
      <c r="D3491" t="str">
        <f>"9"</f>
        <v>9</v>
      </c>
      <c r="E3491" t="str">
        <f>"1-187-9"</f>
        <v>1-187-9</v>
      </c>
      <c r="F3491" t="s">
        <v>15</v>
      </c>
      <c r="G3491" t="s">
        <v>16</v>
      </c>
      <c r="H3491" t="s">
        <v>17</v>
      </c>
      <c r="I3491">
        <v>0</v>
      </c>
      <c r="J3491">
        <v>0</v>
      </c>
      <c r="K3491">
        <v>1</v>
      </c>
    </row>
    <row r="3492" spans="1:11" x14ac:dyDescent="0.25">
      <c r="A3492" t="str">
        <f>"4352"</f>
        <v>4352</v>
      </c>
      <c r="B3492" t="str">
        <f t="shared" si="224"/>
        <v>1</v>
      </c>
      <c r="C3492" t="str">
        <f t="shared" si="225"/>
        <v>187</v>
      </c>
      <c r="D3492" t="str">
        <f>"1"</f>
        <v>1</v>
      </c>
      <c r="E3492" t="str">
        <f>"1-187-1"</f>
        <v>1-187-1</v>
      </c>
      <c r="F3492" t="s">
        <v>15</v>
      </c>
      <c r="G3492" t="s">
        <v>16</v>
      </c>
      <c r="H3492" t="s">
        <v>17</v>
      </c>
      <c r="I3492">
        <v>0</v>
      </c>
      <c r="J3492">
        <v>0</v>
      </c>
      <c r="K3492">
        <v>0</v>
      </c>
    </row>
    <row r="3493" spans="1:11" x14ac:dyDescent="0.25">
      <c r="A3493" t="str">
        <f>"4353"</f>
        <v>4353</v>
      </c>
      <c r="B3493" t="str">
        <f t="shared" si="224"/>
        <v>1</v>
      </c>
      <c r="C3493" t="str">
        <f t="shared" si="225"/>
        <v>187</v>
      </c>
      <c r="D3493" t="str">
        <f>"7"</f>
        <v>7</v>
      </c>
      <c r="E3493" t="str">
        <f>"1-187-7"</f>
        <v>1-187-7</v>
      </c>
      <c r="F3493" t="s">
        <v>15</v>
      </c>
      <c r="G3493" t="s">
        <v>16</v>
      </c>
      <c r="H3493" t="s">
        <v>17</v>
      </c>
      <c r="I3493">
        <v>0</v>
      </c>
      <c r="J3493">
        <v>0</v>
      </c>
      <c r="K3493">
        <v>0</v>
      </c>
    </row>
    <row r="3494" spans="1:11" x14ac:dyDescent="0.25">
      <c r="A3494" t="str">
        <f>"4400"</f>
        <v>4400</v>
      </c>
      <c r="B3494" t="str">
        <f t="shared" ref="B3494:B3507" si="226">"1"</f>
        <v>1</v>
      </c>
      <c r="C3494" t="str">
        <f>"192"</f>
        <v>192</v>
      </c>
      <c r="D3494" t="str">
        <f>"1"</f>
        <v>1</v>
      </c>
      <c r="E3494" t="str">
        <f>"1-192-1"</f>
        <v>1-192-1</v>
      </c>
      <c r="F3494" t="s">
        <v>15</v>
      </c>
      <c r="G3494" t="s">
        <v>16</v>
      </c>
      <c r="H3494" t="s">
        <v>17</v>
      </c>
      <c r="I3494">
        <v>1</v>
      </c>
      <c r="J3494">
        <v>0</v>
      </c>
      <c r="K3494">
        <v>0</v>
      </c>
    </row>
    <row r="3495" spans="1:11" x14ac:dyDescent="0.25">
      <c r="A3495" t="str">
        <f>"4401"</f>
        <v>4401</v>
      </c>
      <c r="B3495" t="str">
        <f t="shared" si="226"/>
        <v>1</v>
      </c>
      <c r="C3495" t="str">
        <f>"192"</f>
        <v>192</v>
      </c>
      <c r="D3495" t="str">
        <f>"2"</f>
        <v>2</v>
      </c>
      <c r="E3495" t="str">
        <f>"1-192-2"</f>
        <v>1-192-2</v>
      </c>
      <c r="F3495" t="s">
        <v>15</v>
      </c>
      <c r="G3495" t="s">
        <v>16</v>
      </c>
      <c r="H3495" t="s">
        <v>17</v>
      </c>
      <c r="I3495">
        <v>1</v>
      </c>
      <c r="J3495">
        <v>0</v>
      </c>
      <c r="K3495">
        <v>0</v>
      </c>
    </row>
    <row r="3496" spans="1:11" x14ac:dyDescent="0.25">
      <c r="A3496" t="str">
        <f>"4430"</f>
        <v>4430</v>
      </c>
      <c r="B3496" t="str">
        <f t="shared" si="226"/>
        <v>1</v>
      </c>
      <c r="C3496" t="str">
        <f t="shared" ref="C3496:C3520" si="227">"195"</f>
        <v>195</v>
      </c>
      <c r="D3496" t="str">
        <f>"24"</f>
        <v>24</v>
      </c>
      <c r="E3496" t="str">
        <f>"1-195-24"</f>
        <v>1-195-24</v>
      </c>
      <c r="F3496" t="s">
        <v>15</v>
      </c>
      <c r="G3496" t="s">
        <v>18</v>
      </c>
      <c r="H3496" t="s">
        <v>19</v>
      </c>
      <c r="I3496">
        <v>1</v>
      </c>
      <c r="J3496">
        <v>0</v>
      </c>
      <c r="K3496">
        <v>0</v>
      </c>
    </row>
    <row r="3497" spans="1:11" x14ac:dyDescent="0.25">
      <c r="A3497" t="str">
        <f>"4431"</f>
        <v>4431</v>
      </c>
      <c r="B3497" t="str">
        <f t="shared" si="226"/>
        <v>1</v>
      </c>
      <c r="C3497" t="str">
        <f t="shared" si="227"/>
        <v>195</v>
      </c>
      <c r="D3497" t="str">
        <f>"23"</f>
        <v>23</v>
      </c>
      <c r="E3497" t="str">
        <f>"1-195-23"</f>
        <v>1-195-23</v>
      </c>
      <c r="F3497" t="s">
        <v>15</v>
      </c>
      <c r="G3497" t="s">
        <v>16</v>
      </c>
      <c r="H3497" t="s">
        <v>17</v>
      </c>
      <c r="I3497">
        <v>0</v>
      </c>
      <c r="J3497">
        <v>0</v>
      </c>
      <c r="K3497">
        <v>1</v>
      </c>
    </row>
    <row r="3498" spans="1:11" x14ac:dyDescent="0.25">
      <c r="A3498" t="str">
        <f>"4432"</f>
        <v>4432</v>
      </c>
      <c r="B3498" t="str">
        <f t="shared" si="226"/>
        <v>1</v>
      </c>
      <c r="C3498" t="str">
        <f t="shared" si="227"/>
        <v>195</v>
      </c>
      <c r="D3498" t="str">
        <f>"17"</f>
        <v>17</v>
      </c>
      <c r="E3498" t="str">
        <f>"1-195-17"</f>
        <v>1-195-17</v>
      </c>
      <c r="F3498" t="s">
        <v>15</v>
      </c>
      <c r="G3498" t="s">
        <v>16</v>
      </c>
      <c r="H3498" t="s">
        <v>17</v>
      </c>
      <c r="I3498">
        <v>0</v>
      </c>
      <c r="J3498">
        <v>1</v>
      </c>
      <c r="K3498">
        <v>0</v>
      </c>
    </row>
    <row r="3499" spans="1:11" x14ac:dyDescent="0.25">
      <c r="A3499" t="str">
        <f>"4433"</f>
        <v>4433</v>
      </c>
      <c r="B3499" t="str">
        <f t="shared" si="226"/>
        <v>1</v>
      </c>
      <c r="C3499" t="str">
        <f t="shared" si="227"/>
        <v>195</v>
      </c>
      <c r="D3499" t="str">
        <f>"15"</f>
        <v>15</v>
      </c>
      <c r="E3499" t="str">
        <f>"1-195-15"</f>
        <v>1-195-15</v>
      </c>
      <c r="F3499" t="s">
        <v>15</v>
      </c>
      <c r="G3499" t="s">
        <v>16</v>
      </c>
      <c r="H3499" t="s">
        <v>17</v>
      </c>
      <c r="I3499">
        <v>1</v>
      </c>
      <c r="J3499">
        <v>0</v>
      </c>
      <c r="K3499">
        <v>0</v>
      </c>
    </row>
    <row r="3500" spans="1:11" x14ac:dyDescent="0.25">
      <c r="A3500" t="str">
        <f>"4434"</f>
        <v>4434</v>
      </c>
      <c r="B3500" t="str">
        <f t="shared" si="226"/>
        <v>1</v>
      </c>
      <c r="C3500" t="str">
        <f t="shared" si="227"/>
        <v>195</v>
      </c>
      <c r="D3500" t="str">
        <f>"1"</f>
        <v>1</v>
      </c>
      <c r="E3500" t="str">
        <f>"1-195-1"</f>
        <v>1-195-1</v>
      </c>
      <c r="F3500" t="s">
        <v>15</v>
      </c>
      <c r="G3500" t="s">
        <v>16</v>
      </c>
      <c r="H3500" t="s">
        <v>17</v>
      </c>
      <c r="I3500">
        <v>0</v>
      </c>
      <c r="J3500">
        <v>1</v>
      </c>
      <c r="K3500">
        <v>0</v>
      </c>
    </row>
    <row r="3501" spans="1:11" x14ac:dyDescent="0.25">
      <c r="A3501" t="str">
        <f>"4435"</f>
        <v>4435</v>
      </c>
      <c r="B3501" t="str">
        <f t="shared" si="226"/>
        <v>1</v>
      </c>
      <c r="C3501" t="str">
        <f t="shared" si="227"/>
        <v>195</v>
      </c>
      <c r="D3501" t="str">
        <f>"19"</f>
        <v>19</v>
      </c>
      <c r="E3501" t="str">
        <f>"1-195-19"</f>
        <v>1-195-19</v>
      </c>
      <c r="F3501" t="s">
        <v>15</v>
      </c>
      <c r="G3501" t="s">
        <v>16</v>
      </c>
      <c r="H3501" t="s">
        <v>17</v>
      </c>
      <c r="I3501">
        <v>1</v>
      </c>
      <c r="J3501">
        <v>0</v>
      </c>
      <c r="K3501">
        <v>0</v>
      </c>
    </row>
    <row r="3502" spans="1:11" x14ac:dyDescent="0.25">
      <c r="A3502" t="str">
        <f>"4436"</f>
        <v>4436</v>
      </c>
      <c r="B3502" t="str">
        <f t="shared" si="226"/>
        <v>1</v>
      </c>
      <c r="C3502" t="str">
        <f t="shared" si="227"/>
        <v>195</v>
      </c>
      <c r="D3502" t="str">
        <f>"16"</f>
        <v>16</v>
      </c>
      <c r="E3502" t="str">
        <f>"1-195-16"</f>
        <v>1-195-16</v>
      </c>
      <c r="F3502" t="s">
        <v>15</v>
      </c>
      <c r="G3502" t="s">
        <v>16</v>
      </c>
      <c r="H3502" t="s">
        <v>17</v>
      </c>
      <c r="I3502">
        <v>1</v>
      </c>
      <c r="J3502">
        <v>0</v>
      </c>
      <c r="K3502">
        <v>0</v>
      </c>
    </row>
    <row r="3503" spans="1:11" x14ac:dyDescent="0.25">
      <c r="A3503" t="str">
        <f>"4437"</f>
        <v>4437</v>
      </c>
      <c r="B3503" t="str">
        <f t="shared" si="226"/>
        <v>1</v>
      </c>
      <c r="C3503" t="str">
        <f t="shared" si="227"/>
        <v>195</v>
      </c>
      <c r="D3503" t="str">
        <f>"6"</f>
        <v>6</v>
      </c>
      <c r="E3503" t="str">
        <f>"1-195-6"</f>
        <v>1-195-6</v>
      </c>
      <c r="F3503" t="s">
        <v>15</v>
      </c>
      <c r="G3503" t="s">
        <v>18</v>
      </c>
      <c r="H3503" t="s">
        <v>19</v>
      </c>
      <c r="I3503">
        <v>0</v>
      </c>
      <c r="J3503">
        <v>0</v>
      </c>
      <c r="K3503">
        <v>1</v>
      </c>
    </row>
    <row r="3504" spans="1:11" x14ac:dyDescent="0.25">
      <c r="A3504" t="str">
        <f>"4438"</f>
        <v>4438</v>
      </c>
      <c r="B3504" t="str">
        <f t="shared" si="226"/>
        <v>1</v>
      </c>
      <c r="C3504" t="str">
        <f t="shared" si="227"/>
        <v>195</v>
      </c>
      <c r="D3504" t="str">
        <f>"18"</f>
        <v>18</v>
      </c>
      <c r="E3504" t="str">
        <f>"1-195-18"</f>
        <v>1-195-18</v>
      </c>
      <c r="F3504" t="s">
        <v>15</v>
      </c>
      <c r="G3504" t="s">
        <v>18</v>
      </c>
      <c r="H3504" t="s">
        <v>19</v>
      </c>
      <c r="I3504">
        <v>1</v>
      </c>
      <c r="J3504">
        <v>0</v>
      </c>
      <c r="K3504">
        <v>0</v>
      </c>
    </row>
    <row r="3505" spans="1:11" x14ac:dyDescent="0.25">
      <c r="A3505" t="str">
        <f>"4439"</f>
        <v>4439</v>
      </c>
      <c r="B3505" t="str">
        <f t="shared" si="226"/>
        <v>1</v>
      </c>
      <c r="C3505" t="str">
        <f t="shared" si="227"/>
        <v>195</v>
      </c>
      <c r="D3505" t="str">
        <f>"2"</f>
        <v>2</v>
      </c>
      <c r="E3505" t="str">
        <f>"1-195-2"</f>
        <v>1-195-2</v>
      </c>
      <c r="F3505" t="s">
        <v>15</v>
      </c>
      <c r="G3505" t="s">
        <v>16</v>
      </c>
      <c r="H3505" t="s">
        <v>17</v>
      </c>
      <c r="I3505">
        <v>0</v>
      </c>
      <c r="J3505">
        <v>1</v>
      </c>
      <c r="K3505">
        <v>0</v>
      </c>
    </row>
    <row r="3506" spans="1:11" x14ac:dyDescent="0.25">
      <c r="A3506" t="str">
        <f>"4440"</f>
        <v>4440</v>
      </c>
      <c r="B3506" t="str">
        <f t="shared" si="226"/>
        <v>1</v>
      </c>
      <c r="C3506" t="str">
        <f t="shared" si="227"/>
        <v>195</v>
      </c>
      <c r="D3506" t="str">
        <f>"20"</f>
        <v>20</v>
      </c>
      <c r="E3506" t="str">
        <f>"1-195-20"</f>
        <v>1-195-20</v>
      </c>
      <c r="F3506" t="s">
        <v>15</v>
      </c>
      <c r="G3506" t="s">
        <v>16</v>
      </c>
      <c r="H3506" t="s">
        <v>17</v>
      </c>
      <c r="I3506">
        <v>0</v>
      </c>
      <c r="J3506">
        <v>1</v>
      </c>
      <c r="K3506">
        <v>0</v>
      </c>
    </row>
    <row r="3507" spans="1:11" x14ac:dyDescent="0.25">
      <c r="A3507" t="str">
        <f>"4441"</f>
        <v>4441</v>
      </c>
      <c r="B3507" t="str">
        <f t="shared" si="226"/>
        <v>1</v>
      </c>
      <c r="C3507" t="str">
        <f t="shared" si="227"/>
        <v>195</v>
      </c>
      <c r="D3507" t="str">
        <f>"5"</f>
        <v>5</v>
      </c>
      <c r="E3507" t="str">
        <f>"1-195-5"</f>
        <v>1-195-5</v>
      </c>
      <c r="F3507" t="s">
        <v>15</v>
      </c>
      <c r="G3507" t="s">
        <v>18</v>
      </c>
      <c r="H3507" t="s">
        <v>19</v>
      </c>
      <c r="I3507">
        <v>1</v>
      </c>
      <c r="J3507">
        <v>0</v>
      </c>
      <c r="K3507">
        <v>0</v>
      </c>
    </row>
    <row r="3508" spans="1:11" x14ac:dyDescent="0.25">
      <c r="A3508" t="str">
        <f>"4442"</f>
        <v>4442</v>
      </c>
      <c r="B3508" t="str">
        <f t="shared" ref="B3508:B3571" si="228">"1"</f>
        <v>1</v>
      </c>
      <c r="C3508" t="str">
        <f t="shared" si="227"/>
        <v>195</v>
      </c>
      <c r="D3508" t="str">
        <f>"21"</f>
        <v>21</v>
      </c>
      <c r="E3508" t="str">
        <f>"1-195-21"</f>
        <v>1-195-21</v>
      </c>
      <c r="F3508" t="s">
        <v>15</v>
      </c>
      <c r="G3508" t="s">
        <v>18</v>
      </c>
      <c r="H3508" t="s">
        <v>19</v>
      </c>
      <c r="I3508">
        <v>1</v>
      </c>
      <c r="J3508">
        <v>0</v>
      </c>
      <c r="K3508">
        <v>0</v>
      </c>
    </row>
    <row r="3509" spans="1:11" x14ac:dyDescent="0.25">
      <c r="A3509" t="str">
        <f>"4443"</f>
        <v>4443</v>
      </c>
      <c r="B3509" t="str">
        <f t="shared" si="228"/>
        <v>1</v>
      </c>
      <c r="C3509" t="str">
        <f t="shared" si="227"/>
        <v>195</v>
      </c>
      <c r="D3509" t="str">
        <f>"8"</f>
        <v>8</v>
      </c>
      <c r="E3509" t="str">
        <f>"1-195-8"</f>
        <v>1-195-8</v>
      </c>
      <c r="F3509" t="s">
        <v>15</v>
      </c>
      <c r="G3509" t="s">
        <v>18</v>
      </c>
      <c r="H3509" t="s">
        <v>19</v>
      </c>
      <c r="I3509">
        <v>0</v>
      </c>
      <c r="J3509">
        <v>1</v>
      </c>
      <c r="K3509">
        <v>0</v>
      </c>
    </row>
    <row r="3510" spans="1:11" x14ac:dyDescent="0.25">
      <c r="A3510" t="str">
        <f>"4444"</f>
        <v>4444</v>
      </c>
      <c r="B3510" t="str">
        <f t="shared" si="228"/>
        <v>1</v>
      </c>
      <c r="C3510" t="str">
        <f t="shared" si="227"/>
        <v>195</v>
      </c>
      <c r="D3510" t="str">
        <f>"22"</f>
        <v>22</v>
      </c>
      <c r="E3510" t="str">
        <f>"1-195-22"</f>
        <v>1-195-22</v>
      </c>
      <c r="F3510" t="s">
        <v>15</v>
      </c>
      <c r="G3510" t="s">
        <v>16</v>
      </c>
      <c r="H3510" t="s">
        <v>17</v>
      </c>
      <c r="I3510">
        <v>1</v>
      </c>
      <c r="J3510">
        <v>0</v>
      </c>
      <c r="K3510">
        <v>0</v>
      </c>
    </row>
    <row r="3511" spans="1:11" x14ac:dyDescent="0.25">
      <c r="A3511" t="str">
        <f>"4445"</f>
        <v>4445</v>
      </c>
      <c r="B3511" t="str">
        <f t="shared" si="228"/>
        <v>1</v>
      </c>
      <c r="C3511" t="str">
        <f t="shared" si="227"/>
        <v>195</v>
      </c>
      <c r="D3511" t="str">
        <f>"3"</f>
        <v>3</v>
      </c>
      <c r="E3511" t="str">
        <f>"1-195-3"</f>
        <v>1-195-3</v>
      </c>
      <c r="F3511" t="s">
        <v>15</v>
      </c>
      <c r="G3511" t="s">
        <v>18</v>
      </c>
      <c r="H3511" t="s">
        <v>19</v>
      </c>
      <c r="I3511">
        <v>1</v>
      </c>
      <c r="J3511">
        <v>0</v>
      </c>
      <c r="K3511">
        <v>0</v>
      </c>
    </row>
    <row r="3512" spans="1:11" x14ac:dyDescent="0.25">
      <c r="A3512" t="str">
        <f>"4446"</f>
        <v>4446</v>
      </c>
      <c r="B3512" t="str">
        <f t="shared" si="228"/>
        <v>1</v>
      </c>
      <c r="C3512" t="str">
        <f t="shared" si="227"/>
        <v>195</v>
      </c>
      <c r="D3512" t="str">
        <f>"25"</f>
        <v>25</v>
      </c>
      <c r="E3512" t="str">
        <f>"1-195-25"</f>
        <v>1-195-25</v>
      </c>
      <c r="F3512" t="s">
        <v>15</v>
      </c>
      <c r="G3512" t="s">
        <v>16</v>
      </c>
      <c r="H3512" t="s">
        <v>17</v>
      </c>
      <c r="I3512">
        <v>1</v>
      </c>
      <c r="J3512">
        <v>0</v>
      </c>
      <c r="K3512">
        <v>0</v>
      </c>
    </row>
    <row r="3513" spans="1:11" x14ac:dyDescent="0.25">
      <c r="A3513" t="str">
        <f>"4447"</f>
        <v>4447</v>
      </c>
      <c r="B3513" t="str">
        <f t="shared" si="228"/>
        <v>1</v>
      </c>
      <c r="C3513" t="str">
        <f t="shared" si="227"/>
        <v>195</v>
      </c>
      <c r="D3513" t="str">
        <f>"11"</f>
        <v>11</v>
      </c>
      <c r="E3513" t="str">
        <f>"1-195-11"</f>
        <v>1-195-11</v>
      </c>
      <c r="F3513" t="s">
        <v>15</v>
      </c>
      <c r="G3513" t="s">
        <v>16</v>
      </c>
      <c r="H3513" t="s">
        <v>17</v>
      </c>
      <c r="I3513">
        <v>1</v>
      </c>
      <c r="J3513">
        <v>0</v>
      </c>
      <c r="K3513">
        <v>0</v>
      </c>
    </row>
    <row r="3514" spans="1:11" x14ac:dyDescent="0.25">
      <c r="A3514" t="str">
        <f>"4448"</f>
        <v>4448</v>
      </c>
      <c r="B3514" t="str">
        <f t="shared" si="228"/>
        <v>1</v>
      </c>
      <c r="C3514" t="str">
        <f t="shared" si="227"/>
        <v>195</v>
      </c>
      <c r="D3514" t="str">
        <f>"4"</f>
        <v>4</v>
      </c>
      <c r="E3514" t="str">
        <f>"1-195-4"</f>
        <v>1-195-4</v>
      </c>
      <c r="F3514" t="s">
        <v>15</v>
      </c>
      <c r="G3514" t="s">
        <v>18</v>
      </c>
      <c r="H3514" t="s">
        <v>19</v>
      </c>
      <c r="I3514">
        <v>0</v>
      </c>
      <c r="J3514">
        <v>1</v>
      </c>
      <c r="K3514">
        <v>0</v>
      </c>
    </row>
    <row r="3515" spans="1:11" x14ac:dyDescent="0.25">
      <c r="A3515" t="str">
        <f>"4449"</f>
        <v>4449</v>
      </c>
      <c r="B3515" t="str">
        <f t="shared" si="228"/>
        <v>1</v>
      </c>
      <c r="C3515" t="str">
        <f t="shared" si="227"/>
        <v>195</v>
      </c>
      <c r="D3515" t="str">
        <f>"14"</f>
        <v>14</v>
      </c>
      <c r="E3515" t="str">
        <f>"1-195-14"</f>
        <v>1-195-14</v>
      </c>
      <c r="F3515" t="s">
        <v>15</v>
      </c>
      <c r="G3515" t="s">
        <v>18</v>
      </c>
      <c r="H3515" t="s">
        <v>19</v>
      </c>
      <c r="I3515">
        <v>0</v>
      </c>
      <c r="J3515">
        <v>1</v>
      </c>
      <c r="K3515">
        <v>0</v>
      </c>
    </row>
    <row r="3516" spans="1:11" x14ac:dyDescent="0.25">
      <c r="A3516" t="str">
        <f>"4450"</f>
        <v>4450</v>
      </c>
      <c r="B3516" t="str">
        <f t="shared" si="228"/>
        <v>1</v>
      </c>
      <c r="C3516" t="str">
        <f t="shared" si="227"/>
        <v>195</v>
      </c>
      <c r="D3516" t="str">
        <f>"10"</f>
        <v>10</v>
      </c>
      <c r="E3516" t="str">
        <f>"1-195-10"</f>
        <v>1-195-10</v>
      </c>
      <c r="F3516" t="s">
        <v>15</v>
      </c>
      <c r="G3516" t="s">
        <v>16</v>
      </c>
      <c r="H3516" t="s">
        <v>17</v>
      </c>
      <c r="I3516">
        <v>0</v>
      </c>
      <c r="J3516">
        <v>1</v>
      </c>
      <c r="K3516">
        <v>0</v>
      </c>
    </row>
    <row r="3517" spans="1:11" x14ac:dyDescent="0.25">
      <c r="A3517" t="str">
        <f>"4451"</f>
        <v>4451</v>
      </c>
      <c r="B3517" t="str">
        <f t="shared" si="228"/>
        <v>1</v>
      </c>
      <c r="C3517" t="str">
        <f t="shared" si="227"/>
        <v>195</v>
      </c>
      <c r="D3517" t="str">
        <f>"9"</f>
        <v>9</v>
      </c>
      <c r="E3517" t="str">
        <f>"1-195-9"</f>
        <v>1-195-9</v>
      </c>
      <c r="F3517" t="s">
        <v>15</v>
      </c>
      <c r="G3517" t="s">
        <v>18</v>
      </c>
      <c r="H3517" t="s">
        <v>19</v>
      </c>
      <c r="I3517">
        <v>1</v>
      </c>
      <c r="J3517">
        <v>0</v>
      </c>
      <c r="K3517">
        <v>0</v>
      </c>
    </row>
    <row r="3518" spans="1:11" x14ac:dyDescent="0.25">
      <c r="A3518" t="str">
        <f>"4452"</f>
        <v>4452</v>
      </c>
      <c r="B3518" t="str">
        <f t="shared" si="228"/>
        <v>1</v>
      </c>
      <c r="C3518" t="str">
        <f t="shared" si="227"/>
        <v>195</v>
      </c>
      <c r="D3518" t="str">
        <f>"7"</f>
        <v>7</v>
      </c>
      <c r="E3518" t="str">
        <f>"1-195-7"</f>
        <v>1-195-7</v>
      </c>
      <c r="F3518" t="s">
        <v>15</v>
      </c>
      <c r="G3518" t="s">
        <v>18</v>
      </c>
      <c r="H3518" t="s">
        <v>19</v>
      </c>
      <c r="I3518">
        <v>1</v>
      </c>
      <c r="J3518">
        <v>0</v>
      </c>
      <c r="K3518">
        <v>0</v>
      </c>
    </row>
    <row r="3519" spans="1:11" x14ac:dyDescent="0.25">
      <c r="A3519" t="str">
        <f>"4453"</f>
        <v>4453</v>
      </c>
      <c r="B3519" t="str">
        <f t="shared" si="228"/>
        <v>1</v>
      </c>
      <c r="C3519" t="str">
        <f t="shared" si="227"/>
        <v>195</v>
      </c>
      <c r="D3519" t="str">
        <f>"13"</f>
        <v>13</v>
      </c>
      <c r="E3519" t="str">
        <f>"1-195-13"</f>
        <v>1-195-13</v>
      </c>
      <c r="F3519" t="s">
        <v>15</v>
      </c>
      <c r="G3519" t="s">
        <v>18</v>
      </c>
      <c r="H3519" t="s">
        <v>19</v>
      </c>
      <c r="I3519">
        <v>0</v>
      </c>
      <c r="J3519">
        <v>1</v>
      </c>
      <c r="K3519">
        <v>0</v>
      </c>
    </row>
    <row r="3520" spans="1:11" x14ac:dyDescent="0.25">
      <c r="A3520" t="str">
        <f>"4454"</f>
        <v>4454</v>
      </c>
      <c r="B3520" t="str">
        <f t="shared" si="228"/>
        <v>1</v>
      </c>
      <c r="C3520" t="str">
        <f t="shared" si="227"/>
        <v>195</v>
      </c>
      <c r="D3520" t="str">
        <f>"12"</f>
        <v>12</v>
      </c>
      <c r="E3520" t="str">
        <f>"1-195-12"</f>
        <v>1-195-12</v>
      </c>
      <c r="F3520" t="s">
        <v>15</v>
      </c>
      <c r="G3520" t="s">
        <v>16</v>
      </c>
      <c r="H3520" t="s">
        <v>17</v>
      </c>
      <c r="I3520">
        <v>0</v>
      </c>
      <c r="J3520">
        <v>0</v>
      </c>
      <c r="K3520">
        <v>0</v>
      </c>
    </row>
    <row r="3521" spans="1:11" x14ac:dyDescent="0.25">
      <c r="A3521" t="str">
        <f>"4455"</f>
        <v>4455</v>
      </c>
      <c r="B3521" t="str">
        <f t="shared" si="228"/>
        <v>1</v>
      </c>
      <c r="C3521" t="str">
        <f t="shared" ref="C3521:C3547" si="229">"196"</f>
        <v>196</v>
      </c>
      <c r="D3521" t="str">
        <f>"19"</f>
        <v>19</v>
      </c>
      <c r="E3521" t="str">
        <f>"1-196-19"</f>
        <v>1-196-19</v>
      </c>
      <c r="F3521" t="s">
        <v>15</v>
      </c>
      <c r="G3521" t="s">
        <v>20</v>
      </c>
      <c r="H3521" t="s">
        <v>21</v>
      </c>
      <c r="I3521">
        <v>1</v>
      </c>
      <c r="J3521">
        <v>0</v>
      </c>
      <c r="K3521">
        <v>0</v>
      </c>
    </row>
    <row r="3522" spans="1:11" x14ac:dyDescent="0.25">
      <c r="A3522" t="str">
        <f>"4456"</f>
        <v>4456</v>
      </c>
      <c r="B3522" t="str">
        <f t="shared" si="228"/>
        <v>1</v>
      </c>
      <c r="C3522" t="str">
        <f t="shared" si="229"/>
        <v>196</v>
      </c>
      <c r="D3522" t="str">
        <f>"15"</f>
        <v>15</v>
      </c>
      <c r="E3522" t="str">
        <f>"1-196-15"</f>
        <v>1-196-15</v>
      </c>
      <c r="F3522" t="s">
        <v>15</v>
      </c>
      <c r="G3522" t="s">
        <v>16</v>
      </c>
      <c r="H3522" t="s">
        <v>17</v>
      </c>
      <c r="I3522">
        <v>1</v>
      </c>
      <c r="J3522">
        <v>0</v>
      </c>
      <c r="K3522">
        <v>0</v>
      </c>
    </row>
    <row r="3523" spans="1:11" x14ac:dyDescent="0.25">
      <c r="A3523" t="str">
        <f>"4457"</f>
        <v>4457</v>
      </c>
      <c r="B3523" t="str">
        <f t="shared" si="228"/>
        <v>1</v>
      </c>
      <c r="C3523" t="str">
        <f t="shared" si="229"/>
        <v>196</v>
      </c>
      <c r="D3523" t="str">
        <f>"2"</f>
        <v>2</v>
      </c>
      <c r="E3523" t="str">
        <f>"1-196-2"</f>
        <v>1-196-2</v>
      </c>
      <c r="F3523" t="s">
        <v>15</v>
      </c>
      <c r="G3523" t="s">
        <v>16</v>
      </c>
      <c r="H3523" t="s">
        <v>17</v>
      </c>
      <c r="I3523">
        <v>0</v>
      </c>
      <c r="J3523">
        <v>0</v>
      </c>
      <c r="K3523">
        <v>1</v>
      </c>
    </row>
    <row r="3524" spans="1:11" x14ac:dyDescent="0.25">
      <c r="A3524" t="str">
        <f>"4458"</f>
        <v>4458</v>
      </c>
      <c r="B3524" t="str">
        <f t="shared" si="228"/>
        <v>1</v>
      </c>
      <c r="C3524" t="str">
        <f t="shared" si="229"/>
        <v>196</v>
      </c>
      <c r="D3524" t="str">
        <f>"23"</f>
        <v>23</v>
      </c>
      <c r="E3524" t="str">
        <f>"1-196-23"</f>
        <v>1-196-23</v>
      </c>
      <c r="F3524" t="s">
        <v>15</v>
      </c>
      <c r="G3524" t="s">
        <v>20</v>
      </c>
      <c r="H3524" t="s">
        <v>21</v>
      </c>
      <c r="I3524">
        <v>1</v>
      </c>
      <c r="J3524">
        <v>0</v>
      </c>
      <c r="K3524">
        <v>0</v>
      </c>
    </row>
    <row r="3525" spans="1:11" x14ac:dyDescent="0.25">
      <c r="A3525" t="str">
        <f>"4459"</f>
        <v>4459</v>
      </c>
      <c r="B3525" t="str">
        <f t="shared" si="228"/>
        <v>1</v>
      </c>
      <c r="C3525" t="str">
        <f t="shared" si="229"/>
        <v>196</v>
      </c>
      <c r="D3525" t="str">
        <f>"16"</f>
        <v>16</v>
      </c>
      <c r="E3525" t="str">
        <f>"1-196-16"</f>
        <v>1-196-16</v>
      </c>
      <c r="F3525" t="s">
        <v>15</v>
      </c>
      <c r="G3525" t="s">
        <v>16</v>
      </c>
      <c r="H3525" t="s">
        <v>17</v>
      </c>
      <c r="I3525">
        <v>0</v>
      </c>
      <c r="J3525">
        <v>0</v>
      </c>
      <c r="K3525">
        <v>1</v>
      </c>
    </row>
    <row r="3526" spans="1:11" x14ac:dyDescent="0.25">
      <c r="A3526" t="str">
        <f>"4460"</f>
        <v>4460</v>
      </c>
      <c r="B3526" t="str">
        <f t="shared" si="228"/>
        <v>1</v>
      </c>
      <c r="C3526" t="str">
        <f t="shared" si="229"/>
        <v>196</v>
      </c>
      <c r="D3526" t="str">
        <f>"3"</f>
        <v>3</v>
      </c>
      <c r="E3526" t="str">
        <f>"1-196-3"</f>
        <v>1-196-3</v>
      </c>
      <c r="F3526" t="s">
        <v>15</v>
      </c>
      <c r="G3526" t="s">
        <v>18</v>
      </c>
      <c r="H3526" t="s">
        <v>19</v>
      </c>
      <c r="I3526">
        <v>0</v>
      </c>
      <c r="J3526">
        <v>1</v>
      </c>
      <c r="K3526">
        <v>0</v>
      </c>
    </row>
    <row r="3527" spans="1:11" x14ac:dyDescent="0.25">
      <c r="A3527" t="str">
        <f>"4461"</f>
        <v>4461</v>
      </c>
      <c r="B3527" t="str">
        <f t="shared" si="228"/>
        <v>1</v>
      </c>
      <c r="C3527" t="str">
        <f t="shared" si="229"/>
        <v>196</v>
      </c>
      <c r="D3527" t="str">
        <f>"17"</f>
        <v>17</v>
      </c>
      <c r="E3527" t="str">
        <f>"1-196-17"</f>
        <v>1-196-17</v>
      </c>
      <c r="F3527" t="s">
        <v>15</v>
      </c>
      <c r="G3527" t="s">
        <v>20</v>
      </c>
      <c r="H3527" t="s">
        <v>21</v>
      </c>
      <c r="I3527">
        <v>0</v>
      </c>
      <c r="J3527">
        <v>0</v>
      </c>
      <c r="K3527">
        <v>1</v>
      </c>
    </row>
    <row r="3528" spans="1:11" x14ac:dyDescent="0.25">
      <c r="A3528" t="str">
        <f>"4462"</f>
        <v>4462</v>
      </c>
      <c r="B3528" t="str">
        <f t="shared" si="228"/>
        <v>1</v>
      </c>
      <c r="C3528" t="str">
        <f t="shared" si="229"/>
        <v>196</v>
      </c>
      <c r="D3528" t="str">
        <f>"1"</f>
        <v>1</v>
      </c>
      <c r="E3528" t="str">
        <f>"1-196-1"</f>
        <v>1-196-1</v>
      </c>
      <c r="F3528" t="s">
        <v>15</v>
      </c>
      <c r="G3528" t="s">
        <v>16</v>
      </c>
      <c r="H3528" t="s">
        <v>17</v>
      </c>
      <c r="I3528">
        <v>0</v>
      </c>
      <c r="J3528">
        <v>1</v>
      </c>
      <c r="K3528">
        <v>0</v>
      </c>
    </row>
    <row r="3529" spans="1:11" x14ac:dyDescent="0.25">
      <c r="A3529" t="str">
        <f>"4463"</f>
        <v>4463</v>
      </c>
      <c r="B3529" t="str">
        <f t="shared" si="228"/>
        <v>1</v>
      </c>
      <c r="C3529" t="str">
        <f t="shared" si="229"/>
        <v>196</v>
      </c>
      <c r="D3529" t="str">
        <f>"14"</f>
        <v>14</v>
      </c>
      <c r="E3529" t="str">
        <f>"1-196-14"</f>
        <v>1-196-14</v>
      </c>
      <c r="F3529" t="s">
        <v>15</v>
      </c>
      <c r="G3529" t="s">
        <v>16</v>
      </c>
      <c r="H3529" t="s">
        <v>17</v>
      </c>
      <c r="I3529">
        <v>0</v>
      </c>
      <c r="J3529">
        <v>1</v>
      </c>
      <c r="K3529">
        <v>0</v>
      </c>
    </row>
    <row r="3530" spans="1:11" x14ac:dyDescent="0.25">
      <c r="A3530" t="str">
        <f>"4464"</f>
        <v>4464</v>
      </c>
      <c r="B3530" t="str">
        <f t="shared" si="228"/>
        <v>1</v>
      </c>
      <c r="C3530" t="str">
        <f t="shared" si="229"/>
        <v>196</v>
      </c>
      <c r="D3530" t="str">
        <f>"20"</f>
        <v>20</v>
      </c>
      <c r="E3530" t="str">
        <f>"1-196-20"</f>
        <v>1-196-20</v>
      </c>
      <c r="F3530" t="s">
        <v>15</v>
      </c>
      <c r="G3530" t="s">
        <v>20</v>
      </c>
      <c r="H3530" t="s">
        <v>21</v>
      </c>
      <c r="I3530">
        <v>1</v>
      </c>
      <c r="J3530">
        <v>0</v>
      </c>
      <c r="K3530">
        <v>0</v>
      </c>
    </row>
    <row r="3531" spans="1:11" x14ac:dyDescent="0.25">
      <c r="A3531" t="str">
        <f>"4465"</f>
        <v>4465</v>
      </c>
      <c r="B3531" t="str">
        <f t="shared" si="228"/>
        <v>1</v>
      </c>
      <c r="C3531" t="str">
        <f t="shared" si="229"/>
        <v>196</v>
      </c>
      <c r="D3531" t="str">
        <f>"12"</f>
        <v>12</v>
      </c>
      <c r="E3531" t="str">
        <f>"1-196-12"</f>
        <v>1-196-12</v>
      </c>
      <c r="F3531" t="s">
        <v>15</v>
      </c>
      <c r="G3531" t="s">
        <v>16</v>
      </c>
      <c r="H3531" t="s">
        <v>17</v>
      </c>
      <c r="I3531">
        <v>1</v>
      </c>
      <c r="J3531">
        <v>0</v>
      </c>
      <c r="K3531">
        <v>0</v>
      </c>
    </row>
    <row r="3532" spans="1:11" x14ac:dyDescent="0.25">
      <c r="A3532" t="str">
        <f>"4466"</f>
        <v>4466</v>
      </c>
      <c r="B3532" t="str">
        <f t="shared" si="228"/>
        <v>1</v>
      </c>
      <c r="C3532" t="str">
        <f t="shared" si="229"/>
        <v>196</v>
      </c>
      <c r="D3532" t="str">
        <f>"21"</f>
        <v>21</v>
      </c>
      <c r="E3532" t="str">
        <f>"1-196-21"</f>
        <v>1-196-21</v>
      </c>
      <c r="F3532" t="s">
        <v>15</v>
      </c>
      <c r="G3532" t="s">
        <v>20</v>
      </c>
      <c r="H3532" t="s">
        <v>21</v>
      </c>
      <c r="I3532">
        <v>0</v>
      </c>
      <c r="J3532">
        <v>1</v>
      </c>
      <c r="K3532">
        <v>0</v>
      </c>
    </row>
    <row r="3533" spans="1:11" x14ac:dyDescent="0.25">
      <c r="A3533" t="str">
        <f>"4467"</f>
        <v>4467</v>
      </c>
      <c r="B3533" t="str">
        <f t="shared" si="228"/>
        <v>1</v>
      </c>
      <c r="C3533" t="str">
        <f t="shared" si="229"/>
        <v>196</v>
      </c>
      <c r="D3533" t="str">
        <f>"5"</f>
        <v>5</v>
      </c>
      <c r="E3533" t="str">
        <f>"1-196-5"</f>
        <v>1-196-5</v>
      </c>
      <c r="F3533" t="s">
        <v>15</v>
      </c>
      <c r="G3533" t="s">
        <v>16</v>
      </c>
      <c r="H3533" t="s">
        <v>17</v>
      </c>
      <c r="I3533">
        <v>1</v>
      </c>
      <c r="J3533">
        <v>0</v>
      </c>
      <c r="K3533">
        <v>0</v>
      </c>
    </row>
    <row r="3534" spans="1:11" x14ac:dyDescent="0.25">
      <c r="A3534" t="str">
        <f>"4468"</f>
        <v>4468</v>
      </c>
      <c r="B3534" t="str">
        <f t="shared" si="228"/>
        <v>1</v>
      </c>
      <c r="C3534" t="str">
        <f t="shared" si="229"/>
        <v>196</v>
      </c>
      <c r="D3534" t="str">
        <f>"22"</f>
        <v>22</v>
      </c>
      <c r="E3534" t="str">
        <f>"1-196-22"</f>
        <v>1-196-22</v>
      </c>
      <c r="F3534" t="s">
        <v>15</v>
      </c>
      <c r="G3534" t="s">
        <v>20</v>
      </c>
      <c r="H3534" t="s">
        <v>21</v>
      </c>
      <c r="I3534">
        <v>0</v>
      </c>
      <c r="J3534">
        <v>1</v>
      </c>
      <c r="K3534">
        <v>0</v>
      </c>
    </row>
    <row r="3535" spans="1:11" x14ac:dyDescent="0.25">
      <c r="A3535" t="str">
        <f>"4469"</f>
        <v>4469</v>
      </c>
      <c r="B3535" t="str">
        <f t="shared" si="228"/>
        <v>1</v>
      </c>
      <c r="C3535" t="str">
        <f t="shared" si="229"/>
        <v>196</v>
      </c>
      <c r="D3535" t="str">
        <f>"6"</f>
        <v>6</v>
      </c>
      <c r="E3535" t="str">
        <f>"1-196-6"</f>
        <v>1-196-6</v>
      </c>
      <c r="F3535" t="s">
        <v>15</v>
      </c>
      <c r="G3535" t="s">
        <v>16</v>
      </c>
      <c r="H3535" t="s">
        <v>17</v>
      </c>
      <c r="I3535">
        <v>0</v>
      </c>
      <c r="J3535">
        <v>1</v>
      </c>
      <c r="K3535">
        <v>0</v>
      </c>
    </row>
    <row r="3536" spans="1:11" x14ac:dyDescent="0.25">
      <c r="A3536" t="str">
        <f>"4470"</f>
        <v>4470</v>
      </c>
      <c r="B3536" t="str">
        <f t="shared" si="228"/>
        <v>1</v>
      </c>
      <c r="C3536" t="str">
        <f t="shared" si="229"/>
        <v>196</v>
      </c>
      <c r="D3536" t="str">
        <f>"24"</f>
        <v>24</v>
      </c>
      <c r="E3536" t="str">
        <f>"1-196-24"</f>
        <v>1-196-24</v>
      </c>
      <c r="F3536" t="s">
        <v>15</v>
      </c>
      <c r="G3536" t="s">
        <v>16</v>
      </c>
      <c r="H3536" t="s">
        <v>17</v>
      </c>
      <c r="I3536">
        <v>1</v>
      </c>
      <c r="J3536">
        <v>0</v>
      </c>
      <c r="K3536">
        <v>0</v>
      </c>
    </row>
    <row r="3537" spans="1:11" x14ac:dyDescent="0.25">
      <c r="A3537" t="str">
        <f>"4471"</f>
        <v>4471</v>
      </c>
      <c r="B3537" t="str">
        <f t="shared" si="228"/>
        <v>1</v>
      </c>
      <c r="C3537" t="str">
        <f t="shared" si="229"/>
        <v>196</v>
      </c>
      <c r="D3537" t="str">
        <f>"13"</f>
        <v>13</v>
      </c>
      <c r="E3537" t="str">
        <f>"1-196-13"</f>
        <v>1-196-13</v>
      </c>
      <c r="F3537" t="s">
        <v>15</v>
      </c>
      <c r="G3537" t="s">
        <v>16</v>
      </c>
      <c r="H3537" t="s">
        <v>17</v>
      </c>
      <c r="I3537">
        <v>1</v>
      </c>
      <c r="J3537">
        <v>0</v>
      </c>
      <c r="K3537">
        <v>0</v>
      </c>
    </row>
    <row r="3538" spans="1:11" x14ac:dyDescent="0.25">
      <c r="A3538" t="str">
        <f>"4472"</f>
        <v>4472</v>
      </c>
      <c r="B3538" t="str">
        <f t="shared" si="228"/>
        <v>1</v>
      </c>
      <c r="C3538" t="str">
        <f t="shared" si="229"/>
        <v>196</v>
      </c>
      <c r="D3538" t="str">
        <f>"25"</f>
        <v>25</v>
      </c>
      <c r="E3538" t="str">
        <f>"1-196-25"</f>
        <v>1-196-25</v>
      </c>
      <c r="F3538" t="s">
        <v>15</v>
      </c>
      <c r="G3538" t="s">
        <v>16</v>
      </c>
      <c r="H3538" t="s">
        <v>17</v>
      </c>
      <c r="I3538">
        <v>0</v>
      </c>
      <c r="J3538">
        <v>1</v>
      </c>
      <c r="K3538">
        <v>0</v>
      </c>
    </row>
    <row r="3539" spans="1:11" x14ac:dyDescent="0.25">
      <c r="A3539" t="str">
        <f>"4473"</f>
        <v>4473</v>
      </c>
      <c r="B3539" t="str">
        <f t="shared" si="228"/>
        <v>1</v>
      </c>
      <c r="C3539" t="str">
        <f t="shared" si="229"/>
        <v>196</v>
      </c>
      <c r="D3539" t="str">
        <f>"10"</f>
        <v>10</v>
      </c>
      <c r="E3539" t="str">
        <f>"1-196-10"</f>
        <v>1-196-10</v>
      </c>
      <c r="F3539" t="s">
        <v>15</v>
      </c>
      <c r="G3539" t="s">
        <v>16</v>
      </c>
      <c r="H3539" t="s">
        <v>17</v>
      </c>
      <c r="I3539">
        <v>1</v>
      </c>
      <c r="J3539">
        <v>0</v>
      </c>
      <c r="K3539">
        <v>0</v>
      </c>
    </row>
    <row r="3540" spans="1:11" x14ac:dyDescent="0.25">
      <c r="A3540" t="str">
        <f>"4474"</f>
        <v>4474</v>
      </c>
      <c r="B3540" t="str">
        <f t="shared" si="228"/>
        <v>1</v>
      </c>
      <c r="C3540" t="str">
        <f t="shared" si="229"/>
        <v>196</v>
      </c>
      <c r="D3540" t="str">
        <f>"26"</f>
        <v>26</v>
      </c>
      <c r="E3540" t="str">
        <f>"1-196-26"</f>
        <v>1-196-26</v>
      </c>
      <c r="F3540" t="s">
        <v>15</v>
      </c>
      <c r="G3540" t="s">
        <v>16</v>
      </c>
      <c r="H3540" t="s">
        <v>17</v>
      </c>
      <c r="I3540">
        <v>1</v>
      </c>
      <c r="J3540">
        <v>0</v>
      </c>
      <c r="K3540">
        <v>0</v>
      </c>
    </row>
    <row r="3541" spans="1:11" x14ac:dyDescent="0.25">
      <c r="A3541" t="str">
        <f>"4475"</f>
        <v>4475</v>
      </c>
      <c r="B3541" t="str">
        <f t="shared" si="228"/>
        <v>1</v>
      </c>
      <c r="C3541" t="str">
        <f t="shared" si="229"/>
        <v>196</v>
      </c>
      <c r="D3541" t="str">
        <f>"11"</f>
        <v>11</v>
      </c>
      <c r="E3541" t="str">
        <f>"1-196-11"</f>
        <v>1-196-11</v>
      </c>
      <c r="F3541" t="s">
        <v>15</v>
      </c>
      <c r="G3541" t="s">
        <v>16</v>
      </c>
      <c r="H3541" t="s">
        <v>17</v>
      </c>
      <c r="I3541">
        <v>1</v>
      </c>
      <c r="J3541">
        <v>0</v>
      </c>
      <c r="K3541">
        <v>0</v>
      </c>
    </row>
    <row r="3542" spans="1:11" x14ac:dyDescent="0.25">
      <c r="A3542" t="str">
        <f>"4476"</f>
        <v>4476</v>
      </c>
      <c r="B3542" t="str">
        <f t="shared" si="228"/>
        <v>1</v>
      </c>
      <c r="C3542" t="str">
        <f t="shared" si="229"/>
        <v>196</v>
      </c>
      <c r="D3542" t="str">
        <f>"8"</f>
        <v>8</v>
      </c>
      <c r="E3542" t="str">
        <f>"1-196-8"</f>
        <v>1-196-8</v>
      </c>
      <c r="F3542" t="s">
        <v>15</v>
      </c>
      <c r="G3542" t="s">
        <v>16</v>
      </c>
      <c r="H3542" t="s">
        <v>17</v>
      </c>
      <c r="I3542">
        <v>0</v>
      </c>
      <c r="J3542">
        <v>1</v>
      </c>
      <c r="K3542">
        <v>0</v>
      </c>
    </row>
    <row r="3543" spans="1:11" x14ac:dyDescent="0.25">
      <c r="A3543" t="str">
        <f>"4477"</f>
        <v>4477</v>
      </c>
      <c r="B3543" t="str">
        <f t="shared" si="228"/>
        <v>1</v>
      </c>
      <c r="C3543" t="str">
        <f t="shared" si="229"/>
        <v>196</v>
      </c>
      <c r="D3543" t="str">
        <f>"4"</f>
        <v>4</v>
      </c>
      <c r="E3543" t="str">
        <f>"1-196-4"</f>
        <v>1-196-4</v>
      </c>
      <c r="F3543" t="s">
        <v>15</v>
      </c>
      <c r="G3543" t="s">
        <v>18</v>
      </c>
      <c r="H3543" t="s">
        <v>19</v>
      </c>
      <c r="I3543">
        <v>0</v>
      </c>
      <c r="J3543">
        <v>1</v>
      </c>
      <c r="K3543">
        <v>0</v>
      </c>
    </row>
    <row r="3544" spans="1:11" x14ac:dyDescent="0.25">
      <c r="A3544" t="str">
        <f>"4478"</f>
        <v>4478</v>
      </c>
      <c r="B3544" t="str">
        <f t="shared" si="228"/>
        <v>1</v>
      </c>
      <c r="C3544" t="str">
        <f t="shared" si="229"/>
        <v>196</v>
      </c>
      <c r="D3544" t="str">
        <f>"7"</f>
        <v>7</v>
      </c>
      <c r="E3544" t="str">
        <f>"1-196-7"</f>
        <v>1-196-7</v>
      </c>
      <c r="F3544" t="s">
        <v>15</v>
      </c>
      <c r="G3544" t="s">
        <v>16</v>
      </c>
      <c r="H3544" t="s">
        <v>17</v>
      </c>
      <c r="I3544">
        <v>0</v>
      </c>
      <c r="J3544">
        <v>1</v>
      </c>
      <c r="K3544">
        <v>0</v>
      </c>
    </row>
    <row r="3545" spans="1:11" x14ac:dyDescent="0.25">
      <c r="A3545" t="str">
        <f>"4479"</f>
        <v>4479</v>
      </c>
      <c r="B3545" t="str">
        <f t="shared" si="228"/>
        <v>1</v>
      </c>
      <c r="C3545" t="str">
        <f t="shared" si="229"/>
        <v>196</v>
      </c>
      <c r="D3545" t="str">
        <f>"9"</f>
        <v>9</v>
      </c>
      <c r="E3545" t="str">
        <f>"1-196-9"</f>
        <v>1-196-9</v>
      </c>
      <c r="F3545" t="s">
        <v>15</v>
      </c>
      <c r="G3545" t="s">
        <v>16</v>
      </c>
      <c r="H3545" t="s">
        <v>17</v>
      </c>
      <c r="I3545">
        <v>0</v>
      </c>
      <c r="J3545">
        <v>0</v>
      </c>
      <c r="K3545">
        <v>0</v>
      </c>
    </row>
    <row r="3546" spans="1:11" x14ac:dyDescent="0.25">
      <c r="A3546" t="str">
        <f>"4480"</f>
        <v>4480</v>
      </c>
      <c r="B3546" t="str">
        <f t="shared" si="228"/>
        <v>1</v>
      </c>
      <c r="C3546" t="str">
        <f t="shared" si="229"/>
        <v>196</v>
      </c>
      <c r="D3546" t="str">
        <f>"18"</f>
        <v>18</v>
      </c>
      <c r="E3546" t="str">
        <f>"1-196-18"</f>
        <v>1-196-18</v>
      </c>
      <c r="F3546" t="s">
        <v>15</v>
      </c>
      <c r="G3546" t="s">
        <v>16</v>
      </c>
      <c r="H3546" t="s">
        <v>17</v>
      </c>
      <c r="I3546">
        <v>0</v>
      </c>
      <c r="J3546">
        <v>0</v>
      </c>
      <c r="K3546">
        <v>0</v>
      </c>
    </row>
    <row r="3547" spans="1:11" x14ac:dyDescent="0.25">
      <c r="A3547" t="str">
        <f>"4481"</f>
        <v>4481</v>
      </c>
      <c r="B3547" t="str">
        <f t="shared" si="228"/>
        <v>1</v>
      </c>
      <c r="C3547" t="str">
        <f t="shared" si="229"/>
        <v>196</v>
      </c>
      <c r="D3547" t="str">
        <f>"27"</f>
        <v>27</v>
      </c>
      <c r="E3547" t="str">
        <f>"1-196-27"</f>
        <v>1-196-27</v>
      </c>
      <c r="F3547" t="s">
        <v>15</v>
      </c>
      <c r="G3547" t="s">
        <v>16</v>
      </c>
      <c r="H3547" t="s">
        <v>17</v>
      </c>
      <c r="I3547">
        <v>0</v>
      </c>
      <c r="J3547">
        <v>0</v>
      </c>
      <c r="K3547">
        <v>0</v>
      </c>
    </row>
    <row r="3548" spans="1:11" x14ac:dyDescent="0.25">
      <c r="A3548" t="str">
        <f>"4482"</f>
        <v>4482</v>
      </c>
      <c r="B3548" t="str">
        <f t="shared" si="228"/>
        <v>1</v>
      </c>
      <c r="C3548" t="str">
        <f t="shared" ref="C3548:C3572" si="230">"197"</f>
        <v>197</v>
      </c>
      <c r="D3548" t="str">
        <f>"15"</f>
        <v>15</v>
      </c>
      <c r="E3548" t="str">
        <f>"1-197-15"</f>
        <v>1-197-15</v>
      </c>
      <c r="F3548" t="s">
        <v>15</v>
      </c>
      <c r="G3548" t="s">
        <v>20</v>
      </c>
      <c r="H3548" t="s">
        <v>21</v>
      </c>
      <c r="I3548">
        <v>0</v>
      </c>
      <c r="J3548">
        <v>1</v>
      </c>
      <c r="K3548">
        <v>0</v>
      </c>
    </row>
    <row r="3549" spans="1:11" x14ac:dyDescent="0.25">
      <c r="A3549" t="str">
        <f>"4483"</f>
        <v>4483</v>
      </c>
      <c r="B3549" t="str">
        <f t="shared" si="228"/>
        <v>1</v>
      </c>
      <c r="C3549" t="str">
        <f t="shared" si="230"/>
        <v>197</v>
      </c>
      <c r="D3549" t="str">
        <f>"3"</f>
        <v>3</v>
      </c>
      <c r="E3549" t="str">
        <f>"1-197-3"</f>
        <v>1-197-3</v>
      </c>
      <c r="F3549" t="s">
        <v>15</v>
      </c>
      <c r="G3549" t="s">
        <v>20</v>
      </c>
      <c r="H3549" t="s">
        <v>21</v>
      </c>
      <c r="I3549">
        <v>0</v>
      </c>
      <c r="J3549">
        <v>1</v>
      </c>
      <c r="K3549">
        <v>0</v>
      </c>
    </row>
    <row r="3550" spans="1:11" x14ac:dyDescent="0.25">
      <c r="A3550" t="str">
        <f>"4484"</f>
        <v>4484</v>
      </c>
      <c r="B3550" t="str">
        <f t="shared" si="228"/>
        <v>1</v>
      </c>
      <c r="C3550" t="str">
        <f t="shared" si="230"/>
        <v>197</v>
      </c>
      <c r="D3550" t="str">
        <f>"24"</f>
        <v>24</v>
      </c>
      <c r="E3550" t="str">
        <f>"1-197-24"</f>
        <v>1-197-24</v>
      </c>
      <c r="F3550" t="s">
        <v>15</v>
      </c>
      <c r="G3550" t="s">
        <v>20</v>
      </c>
      <c r="H3550" t="s">
        <v>21</v>
      </c>
      <c r="I3550">
        <v>1</v>
      </c>
      <c r="J3550">
        <v>0</v>
      </c>
      <c r="K3550">
        <v>0</v>
      </c>
    </row>
    <row r="3551" spans="1:11" x14ac:dyDescent="0.25">
      <c r="A3551" t="str">
        <f>"4485"</f>
        <v>4485</v>
      </c>
      <c r="B3551" t="str">
        <f t="shared" si="228"/>
        <v>1</v>
      </c>
      <c r="C3551" t="str">
        <f t="shared" si="230"/>
        <v>197</v>
      </c>
      <c r="D3551" t="str">
        <f>"16"</f>
        <v>16</v>
      </c>
      <c r="E3551" t="str">
        <f>"1-197-16"</f>
        <v>1-197-16</v>
      </c>
      <c r="F3551" t="s">
        <v>15</v>
      </c>
      <c r="G3551" t="s">
        <v>20</v>
      </c>
      <c r="H3551" t="s">
        <v>21</v>
      </c>
      <c r="I3551">
        <v>0</v>
      </c>
      <c r="J3551">
        <v>1</v>
      </c>
      <c r="K3551">
        <v>0</v>
      </c>
    </row>
    <row r="3552" spans="1:11" x14ac:dyDescent="0.25">
      <c r="A3552" t="str">
        <f>"4486"</f>
        <v>4486</v>
      </c>
      <c r="B3552" t="str">
        <f t="shared" si="228"/>
        <v>1</v>
      </c>
      <c r="C3552" t="str">
        <f t="shared" si="230"/>
        <v>197</v>
      </c>
      <c r="D3552" t="str">
        <f>"2"</f>
        <v>2</v>
      </c>
      <c r="E3552" t="str">
        <f>"1-197-2"</f>
        <v>1-197-2</v>
      </c>
      <c r="F3552" t="s">
        <v>15</v>
      </c>
      <c r="G3552" t="s">
        <v>20</v>
      </c>
      <c r="H3552" t="s">
        <v>21</v>
      </c>
      <c r="I3552">
        <v>0</v>
      </c>
      <c r="J3552">
        <v>1</v>
      </c>
      <c r="K3552">
        <v>0</v>
      </c>
    </row>
    <row r="3553" spans="1:11" x14ac:dyDescent="0.25">
      <c r="A3553" t="str">
        <f>"4487"</f>
        <v>4487</v>
      </c>
      <c r="B3553" t="str">
        <f t="shared" si="228"/>
        <v>1</v>
      </c>
      <c r="C3553" t="str">
        <f t="shared" si="230"/>
        <v>197</v>
      </c>
      <c r="D3553" t="str">
        <f>"17"</f>
        <v>17</v>
      </c>
      <c r="E3553" t="str">
        <f>"1-197-17"</f>
        <v>1-197-17</v>
      </c>
      <c r="F3553" t="s">
        <v>15</v>
      </c>
      <c r="G3553" t="s">
        <v>20</v>
      </c>
      <c r="H3553" t="s">
        <v>21</v>
      </c>
      <c r="I3553">
        <v>0</v>
      </c>
      <c r="J3553">
        <v>1</v>
      </c>
      <c r="K3553">
        <v>0</v>
      </c>
    </row>
    <row r="3554" spans="1:11" x14ac:dyDescent="0.25">
      <c r="A3554" t="str">
        <f>"4488"</f>
        <v>4488</v>
      </c>
      <c r="B3554" t="str">
        <f t="shared" si="228"/>
        <v>1</v>
      </c>
      <c r="C3554" t="str">
        <f t="shared" si="230"/>
        <v>197</v>
      </c>
      <c r="D3554" t="str">
        <f>"1"</f>
        <v>1</v>
      </c>
      <c r="E3554" t="str">
        <f>"1-197-1"</f>
        <v>1-197-1</v>
      </c>
      <c r="F3554" t="s">
        <v>15</v>
      </c>
      <c r="G3554" t="s">
        <v>20</v>
      </c>
      <c r="H3554" t="s">
        <v>21</v>
      </c>
      <c r="I3554">
        <v>0</v>
      </c>
      <c r="J3554">
        <v>1</v>
      </c>
      <c r="K3554">
        <v>0</v>
      </c>
    </row>
    <row r="3555" spans="1:11" x14ac:dyDescent="0.25">
      <c r="A3555" t="str">
        <f>"4489"</f>
        <v>4489</v>
      </c>
      <c r="B3555" t="str">
        <f t="shared" si="228"/>
        <v>1</v>
      </c>
      <c r="C3555" t="str">
        <f t="shared" si="230"/>
        <v>197</v>
      </c>
      <c r="D3555" t="str">
        <f>"14"</f>
        <v>14</v>
      </c>
      <c r="E3555" t="str">
        <f>"1-197-14"</f>
        <v>1-197-14</v>
      </c>
      <c r="F3555" t="s">
        <v>15</v>
      </c>
      <c r="G3555" t="s">
        <v>20</v>
      </c>
      <c r="H3555" t="s">
        <v>21</v>
      </c>
      <c r="I3555">
        <v>0</v>
      </c>
      <c r="J3555">
        <v>1</v>
      </c>
      <c r="K3555">
        <v>0</v>
      </c>
    </row>
    <row r="3556" spans="1:11" x14ac:dyDescent="0.25">
      <c r="A3556" t="str">
        <f>"4490"</f>
        <v>4490</v>
      </c>
      <c r="B3556" t="str">
        <f t="shared" si="228"/>
        <v>1</v>
      </c>
      <c r="C3556" t="str">
        <f t="shared" si="230"/>
        <v>197</v>
      </c>
      <c r="D3556" t="str">
        <f>"19"</f>
        <v>19</v>
      </c>
      <c r="E3556" t="str">
        <f>"1-197-19"</f>
        <v>1-197-19</v>
      </c>
      <c r="F3556" t="s">
        <v>15</v>
      </c>
      <c r="G3556" t="s">
        <v>20</v>
      </c>
      <c r="H3556" t="s">
        <v>21</v>
      </c>
      <c r="I3556">
        <v>0</v>
      </c>
      <c r="J3556">
        <v>1</v>
      </c>
      <c r="K3556">
        <v>0</v>
      </c>
    </row>
    <row r="3557" spans="1:11" x14ac:dyDescent="0.25">
      <c r="A3557" t="str">
        <f>"4491"</f>
        <v>4491</v>
      </c>
      <c r="B3557" t="str">
        <f t="shared" si="228"/>
        <v>1</v>
      </c>
      <c r="C3557" t="str">
        <f t="shared" si="230"/>
        <v>197</v>
      </c>
      <c r="D3557" t="str">
        <f>"8"</f>
        <v>8</v>
      </c>
      <c r="E3557" t="str">
        <f>"1-197-8"</f>
        <v>1-197-8</v>
      </c>
      <c r="F3557" t="s">
        <v>15</v>
      </c>
      <c r="G3557" t="s">
        <v>20</v>
      </c>
      <c r="H3557" t="s">
        <v>21</v>
      </c>
      <c r="I3557">
        <v>0</v>
      </c>
      <c r="J3557">
        <v>1</v>
      </c>
      <c r="K3557">
        <v>0</v>
      </c>
    </row>
    <row r="3558" spans="1:11" x14ac:dyDescent="0.25">
      <c r="A3558" t="str">
        <f>"4492"</f>
        <v>4492</v>
      </c>
      <c r="B3558" t="str">
        <f t="shared" si="228"/>
        <v>1</v>
      </c>
      <c r="C3558" t="str">
        <f t="shared" si="230"/>
        <v>197</v>
      </c>
      <c r="D3558" t="str">
        <f>"20"</f>
        <v>20</v>
      </c>
      <c r="E3558" t="str">
        <f>"1-197-20"</f>
        <v>1-197-20</v>
      </c>
      <c r="F3558" t="s">
        <v>15</v>
      </c>
      <c r="G3558" t="s">
        <v>16</v>
      </c>
      <c r="H3558" t="s">
        <v>17</v>
      </c>
      <c r="I3558">
        <v>1</v>
      </c>
      <c r="J3558">
        <v>0</v>
      </c>
      <c r="K3558">
        <v>0</v>
      </c>
    </row>
    <row r="3559" spans="1:11" x14ac:dyDescent="0.25">
      <c r="A3559" t="str">
        <f>"4493"</f>
        <v>4493</v>
      </c>
      <c r="B3559" t="str">
        <f t="shared" si="228"/>
        <v>1</v>
      </c>
      <c r="C3559" t="str">
        <f t="shared" si="230"/>
        <v>197</v>
      </c>
      <c r="D3559" t="str">
        <f>"21"</f>
        <v>21</v>
      </c>
      <c r="E3559" t="str">
        <f>"1-197-21"</f>
        <v>1-197-21</v>
      </c>
      <c r="F3559" t="s">
        <v>15</v>
      </c>
      <c r="G3559" t="s">
        <v>20</v>
      </c>
      <c r="H3559" t="s">
        <v>21</v>
      </c>
      <c r="I3559">
        <v>0</v>
      </c>
      <c r="J3559">
        <v>0</v>
      </c>
      <c r="K3559">
        <v>1</v>
      </c>
    </row>
    <row r="3560" spans="1:11" x14ac:dyDescent="0.25">
      <c r="A3560" t="str">
        <f>"4494"</f>
        <v>4494</v>
      </c>
      <c r="B3560" t="str">
        <f t="shared" si="228"/>
        <v>1</v>
      </c>
      <c r="C3560" t="str">
        <f t="shared" si="230"/>
        <v>197</v>
      </c>
      <c r="D3560" t="str">
        <f>"4"</f>
        <v>4</v>
      </c>
      <c r="E3560" t="str">
        <f>"1-197-4"</f>
        <v>1-197-4</v>
      </c>
      <c r="F3560" t="s">
        <v>15</v>
      </c>
      <c r="G3560" t="s">
        <v>20</v>
      </c>
      <c r="H3560" t="s">
        <v>21</v>
      </c>
      <c r="I3560">
        <v>1</v>
      </c>
      <c r="J3560">
        <v>0</v>
      </c>
      <c r="K3560">
        <v>0</v>
      </c>
    </row>
    <row r="3561" spans="1:11" x14ac:dyDescent="0.25">
      <c r="A3561" t="str">
        <f>"4495"</f>
        <v>4495</v>
      </c>
      <c r="B3561" t="str">
        <f t="shared" si="228"/>
        <v>1</v>
      </c>
      <c r="C3561" t="str">
        <f t="shared" si="230"/>
        <v>197</v>
      </c>
      <c r="D3561" t="str">
        <f>"22"</f>
        <v>22</v>
      </c>
      <c r="E3561" t="str">
        <f>"1-197-22"</f>
        <v>1-197-22</v>
      </c>
      <c r="F3561" t="s">
        <v>15</v>
      </c>
      <c r="G3561" t="s">
        <v>20</v>
      </c>
      <c r="H3561" t="s">
        <v>21</v>
      </c>
      <c r="I3561">
        <v>0</v>
      </c>
      <c r="J3561">
        <v>1</v>
      </c>
      <c r="K3561">
        <v>0</v>
      </c>
    </row>
    <row r="3562" spans="1:11" x14ac:dyDescent="0.25">
      <c r="A3562" t="str">
        <f>"4496"</f>
        <v>4496</v>
      </c>
      <c r="B3562" t="str">
        <f t="shared" si="228"/>
        <v>1</v>
      </c>
      <c r="C3562" t="str">
        <f t="shared" si="230"/>
        <v>197</v>
      </c>
      <c r="D3562" t="str">
        <f>"11"</f>
        <v>11</v>
      </c>
      <c r="E3562" t="str">
        <f>"1-197-11"</f>
        <v>1-197-11</v>
      </c>
      <c r="F3562" t="s">
        <v>15</v>
      </c>
      <c r="G3562" t="s">
        <v>20</v>
      </c>
      <c r="H3562" t="s">
        <v>21</v>
      </c>
      <c r="I3562">
        <v>1</v>
      </c>
      <c r="J3562">
        <v>0</v>
      </c>
      <c r="K3562">
        <v>0</v>
      </c>
    </row>
    <row r="3563" spans="1:11" x14ac:dyDescent="0.25">
      <c r="A3563" t="str">
        <f>"4497"</f>
        <v>4497</v>
      </c>
      <c r="B3563" t="str">
        <f t="shared" si="228"/>
        <v>1</v>
      </c>
      <c r="C3563" t="str">
        <f t="shared" si="230"/>
        <v>197</v>
      </c>
      <c r="D3563" t="str">
        <f>"12"</f>
        <v>12</v>
      </c>
      <c r="E3563" t="str">
        <f>"1-197-12"</f>
        <v>1-197-12</v>
      </c>
      <c r="F3563" t="s">
        <v>15</v>
      </c>
      <c r="G3563" t="s">
        <v>20</v>
      </c>
      <c r="H3563" t="s">
        <v>21</v>
      </c>
      <c r="I3563">
        <v>1</v>
      </c>
      <c r="J3563">
        <v>0</v>
      </c>
      <c r="K3563">
        <v>0</v>
      </c>
    </row>
    <row r="3564" spans="1:11" x14ac:dyDescent="0.25">
      <c r="A3564" t="str">
        <f>"4498"</f>
        <v>4498</v>
      </c>
      <c r="B3564" t="str">
        <f t="shared" si="228"/>
        <v>1</v>
      </c>
      <c r="C3564" t="str">
        <f t="shared" si="230"/>
        <v>197</v>
      </c>
      <c r="D3564" t="str">
        <f>"25"</f>
        <v>25</v>
      </c>
      <c r="E3564" t="str">
        <f>"1-197-25"</f>
        <v>1-197-25</v>
      </c>
      <c r="F3564" t="s">
        <v>15</v>
      </c>
      <c r="G3564" t="s">
        <v>20</v>
      </c>
      <c r="H3564" t="s">
        <v>21</v>
      </c>
      <c r="I3564">
        <v>1</v>
      </c>
      <c r="J3564">
        <v>0</v>
      </c>
      <c r="K3564">
        <v>0</v>
      </c>
    </row>
    <row r="3565" spans="1:11" x14ac:dyDescent="0.25">
      <c r="A3565" t="str">
        <f>"4499"</f>
        <v>4499</v>
      </c>
      <c r="B3565" t="str">
        <f t="shared" si="228"/>
        <v>1</v>
      </c>
      <c r="C3565" t="str">
        <f t="shared" si="230"/>
        <v>197</v>
      </c>
      <c r="D3565" t="str">
        <f>"10"</f>
        <v>10</v>
      </c>
      <c r="E3565" t="str">
        <f>"1-197-10"</f>
        <v>1-197-10</v>
      </c>
      <c r="F3565" t="s">
        <v>15</v>
      </c>
      <c r="G3565" t="s">
        <v>20</v>
      </c>
      <c r="H3565" t="s">
        <v>21</v>
      </c>
      <c r="I3565">
        <v>0</v>
      </c>
      <c r="J3565">
        <v>0</v>
      </c>
      <c r="K3565">
        <v>1</v>
      </c>
    </row>
    <row r="3566" spans="1:11" x14ac:dyDescent="0.25">
      <c r="A3566" t="str">
        <f>"4500"</f>
        <v>4500</v>
      </c>
      <c r="B3566" t="str">
        <f t="shared" si="228"/>
        <v>1</v>
      </c>
      <c r="C3566" t="str">
        <f t="shared" si="230"/>
        <v>197</v>
      </c>
      <c r="D3566" t="str">
        <f>"6"</f>
        <v>6</v>
      </c>
      <c r="E3566" t="str">
        <f>"1-197-6"</f>
        <v>1-197-6</v>
      </c>
      <c r="F3566" t="s">
        <v>15</v>
      </c>
      <c r="G3566" t="s">
        <v>20</v>
      </c>
      <c r="H3566" t="s">
        <v>21</v>
      </c>
      <c r="I3566">
        <v>1</v>
      </c>
      <c r="J3566">
        <v>0</v>
      </c>
      <c r="K3566">
        <v>0</v>
      </c>
    </row>
    <row r="3567" spans="1:11" x14ac:dyDescent="0.25">
      <c r="A3567" t="str">
        <f>"4501"</f>
        <v>4501</v>
      </c>
      <c r="B3567" t="str">
        <f t="shared" si="228"/>
        <v>1</v>
      </c>
      <c r="C3567" t="str">
        <f t="shared" si="230"/>
        <v>197</v>
      </c>
      <c r="D3567" t="str">
        <f>"5"</f>
        <v>5</v>
      </c>
      <c r="E3567" t="str">
        <f>"1-197-5"</f>
        <v>1-197-5</v>
      </c>
      <c r="F3567" t="s">
        <v>15</v>
      </c>
      <c r="G3567" t="s">
        <v>20</v>
      </c>
      <c r="H3567" t="s">
        <v>21</v>
      </c>
      <c r="I3567">
        <v>1</v>
      </c>
      <c r="J3567">
        <v>0</v>
      </c>
      <c r="K3567">
        <v>0</v>
      </c>
    </row>
    <row r="3568" spans="1:11" x14ac:dyDescent="0.25">
      <c r="A3568" t="str">
        <f>"4502"</f>
        <v>4502</v>
      </c>
      <c r="B3568" t="str">
        <f t="shared" si="228"/>
        <v>1</v>
      </c>
      <c r="C3568" t="str">
        <f t="shared" si="230"/>
        <v>197</v>
      </c>
      <c r="D3568" t="str">
        <f>"7"</f>
        <v>7</v>
      </c>
      <c r="E3568" t="str">
        <f>"1-197-7"</f>
        <v>1-197-7</v>
      </c>
      <c r="F3568" t="s">
        <v>15</v>
      </c>
      <c r="G3568" t="s">
        <v>20</v>
      </c>
      <c r="H3568" t="s">
        <v>21</v>
      </c>
      <c r="I3568">
        <v>1</v>
      </c>
      <c r="J3568">
        <v>0</v>
      </c>
      <c r="K3568">
        <v>0</v>
      </c>
    </row>
    <row r="3569" spans="1:11" x14ac:dyDescent="0.25">
      <c r="A3569" t="str">
        <f>"4503"</f>
        <v>4503</v>
      </c>
      <c r="B3569" t="str">
        <f t="shared" si="228"/>
        <v>1</v>
      </c>
      <c r="C3569" t="str">
        <f t="shared" si="230"/>
        <v>197</v>
      </c>
      <c r="D3569" t="str">
        <f>"9"</f>
        <v>9</v>
      </c>
      <c r="E3569" t="str">
        <f>"1-197-9"</f>
        <v>1-197-9</v>
      </c>
      <c r="F3569" t="s">
        <v>15</v>
      </c>
      <c r="G3569" t="s">
        <v>20</v>
      </c>
      <c r="H3569" t="s">
        <v>21</v>
      </c>
      <c r="I3569">
        <v>0</v>
      </c>
      <c r="J3569">
        <v>1</v>
      </c>
      <c r="K3569">
        <v>0</v>
      </c>
    </row>
    <row r="3570" spans="1:11" x14ac:dyDescent="0.25">
      <c r="A3570" t="str">
        <f>"4504"</f>
        <v>4504</v>
      </c>
      <c r="B3570" t="str">
        <f t="shared" si="228"/>
        <v>1</v>
      </c>
      <c r="C3570" t="str">
        <f t="shared" si="230"/>
        <v>197</v>
      </c>
      <c r="D3570" t="str">
        <f>"13"</f>
        <v>13</v>
      </c>
      <c r="E3570" t="str">
        <f>"1-197-13"</f>
        <v>1-197-13</v>
      </c>
      <c r="F3570" t="s">
        <v>15</v>
      </c>
      <c r="G3570" t="s">
        <v>20</v>
      </c>
      <c r="H3570" t="s">
        <v>21</v>
      </c>
      <c r="I3570">
        <v>0</v>
      </c>
      <c r="J3570">
        <v>0</v>
      </c>
      <c r="K3570">
        <v>0</v>
      </c>
    </row>
    <row r="3571" spans="1:11" x14ac:dyDescent="0.25">
      <c r="A3571" t="str">
        <f>"4505"</f>
        <v>4505</v>
      </c>
      <c r="B3571" t="str">
        <f t="shared" si="228"/>
        <v>1</v>
      </c>
      <c r="C3571" t="str">
        <f t="shared" si="230"/>
        <v>197</v>
      </c>
      <c r="D3571" t="str">
        <f>"18"</f>
        <v>18</v>
      </c>
      <c r="E3571" t="str">
        <f>"1-197-18"</f>
        <v>1-197-18</v>
      </c>
      <c r="F3571" t="s">
        <v>15</v>
      </c>
      <c r="G3571" t="s">
        <v>20</v>
      </c>
      <c r="H3571" t="s">
        <v>21</v>
      </c>
      <c r="I3571">
        <v>0</v>
      </c>
      <c r="J3571">
        <v>0</v>
      </c>
      <c r="K3571">
        <v>0</v>
      </c>
    </row>
    <row r="3572" spans="1:11" x14ac:dyDescent="0.25">
      <c r="A3572" t="str">
        <f>"4506"</f>
        <v>4506</v>
      </c>
      <c r="B3572" t="str">
        <f t="shared" ref="B3572:B3598" si="231">"1"</f>
        <v>1</v>
      </c>
      <c r="C3572" t="str">
        <f t="shared" si="230"/>
        <v>197</v>
      </c>
      <c r="D3572" t="str">
        <f>"23"</f>
        <v>23</v>
      </c>
      <c r="E3572" t="str">
        <f>"1-197-23"</f>
        <v>1-197-23</v>
      </c>
      <c r="F3572" t="s">
        <v>15</v>
      </c>
      <c r="G3572" t="s">
        <v>20</v>
      </c>
      <c r="H3572" t="s">
        <v>21</v>
      </c>
      <c r="I3572">
        <v>0</v>
      </c>
      <c r="J3572">
        <v>0</v>
      </c>
      <c r="K3572">
        <v>0</v>
      </c>
    </row>
    <row r="3573" spans="1:11" x14ac:dyDescent="0.25">
      <c r="A3573" t="str">
        <f>"4544"</f>
        <v>4544</v>
      </c>
      <c r="B3573" t="str">
        <f t="shared" si="231"/>
        <v>1</v>
      </c>
      <c r="C3573" t="str">
        <f t="shared" ref="C3573:C3600" si="232">"200"</f>
        <v>200</v>
      </c>
      <c r="D3573" t="str">
        <f>"28"</f>
        <v>28</v>
      </c>
      <c r="E3573" t="str">
        <f>"1-200-28"</f>
        <v>1-200-28</v>
      </c>
      <c r="F3573" t="s">
        <v>15</v>
      </c>
      <c r="G3573" t="s">
        <v>18</v>
      </c>
      <c r="H3573" t="s">
        <v>19</v>
      </c>
      <c r="I3573">
        <v>1</v>
      </c>
      <c r="J3573">
        <v>0</v>
      </c>
      <c r="K3573">
        <v>0</v>
      </c>
    </row>
    <row r="3574" spans="1:11" x14ac:dyDescent="0.25">
      <c r="A3574" t="str">
        <f>"4545"</f>
        <v>4545</v>
      </c>
      <c r="B3574" t="str">
        <f t="shared" si="231"/>
        <v>1</v>
      </c>
      <c r="C3574" t="str">
        <f t="shared" si="232"/>
        <v>200</v>
      </c>
      <c r="D3574" t="str">
        <f>"15"</f>
        <v>15</v>
      </c>
      <c r="E3574" t="str">
        <f>"1-200-15"</f>
        <v>1-200-15</v>
      </c>
      <c r="F3574" t="s">
        <v>15</v>
      </c>
      <c r="G3574" t="s">
        <v>16</v>
      </c>
      <c r="H3574" t="s">
        <v>17</v>
      </c>
      <c r="I3574">
        <v>0</v>
      </c>
      <c r="J3574">
        <v>0</v>
      </c>
      <c r="K3574">
        <v>1</v>
      </c>
    </row>
    <row r="3575" spans="1:11" x14ac:dyDescent="0.25">
      <c r="A3575" t="str">
        <f>"4546"</f>
        <v>4546</v>
      </c>
      <c r="B3575" t="str">
        <f t="shared" si="231"/>
        <v>1</v>
      </c>
      <c r="C3575" t="str">
        <f t="shared" si="232"/>
        <v>200</v>
      </c>
      <c r="D3575" t="str">
        <f>"4"</f>
        <v>4</v>
      </c>
      <c r="E3575" t="str">
        <f>"1-200-4"</f>
        <v>1-200-4</v>
      </c>
      <c r="F3575" t="s">
        <v>15</v>
      </c>
      <c r="G3575" t="s">
        <v>16</v>
      </c>
      <c r="H3575" t="s">
        <v>17</v>
      </c>
      <c r="I3575">
        <v>1</v>
      </c>
      <c r="J3575">
        <v>0</v>
      </c>
      <c r="K3575">
        <v>0</v>
      </c>
    </row>
    <row r="3576" spans="1:11" x14ac:dyDescent="0.25">
      <c r="A3576" t="str">
        <f>"4547"</f>
        <v>4547</v>
      </c>
      <c r="B3576" t="str">
        <f t="shared" si="231"/>
        <v>1</v>
      </c>
      <c r="C3576" t="str">
        <f t="shared" si="232"/>
        <v>200</v>
      </c>
      <c r="D3576" t="str">
        <f>"23"</f>
        <v>23</v>
      </c>
      <c r="E3576" t="str">
        <f>"1-200-23"</f>
        <v>1-200-23</v>
      </c>
      <c r="F3576" t="s">
        <v>15</v>
      </c>
      <c r="G3576" t="s">
        <v>16</v>
      </c>
      <c r="H3576" t="s">
        <v>17</v>
      </c>
      <c r="I3576">
        <v>1</v>
      </c>
      <c r="J3576">
        <v>0</v>
      </c>
      <c r="K3576">
        <v>0</v>
      </c>
    </row>
    <row r="3577" spans="1:11" x14ac:dyDescent="0.25">
      <c r="A3577" t="str">
        <f>"4548"</f>
        <v>4548</v>
      </c>
      <c r="B3577" t="str">
        <f t="shared" si="231"/>
        <v>1</v>
      </c>
      <c r="C3577" t="str">
        <f t="shared" si="232"/>
        <v>200</v>
      </c>
      <c r="D3577" t="str">
        <f>"16"</f>
        <v>16</v>
      </c>
      <c r="E3577" t="str">
        <f>"1-200-16"</f>
        <v>1-200-16</v>
      </c>
      <c r="F3577" t="s">
        <v>15</v>
      </c>
      <c r="G3577" t="s">
        <v>16</v>
      </c>
      <c r="H3577" t="s">
        <v>17</v>
      </c>
      <c r="I3577">
        <v>0</v>
      </c>
      <c r="J3577">
        <v>0</v>
      </c>
      <c r="K3577">
        <v>1</v>
      </c>
    </row>
    <row r="3578" spans="1:11" x14ac:dyDescent="0.25">
      <c r="A3578" t="str">
        <f>"4549"</f>
        <v>4549</v>
      </c>
      <c r="B3578" t="str">
        <f t="shared" si="231"/>
        <v>1</v>
      </c>
      <c r="C3578" t="str">
        <f t="shared" si="232"/>
        <v>200</v>
      </c>
      <c r="D3578" t="str">
        <f>"3"</f>
        <v>3</v>
      </c>
      <c r="E3578" t="str">
        <f>"1-200-3"</f>
        <v>1-200-3</v>
      </c>
      <c r="F3578" t="s">
        <v>15</v>
      </c>
      <c r="G3578" t="s">
        <v>18</v>
      </c>
      <c r="H3578" t="s">
        <v>19</v>
      </c>
      <c r="I3578">
        <v>0</v>
      </c>
      <c r="J3578">
        <v>1</v>
      </c>
      <c r="K3578">
        <v>0</v>
      </c>
    </row>
    <row r="3579" spans="1:11" x14ac:dyDescent="0.25">
      <c r="A3579" t="str">
        <f>"4550"</f>
        <v>4550</v>
      </c>
      <c r="B3579" t="str">
        <f t="shared" si="231"/>
        <v>1</v>
      </c>
      <c r="C3579" t="str">
        <f t="shared" si="232"/>
        <v>200</v>
      </c>
      <c r="D3579" t="str">
        <f>"17"</f>
        <v>17</v>
      </c>
      <c r="E3579" t="str">
        <f>"1-200-17"</f>
        <v>1-200-17</v>
      </c>
      <c r="F3579" t="s">
        <v>15</v>
      </c>
      <c r="G3579" t="s">
        <v>16</v>
      </c>
      <c r="H3579" t="s">
        <v>17</v>
      </c>
      <c r="I3579">
        <v>0</v>
      </c>
      <c r="J3579">
        <v>0</v>
      </c>
      <c r="K3579">
        <v>1</v>
      </c>
    </row>
    <row r="3580" spans="1:11" x14ac:dyDescent="0.25">
      <c r="A3580" t="str">
        <f>"4551"</f>
        <v>4551</v>
      </c>
      <c r="B3580" t="str">
        <f t="shared" si="231"/>
        <v>1</v>
      </c>
      <c r="C3580" t="str">
        <f t="shared" si="232"/>
        <v>200</v>
      </c>
      <c r="D3580" t="str">
        <f>"1"</f>
        <v>1</v>
      </c>
      <c r="E3580" t="str">
        <f>"1-200-1"</f>
        <v>1-200-1</v>
      </c>
      <c r="F3580" t="s">
        <v>15</v>
      </c>
      <c r="G3580" t="s">
        <v>20</v>
      </c>
      <c r="H3580" t="s">
        <v>21</v>
      </c>
      <c r="I3580">
        <v>0</v>
      </c>
      <c r="J3580">
        <v>1</v>
      </c>
      <c r="K3580">
        <v>0</v>
      </c>
    </row>
    <row r="3581" spans="1:11" x14ac:dyDescent="0.25">
      <c r="A3581" t="str">
        <f>"4552"</f>
        <v>4552</v>
      </c>
      <c r="B3581" t="str">
        <f t="shared" si="231"/>
        <v>1</v>
      </c>
      <c r="C3581" t="str">
        <f t="shared" si="232"/>
        <v>200</v>
      </c>
      <c r="D3581" t="str">
        <f>"18"</f>
        <v>18</v>
      </c>
      <c r="E3581" t="str">
        <f>"1-200-18"</f>
        <v>1-200-18</v>
      </c>
      <c r="F3581" t="s">
        <v>15</v>
      </c>
      <c r="G3581" t="s">
        <v>18</v>
      </c>
      <c r="H3581" t="s">
        <v>19</v>
      </c>
      <c r="I3581">
        <v>1</v>
      </c>
      <c r="J3581">
        <v>0</v>
      </c>
      <c r="K3581">
        <v>0</v>
      </c>
    </row>
    <row r="3582" spans="1:11" x14ac:dyDescent="0.25">
      <c r="A3582" t="str">
        <f>"4553"</f>
        <v>4553</v>
      </c>
      <c r="B3582" t="str">
        <f t="shared" si="231"/>
        <v>1</v>
      </c>
      <c r="C3582" t="str">
        <f t="shared" si="232"/>
        <v>200</v>
      </c>
      <c r="D3582" t="str">
        <f>"12"</f>
        <v>12</v>
      </c>
      <c r="E3582" t="str">
        <f>"1-200-12"</f>
        <v>1-200-12</v>
      </c>
      <c r="F3582" t="s">
        <v>15</v>
      </c>
      <c r="G3582" t="s">
        <v>16</v>
      </c>
      <c r="H3582" t="s">
        <v>17</v>
      </c>
      <c r="I3582">
        <v>0</v>
      </c>
      <c r="J3582">
        <v>1</v>
      </c>
      <c r="K3582">
        <v>0</v>
      </c>
    </row>
    <row r="3583" spans="1:11" x14ac:dyDescent="0.25">
      <c r="A3583" t="str">
        <f>"4554"</f>
        <v>4554</v>
      </c>
      <c r="B3583" t="str">
        <f t="shared" si="231"/>
        <v>1</v>
      </c>
      <c r="C3583" t="str">
        <f t="shared" si="232"/>
        <v>200</v>
      </c>
      <c r="D3583" t="str">
        <f>"13"</f>
        <v>13</v>
      </c>
      <c r="E3583" t="str">
        <f>"1-200-13"</f>
        <v>1-200-13</v>
      </c>
      <c r="F3583" t="s">
        <v>15</v>
      </c>
      <c r="G3583" t="s">
        <v>16</v>
      </c>
      <c r="H3583" t="s">
        <v>17</v>
      </c>
      <c r="I3583">
        <v>0</v>
      </c>
      <c r="J3583">
        <v>0</v>
      </c>
      <c r="K3583">
        <v>1</v>
      </c>
    </row>
    <row r="3584" spans="1:11" x14ac:dyDescent="0.25">
      <c r="A3584" t="str">
        <f>"4555"</f>
        <v>4555</v>
      </c>
      <c r="B3584" t="str">
        <f t="shared" si="231"/>
        <v>1</v>
      </c>
      <c r="C3584" t="str">
        <f t="shared" si="232"/>
        <v>200</v>
      </c>
      <c r="D3584" t="str">
        <f>"20"</f>
        <v>20</v>
      </c>
      <c r="E3584" t="str">
        <f>"1-200-20"</f>
        <v>1-200-20</v>
      </c>
      <c r="F3584" t="s">
        <v>15</v>
      </c>
      <c r="G3584" t="s">
        <v>16</v>
      </c>
      <c r="H3584" t="s">
        <v>17</v>
      </c>
      <c r="I3584">
        <v>1</v>
      </c>
      <c r="J3584">
        <v>0</v>
      </c>
      <c r="K3584">
        <v>0</v>
      </c>
    </row>
    <row r="3585" spans="1:11" x14ac:dyDescent="0.25">
      <c r="A3585" t="str">
        <f>"4556"</f>
        <v>4556</v>
      </c>
      <c r="B3585" t="str">
        <f t="shared" si="231"/>
        <v>1</v>
      </c>
      <c r="C3585" t="str">
        <f t="shared" si="232"/>
        <v>200</v>
      </c>
      <c r="D3585" t="str">
        <f>"6"</f>
        <v>6</v>
      </c>
      <c r="E3585" t="str">
        <f>"1-200-6"</f>
        <v>1-200-6</v>
      </c>
      <c r="F3585" t="s">
        <v>15</v>
      </c>
      <c r="G3585" t="s">
        <v>16</v>
      </c>
      <c r="H3585" t="s">
        <v>17</v>
      </c>
      <c r="I3585">
        <v>0</v>
      </c>
      <c r="J3585">
        <v>0</v>
      </c>
      <c r="K3585">
        <v>1</v>
      </c>
    </row>
    <row r="3586" spans="1:11" x14ac:dyDescent="0.25">
      <c r="A3586" t="str">
        <f>"4557"</f>
        <v>4557</v>
      </c>
      <c r="B3586" t="str">
        <f t="shared" si="231"/>
        <v>1</v>
      </c>
      <c r="C3586" t="str">
        <f t="shared" si="232"/>
        <v>200</v>
      </c>
      <c r="D3586" t="str">
        <f>"21"</f>
        <v>21</v>
      </c>
      <c r="E3586" t="str">
        <f>"1-200-21"</f>
        <v>1-200-21</v>
      </c>
      <c r="F3586" t="s">
        <v>15</v>
      </c>
      <c r="G3586" t="s">
        <v>16</v>
      </c>
      <c r="H3586" t="s">
        <v>17</v>
      </c>
      <c r="I3586">
        <v>1</v>
      </c>
      <c r="J3586">
        <v>0</v>
      </c>
      <c r="K3586">
        <v>0</v>
      </c>
    </row>
    <row r="3587" spans="1:11" x14ac:dyDescent="0.25">
      <c r="A3587" t="str">
        <f>"4558"</f>
        <v>4558</v>
      </c>
      <c r="B3587" t="str">
        <f t="shared" si="231"/>
        <v>1</v>
      </c>
      <c r="C3587" t="str">
        <f t="shared" si="232"/>
        <v>200</v>
      </c>
      <c r="D3587" t="str">
        <f>"14"</f>
        <v>14</v>
      </c>
      <c r="E3587" t="str">
        <f>"1-200-14"</f>
        <v>1-200-14</v>
      </c>
      <c r="F3587" t="s">
        <v>15</v>
      </c>
      <c r="G3587" t="s">
        <v>16</v>
      </c>
      <c r="H3587" t="s">
        <v>17</v>
      </c>
      <c r="I3587">
        <v>0</v>
      </c>
      <c r="J3587">
        <v>0</v>
      </c>
      <c r="K3587">
        <v>1</v>
      </c>
    </row>
    <row r="3588" spans="1:11" x14ac:dyDescent="0.25">
      <c r="A3588" t="str">
        <f>"4559"</f>
        <v>4559</v>
      </c>
      <c r="B3588" t="str">
        <f t="shared" si="231"/>
        <v>1</v>
      </c>
      <c r="C3588" t="str">
        <f t="shared" si="232"/>
        <v>200</v>
      </c>
      <c r="D3588" t="str">
        <f>"22"</f>
        <v>22</v>
      </c>
      <c r="E3588" t="str">
        <f>"1-200-22"</f>
        <v>1-200-22</v>
      </c>
      <c r="F3588" t="s">
        <v>15</v>
      </c>
      <c r="G3588" t="s">
        <v>18</v>
      </c>
      <c r="H3588" t="s">
        <v>19</v>
      </c>
      <c r="I3588">
        <v>1</v>
      </c>
      <c r="J3588">
        <v>0</v>
      </c>
      <c r="K3588">
        <v>0</v>
      </c>
    </row>
    <row r="3589" spans="1:11" x14ac:dyDescent="0.25">
      <c r="A3589" t="str">
        <f>"4560"</f>
        <v>4560</v>
      </c>
      <c r="B3589" t="str">
        <f t="shared" si="231"/>
        <v>1</v>
      </c>
      <c r="C3589" t="str">
        <f t="shared" si="232"/>
        <v>200</v>
      </c>
      <c r="D3589" t="str">
        <f>"10"</f>
        <v>10</v>
      </c>
      <c r="E3589" t="str">
        <f>"1-200-10"</f>
        <v>1-200-10</v>
      </c>
      <c r="F3589" t="s">
        <v>15</v>
      </c>
      <c r="G3589" t="s">
        <v>18</v>
      </c>
      <c r="H3589" t="s">
        <v>19</v>
      </c>
      <c r="I3589">
        <v>1</v>
      </c>
      <c r="J3589">
        <v>0</v>
      </c>
      <c r="K3589">
        <v>0</v>
      </c>
    </row>
    <row r="3590" spans="1:11" x14ac:dyDescent="0.25">
      <c r="A3590" t="str">
        <f>"4561"</f>
        <v>4561</v>
      </c>
      <c r="B3590" t="str">
        <f t="shared" si="231"/>
        <v>1</v>
      </c>
      <c r="C3590" t="str">
        <f t="shared" si="232"/>
        <v>200</v>
      </c>
      <c r="D3590" t="str">
        <f>"24"</f>
        <v>24</v>
      </c>
      <c r="E3590" t="str">
        <f>"1-200-24"</f>
        <v>1-200-24</v>
      </c>
      <c r="F3590" t="s">
        <v>15</v>
      </c>
      <c r="G3590" t="s">
        <v>16</v>
      </c>
      <c r="H3590" t="s">
        <v>17</v>
      </c>
      <c r="I3590">
        <v>1</v>
      </c>
      <c r="J3590">
        <v>0</v>
      </c>
      <c r="K3590">
        <v>0</v>
      </c>
    </row>
    <row r="3591" spans="1:11" x14ac:dyDescent="0.25">
      <c r="A3591" t="str">
        <f>"4562"</f>
        <v>4562</v>
      </c>
      <c r="B3591" t="str">
        <f t="shared" si="231"/>
        <v>1</v>
      </c>
      <c r="C3591" t="str">
        <f t="shared" si="232"/>
        <v>200</v>
      </c>
      <c r="D3591" t="str">
        <f>"9"</f>
        <v>9</v>
      </c>
      <c r="E3591" t="str">
        <f>"1-200-9"</f>
        <v>1-200-9</v>
      </c>
      <c r="F3591" t="s">
        <v>15</v>
      </c>
      <c r="G3591" t="s">
        <v>18</v>
      </c>
      <c r="H3591" t="s">
        <v>19</v>
      </c>
      <c r="I3591">
        <v>1</v>
      </c>
      <c r="J3591">
        <v>0</v>
      </c>
      <c r="K3591">
        <v>0</v>
      </c>
    </row>
    <row r="3592" spans="1:11" x14ac:dyDescent="0.25">
      <c r="A3592" t="str">
        <f>"4563"</f>
        <v>4563</v>
      </c>
      <c r="B3592" t="str">
        <f t="shared" si="231"/>
        <v>1</v>
      </c>
      <c r="C3592" t="str">
        <f t="shared" si="232"/>
        <v>200</v>
      </c>
      <c r="D3592" t="str">
        <f>"25"</f>
        <v>25</v>
      </c>
      <c r="E3592" t="str">
        <f>"1-200-25"</f>
        <v>1-200-25</v>
      </c>
      <c r="F3592" t="s">
        <v>15</v>
      </c>
      <c r="G3592" t="s">
        <v>16</v>
      </c>
      <c r="H3592" t="s">
        <v>17</v>
      </c>
      <c r="I3592">
        <v>1</v>
      </c>
      <c r="J3592">
        <v>0</v>
      </c>
      <c r="K3592">
        <v>0</v>
      </c>
    </row>
    <row r="3593" spans="1:11" x14ac:dyDescent="0.25">
      <c r="A3593" t="str">
        <f>"4564"</f>
        <v>4564</v>
      </c>
      <c r="B3593" t="str">
        <f t="shared" si="231"/>
        <v>1</v>
      </c>
      <c r="C3593" t="str">
        <f t="shared" si="232"/>
        <v>200</v>
      </c>
      <c r="D3593" t="str">
        <f>"5"</f>
        <v>5</v>
      </c>
      <c r="E3593" t="str">
        <f>"1-200-5"</f>
        <v>1-200-5</v>
      </c>
      <c r="F3593" t="s">
        <v>15</v>
      </c>
      <c r="G3593" t="s">
        <v>16</v>
      </c>
      <c r="H3593" t="s">
        <v>17</v>
      </c>
      <c r="I3593">
        <v>1</v>
      </c>
      <c r="J3593">
        <v>0</v>
      </c>
      <c r="K3593">
        <v>0</v>
      </c>
    </row>
    <row r="3594" spans="1:11" x14ac:dyDescent="0.25">
      <c r="A3594" t="str">
        <f>"4565"</f>
        <v>4565</v>
      </c>
      <c r="B3594" t="str">
        <f t="shared" si="231"/>
        <v>1</v>
      </c>
      <c r="C3594" t="str">
        <f t="shared" si="232"/>
        <v>200</v>
      </c>
      <c r="D3594" t="str">
        <f>"26"</f>
        <v>26</v>
      </c>
      <c r="E3594" t="str">
        <f>"1-200-26"</f>
        <v>1-200-26</v>
      </c>
      <c r="F3594" t="s">
        <v>15</v>
      </c>
      <c r="G3594" t="s">
        <v>18</v>
      </c>
      <c r="H3594" t="s">
        <v>19</v>
      </c>
      <c r="I3594">
        <v>1</v>
      </c>
      <c r="J3594">
        <v>0</v>
      </c>
      <c r="K3594">
        <v>0</v>
      </c>
    </row>
    <row r="3595" spans="1:11" x14ac:dyDescent="0.25">
      <c r="A3595" t="str">
        <f>"4566"</f>
        <v>4566</v>
      </c>
      <c r="B3595" t="str">
        <f t="shared" si="231"/>
        <v>1</v>
      </c>
      <c r="C3595" t="str">
        <f t="shared" si="232"/>
        <v>200</v>
      </c>
      <c r="D3595" t="str">
        <f>"7"</f>
        <v>7</v>
      </c>
      <c r="E3595" t="str">
        <f>"1-200-7"</f>
        <v>1-200-7</v>
      </c>
      <c r="F3595" t="s">
        <v>15</v>
      </c>
      <c r="G3595" t="s">
        <v>16</v>
      </c>
      <c r="H3595" t="s">
        <v>17</v>
      </c>
      <c r="I3595">
        <v>0</v>
      </c>
      <c r="J3595">
        <v>1</v>
      </c>
      <c r="K3595">
        <v>0</v>
      </c>
    </row>
    <row r="3596" spans="1:11" x14ac:dyDescent="0.25">
      <c r="A3596" t="str">
        <f>"4567"</f>
        <v>4567</v>
      </c>
      <c r="B3596" t="str">
        <f t="shared" si="231"/>
        <v>1</v>
      </c>
      <c r="C3596" t="str">
        <f t="shared" si="232"/>
        <v>200</v>
      </c>
      <c r="D3596" t="str">
        <f>"27"</f>
        <v>27</v>
      </c>
      <c r="E3596" t="str">
        <f>"1-200-27"</f>
        <v>1-200-27</v>
      </c>
      <c r="F3596" t="s">
        <v>15</v>
      </c>
      <c r="G3596" t="s">
        <v>16</v>
      </c>
      <c r="H3596" t="s">
        <v>17</v>
      </c>
      <c r="I3596">
        <v>0</v>
      </c>
      <c r="J3596">
        <v>1</v>
      </c>
      <c r="K3596">
        <v>0</v>
      </c>
    </row>
    <row r="3597" spans="1:11" x14ac:dyDescent="0.25">
      <c r="A3597" t="str">
        <f>"4568"</f>
        <v>4568</v>
      </c>
      <c r="B3597" t="str">
        <f t="shared" si="231"/>
        <v>1</v>
      </c>
      <c r="C3597" t="str">
        <f t="shared" si="232"/>
        <v>200</v>
      </c>
      <c r="D3597" t="str">
        <f>"8"</f>
        <v>8</v>
      </c>
      <c r="E3597" t="str">
        <f>"1-200-8"</f>
        <v>1-200-8</v>
      </c>
      <c r="F3597" t="s">
        <v>15</v>
      </c>
      <c r="G3597" t="s">
        <v>16</v>
      </c>
      <c r="H3597" t="s">
        <v>17</v>
      </c>
      <c r="I3597">
        <v>1</v>
      </c>
      <c r="J3597">
        <v>0</v>
      </c>
      <c r="K3597">
        <v>0</v>
      </c>
    </row>
    <row r="3598" spans="1:11" x14ac:dyDescent="0.25">
      <c r="A3598" t="str">
        <f>"4569"</f>
        <v>4569</v>
      </c>
      <c r="B3598" t="str">
        <f t="shared" si="231"/>
        <v>1</v>
      </c>
      <c r="C3598" t="str">
        <f t="shared" si="232"/>
        <v>200</v>
      </c>
      <c r="D3598" t="str">
        <f>"11"</f>
        <v>11</v>
      </c>
      <c r="E3598" t="str">
        <f>"1-200-11"</f>
        <v>1-200-11</v>
      </c>
      <c r="F3598" t="s">
        <v>15</v>
      </c>
      <c r="G3598" t="s">
        <v>18</v>
      </c>
      <c r="H3598" t="s">
        <v>19</v>
      </c>
      <c r="I3598">
        <v>0</v>
      </c>
      <c r="J3598">
        <v>0</v>
      </c>
      <c r="K3598">
        <v>1</v>
      </c>
    </row>
    <row r="3599" spans="1:11" x14ac:dyDescent="0.25">
      <c r="A3599" t="str">
        <f>"4570"</f>
        <v>4570</v>
      </c>
      <c r="B3599" t="str">
        <f t="shared" ref="B3599:B3662" si="233">"1"</f>
        <v>1</v>
      </c>
      <c r="C3599" t="str">
        <f t="shared" si="232"/>
        <v>200</v>
      </c>
      <c r="D3599" t="str">
        <f>"2"</f>
        <v>2</v>
      </c>
      <c r="E3599" t="str">
        <f>"1-200-2"</f>
        <v>1-200-2</v>
      </c>
      <c r="F3599" t="s">
        <v>15</v>
      </c>
      <c r="G3599" t="s">
        <v>18</v>
      </c>
      <c r="H3599" t="s">
        <v>19</v>
      </c>
      <c r="I3599">
        <v>0</v>
      </c>
      <c r="J3599">
        <v>1</v>
      </c>
      <c r="K3599">
        <v>0</v>
      </c>
    </row>
    <row r="3600" spans="1:11" x14ac:dyDescent="0.25">
      <c r="A3600" t="str">
        <f>"4571"</f>
        <v>4571</v>
      </c>
      <c r="B3600" t="str">
        <f t="shared" si="233"/>
        <v>1</v>
      </c>
      <c r="C3600" t="str">
        <f t="shared" si="232"/>
        <v>200</v>
      </c>
      <c r="D3600" t="str">
        <f>"19"</f>
        <v>19</v>
      </c>
      <c r="E3600" t="str">
        <f>"1-200-19"</f>
        <v>1-200-19</v>
      </c>
      <c r="F3600" t="s">
        <v>15</v>
      </c>
      <c r="G3600" t="s">
        <v>18</v>
      </c>
      <c r="H3600" t="s">
        <v>19</v>
      </c>
      <c r="I3600">
        <v>0</v>
      </c>
      <c r="J3600">
        <v>0</v>
      </c>
      <c r="K3600">
        <v>0</v>
      </c>
    </row>
    <row r="3601" spans="1:11" x14ac:dyDescent="0.25">
      <c r="A3601" t="str">
        <f>"4572"</f>
        <v>4572</v>
      </c>
      <c r="B3601" t="str">
        <f t="shared" si="233"/>
        <v>1</v>
      </c>
      <c r="C3601" t="str">
        <f t="shared" ref="C3601:C3618" si="234">"201"</f>
        <v>201</v>
      </c>
      <c r="D3601" t="str">
        <f>"17"</f>
        <v>17</v>
      </c>
      <c r="E3601" t="str">
        <f>"1-201-17"</f>
        <v>1-201-17</v>
      </c>
      <c r="F3601" t="s">
        <v>15</v>
      </c>
      <c r="G3601" t="s">
        <v>18</v>
      </c>
      <c r="H3601" t="s">
        <v>19</v>
      </c>
      <c r="I3601">
        <v>0</v>
      </c>
      <c r="J3601">
        <v>1</v>
      </c>
      <c r="K3601">
        <v>0</v>
      </c>
    </row>
    <row r="3602" spans="1:11" x14ac:dyDescent="0.25">
      <c r="A3602" t="str">
        <f>"4573"</f>
        <v>4573</v>
      </c>
      <c r="B3602" t="str">
        <f t="shared" si="233"/>
        <v>1</v>
      </c>
      <c r="C3602" t="str">
        <f t="shared" si="234"/>
        <v>201</v>
      </c>
      <c r="D3602" t="str">
        <f>"15"</f>
        <v>15</v>
      </c>
      <c r="E3602" t="str">
        <f>"1-201-15"</f>
        <v>1-201-15</v>
      </c>
      <c r="F3602" t="s">
        <v>15</v>
      </c>
      <c r="G3602" t="s">
        <v>16</v>
      </c>
      <c r="H3602" t="s">
        <v>17</v>
      </c>
      <c r="I3602">
        <v>1</v>
      </c>
      <c r="J3602">
        <v>0</v>
      </c>
      <c r="K3602">
        <v>0</v>
      </c>
    </row>
    <row r="3603" spans="1:11" x14ac:dyDescent="0.25">
      <c r="A3603" t="str">
        <f>"4574"</f>
        <v>4574</v>
      </c>
      <c r="B3603" t="str">
        <f t="shared" si="233"/>
        <v>1</v>
      </c>
      <c r="C3603" t="str">
        <f t="shared" si="234"/>
        <v>201</v>
      </c>
      <c r="D3603" t="str">
        <f>"1"</f>
        <v>1</v>
      </c>
      <c r="E3603" t="str">
        <f>"1-201-1"</f>
        <v>1-201-1</v>
      </c>
      <c r="F3603" t="s">
        <v>15</v>
      </c>
      <c r="G3603" t="s">
        <v>16</v>
      </c>
      <c r="H3603" t="s">
        <v>17</v>
      </c>
      <c r="I3603">
        <v>0</v>
      </c>
      <c r="J3603">
        <v>0</v>
      </c>
      <c r="K3603">
        <v>1</v>
      </c>
    </row>
    <row r="3604" spans="1:11" x14ac:dyDescent="0.25">
      <c r="A3604" t="str">
        <f>"4575"</f>
        <v>4575</v>
      </c>
      <c r="B3604" t="str">
        <f t="shared" si="233"/>
        <v>1</v>
      </c>
      <c r="C3604" t="str">
        <f t="shared" si="234"/>
        <v>201</v>
      </c>
      <c r="D3604" t="str">
        <f>"12"</f>
        <v>12</v>
      </c>
      <c r="E3604" t="str">
        <f>"1-201-12"</f>
        <v>1-201-12</v>
      </c>
      <c r="F3604" t="s">
        <v>15</v>
      </c>
      <c r="G3604" t="s">
        <v>16</v>
      </c>
      <c r="H3604" t="s">
        <v>17</v>
      </c>
      <c r="I3604">
        <v>0</v>
      </c>
      <c r="J3604">
        <v>1</v>
      </c>
      <c r="K3604">
        <v>0</v>
      </c>
    </row>
    <row r="3605" spans="1:11" x14ac:dyDescent="0.25">
      <c r="A3605" t="str">
        <f>"4576"</f>
        <v>4576</v>
      </c>
      <c r="B3605" t="str">
        <f t="shared" si="233"/>
        <v>1</v>
      </c>
      <c r="C3605" t="str">
        <f t="shared" si="234"/>
        <v>201</v>
      </c>
      <c r="D3605" t="str">
        <f>"18"</f>
        <v>18</v>
      </c>
      <c r="E3605" t="str">
        <f>"1-201-18"</f>
        <v>1-201-18</v>
      </c>
      <c r="F3605" t="s">
        <v>15</v>
      </c>
      <c r="G3605" t="s">
        <v>16</v>
      </c>
      <c r="H3605" t="s">
        <v>17</v>
      </c>
      <c r="I3605">
        <v>0</v>
      </c>
      <c r="J3605">
        <v>0</v>
      </c>
      <c r="K3605">
        <v>1</v>
      </c>
    </row>
    <row r="3606" spans="1:11" x14ac:dyDescent="0.25">
      <c r="A3606" t="str">
        <f>"4577"</f>
        <v>4577</v>
      </c>
      <c r="B3606" t="str">
        <f t="shared" si="233"/>
        <v>1</v>
      </c>
      <c r="C3606" t="str">
        <f t="shared" si="234"/>
        <v>201</v>
      </c>
      <c r="D3606" t="str">
        <f>"7"</f>
        <v>7</v>
      </c>
      <c r="E3606" t="str">
        <f>"1-201-7"</f>
        <v>1-201-7</v>
      </c>
      <c r="F3606" t="s">
        <v>15</v>
      </c>
      <c r="G3606" t="s">
        <v>16</v>
      </c>
      <c r="H3606" t="s">
        <v>17</v>
      </c>
      <c r="I3606">
        <v>1</v>
      </c>
      <c r="J3606">
        <v>0</v>
      </c>
      <c r="K3606">
        <v>0</v>
      </c>
    </row>
    <row r="3607" spans="1:11" x14ac:dyDescent="0.25">
      <c r="A3607" t="str">
        <f>"4578"</f>
        <v>4578</v>
      </c>
      <c r="B3607" t="str">
        <f t="shared" si="233"/>
        <v>1</v>
      </c>
      <c r="C3607" t="str">
        <f t="shared" si="234"/>
        <v>201</v>
      </c>
      <c r="D3607" t="str">
        <f>"5"</f>
        <v>5</v>
      </c>
      <c r="E3607" t="str">
        <f>"1-201-5"</f>
        <v>1-201-5</v>
      </c>
      <c r="F3607" t="s">
        <v>15</v>
      </c>
      <c r="G3607" t="s">
        <v>16</v>
      </c>
      <c r="H3607" t="s">
        <v>17</v>
      </c>
      <c r="I3607">
        <v>1</v>
      </c>
      <c r="J3607">
        <v>0</v>
      </c>
      <c r="K3607">
        <v>0</v>
      </c>
    </row>
    <row r="3608" spans="1:11" x14ac:dyDescent="0.25">
      <c r="A3608" t="str">
        <f>"4579"</f>
        <v>4579</v>
      </c>
      <c r="B3608" t="str">
        <f t="shared" si="233"/>
        <v>1</v>
      </c>
      <c r="C3608" t="str">
        <f t="shared" si="234"/>
        <v>201</v>
      </c>
      <c r="D3608" t="str">
        <f>"10"</f>
        <v>10</v>
      </c>
      <c r="E3608" t="str">
        <f>"1-201-10"</f>
        <v>1-201-10</v>
      </c>
      <c r="F3608" t="s">
        <v>15</v>
      </c>
      <c r="G3608" t="s">
        <v>16</v>
      </c>
      <c r="H3608" t="s">
        <v>17</v>
      </c>
      <c r="I3608">
        <v>1</v>
      </c>
      <c r="J3608">
        <v>0</v>
      </c>
      <c r="K3608">
        <v>0</v>
      </c>
    </row>
    <row r="3609" spans="1:11" x14ac:dyDescent="0.25">
      <c r="A3609" t="str">
        <f>"4580"</f>
        <v>4580</v>
      </c>
      <c r="B3609" t="str">
        <f t="shared" si="233"/>
        <v>1</v>
      </c>
      <c r="C3609" t="str">
        <f t="shared" si="234"/>
        <v>201</v>
      </c>
      <c r="D3609" t="str">
        <f>"8"</f>
        <v>8</v>
      </c>
      <c r="E3609" t="str">
        <f>"1-201-8"</f>
        <v>1-201-8</v>
      </c>
      <c r="F3609" t="s">
        <v>15</v>
      </c>
      <c r="G3609" t="s">
        <v>20</v>
      </c>
      <c r="H3609" t="s">
        <v>21</v>
      </c>
      <c r="I3609">
        <v>0</v>
      </c>
      <c r="J3609">
        <v>1</v>
      </c>
      <c r="K3609">
        <v>0</v>
      </c>
    </row>
    <row r="3610" spans="1:11" x14ac:dyDescent="0.25">
      <c r="A3610" t="str">
        <f>"4581"</f>
        <v>4581</v>
      </c>
      <c r="B3610" t="str">
        <f t="shared" si="233"/>
        <v>1</v>
      </c>
      <c r="C3610" t="str">
        <f t="shared" si="234"/>
        <v>201</v>
      </c>
      <c r="D3610" t="str">
        <f>"4"</f>
        <v>4</v>
      </c>
      <c r="E3610" t="str">
        <f>"1-201-4"</f>
        <v>1-201-4</v>
      </c>
      <c r="F3610" t="s">
        <v>15</v>
      </c>
      <c r="G3610" t="s">
        <v>16</v>
      </c>
      <c r="H3610" t="s">
        <v>17</v>
      </c>
      <c r="I3610">
        <v>1</v>
      </c>
      <c r="J3610">
        <v>0</v>
      </c>
      <c r="K3610">
        <v>0</v>
      </c>
    </row>
    <row r="3611" spans="1:11" x14ac:dyDescent="0.25">
      <c r="A3611" t="str">
        <f>"4582"</f>
        <v>4582</v>
      </c>
      <c r="B3611" t="str">
        <f t="shared" si="233"/>
        <v>1</v>
      </c>
      <c r="C3611" t="str">
        <f t="shared" si="234"/>
        <v>201</v>
      </c>
      <c r="D3611" t="str">
        <f>"13"</f>
        <v>13</v>
      </c>
      <c r="E3611" t="str">
        <f>"1-201-13"</f>
        <v>1-201-13</v>
      </c>
      <c r="F3611" t="s">
        <v>15</v>
      </c>
      <c r="G3611" t="s">
        <v>16</v>
      </c>
      <c r="H3611" t="s">
        <v>17</v>
      </c>
      <c r="I3611">
        <v>0</v>
      </c>
      <c r="J3611">
        <v>1</v>
      </c>
      <c r="K3611">
        <v>0</v>
      </c>
    </row>
    <row r="3612" spans="1:11" x14ac:dyDescent="0.25">
      <c r="A3612" t="str">
        <f>"4583"</f>
        <v>4583</v>
      </c>
      <c r="B3612" t="str">
        <f t="shared" si="233"/>
        <v>1</v>
      </c>
      <c r="C3612" t="str">
        <f t="shared" si="234"/>
        <v>201</v>
      </c>
      <c r="D3612" t="str">
        <f>"9"</f>
        <v>9</v>
      </c>
      <c r="E3612" t="str">
        <f>"1-201-9"</f>
        <v>1-201-9</v>
      </c>
      <c r="F3612" t="s">
        <v>15</v>
      </c>
      <c r="G3612" t="s">
        <v>20</v>
      </c>
      <c r="H3612" t="s">
        <v>21</v>
      </c>
      <c r="I3612">
        <v>0</v>
      </c>
      <c r="J3612">
        <v>1</v>
      </c>
      <c r="K3612">
        <v>0</v>
      </c>
    </row>
    <row r="3613" spans="1:11" x14ac:dyDescent="0.25">
      <c r="A3613" t="str">
        <f>"4584"</f>
        <v>4584</v>
      </c>
      <c r="B3613" t="str">
        <f t="shared" si="233"/>
        <v>1</v>
      </c>
      <c r="C3613" t="str">
        <f t="shared" si="234"/>
        <v>201</v>
      </c>
      <c r="D3613" t="str">
        <f>"3"</f>
        <v>3</v>
      </c>
      <c r="E3613" t="str">
        <f>"1-201-3"</f>
        <v>1-201-3</v>
      </c>
      <c r="F3613" t="s">
        <v>15</v>
      </c>
      <c r="G3613" t="s">
        <v>16</v>
      </c>
      <c r="H3613" t="s">
        <v>17</v>
      </c>
      <c r="I3613">
        <v>1</v>
      </c>
      <c r="J3613">
        <v>0</v>
      </c>
      <c r="K3613">
        <v>0</v>
      </c>
    </row>
    <row r="3614" spans="1:11" x14ac:dyDescent="0.25">
      <c r="A3614" t="str">
        <f>"4585"</f>
        <v>4585</v>
      </c>
      <c r="B3614" t="str">
        <f t="shared" si="233"/>
        <v>1</v>
      </c>
      <c r="C3614" t="str">
        <f t="shared" si="234"/>
        <v>201</v>
      </c>
      <c r="D3614" t="str">
        <f>"2"</f>
        <v>2</v>
      </c>
      <c r="E3614" t="str">
        <f>"1-201-2"</f>
        <v>1-201-2</v>
      </c>
      <c r="F3614" t="s">
        <v>15</v>
      </c>
      <c r="G3614" t="s">
        <v>16</v>
      </c>
      <c r="H3614" t="s">
        <v>17</v>
      </c>
      <c r="I3614">
        <v>1</v>
      </c>
      <c r="J3614">
        <v>0</v>
      </c>
      <c r="K3614">
        <v>0</v>
      </c>
    </row>
    <row r="3615" spans="1:11" x14ac:dyDescent="0.25">
      <c r="A3615" t="str">
        <f>"4586"</f>
        <v>4586</v>
      </c>
      <c r="B3615" t="str">
        <f t="shared" si="233"/>
        <v>1</v>
      </c>
      <c r="C3615" t="str">
        <f t="shared" si="234"/>
        <v>201</v>
      </c>
      <c r="D3615" t="str">
        <f>"14"</f>
        <v>14</v>
      </c>
      <c r="E3615" t="str">
        <f>"1-201-14"</f>
        <v>1-201-14</v>
      </c>
      <c r="F3615" t="s">
        <v>15</v>
      </c>
      <c r="G3615" t="s">
        <v>16</v>
      </c>
      <c r="H3615" t="s">
        <v>17</v>
      </c>
      <c r="I3615">
        <v>1</v>
      </c>
      <c r="J3615">
        <v>0</v>
      </c>
      <c r="K3615">
        <v>0</v>
      </c>
    </row>
    <row r="3616" spans="1:11" x14ac:dyDescent="0.25">
      <c r="A3616" t="str">
        <f>"4587"</f>
        <v>4587</v>
      </c>
      <c r="B3616" t="str">
        <f t="shared" si="233"/>
        <v>1</v>
      </c>
      <c r="C3616" t="str">
        <f t="shared" si="234"/>
        <v>201</v>
      </c>
      <c r="D3616" t="str">
        <f>"6"</f>
        <v>6</v>
      </c>
      <c r="E3616" t="str">
        <f>"1-201-6"</f>
        <v>1-201-6</v>
      </c>
      <c r="F3616" t="s">
        <v>15</v>
      </c>
      <c r="G3616" t="s">
        <v>16</v>
      </c>
      <c r="H3616" t="s">
        <v>17</v>
      </c>
      <c r="I3616">
        <v>1</v>
      </c>
      <c r="J3616">
        <v>0</v>
      </c>
      <c r="K3616">
        <v>0</v>
      </c>
    </row>
    <row r="3617" spans="1:11" x14ac:dyDescent="0.25">
      <c r="A3617" t="str">
        <f>"4588"</f>
        <v>4588</v>
      </c>
      <c r="B3617" t="str">
        <f t="shared" si="233"/>
        <v>1</v>
      </c>
      <c r="C3617" t="str">
        <f t="shared" si="234"/>
        <v>201</v>
      </c>
      <c r="D3617" t="str">
        <f>"11"</f>
        <v>11</v>
      </c>
      <c r="E3617" t="str">
        <f>"1-201-11"</f>
        <v>1-201-11</v>
      </c>
      <c r="F3617" t="s">
        <v>15</v>
      </c>
      <c r="G3617" t="s">
        <v>16</v>
      </c>
      <c r="H3617" t="s">
        <v>17</v>
      </c>
      <c r="I3617">
        <v>1</v>
      </c>
      <c r="J3617">
        <v>0</v>
      </c>
      <c r="K3617">
        <v>0</v>
      </c>
    </row>
    <row r="3618" spans="1:11" x14ac:dyDescent="0.25">
      <c r="A3618" t="str">
        <f>"4589"</f>
        <v>4589</v>
      </c>
      <c r="B3618" t="str">
        <f t="shared" si="233"/>
        <v>1</v>
      </c>
      <c r="C3618" t="str">
        <f t="shared" si="234"/>
        <v>201</v>
      </c>
      <c r="D3618" t="str">
        <f>"16"</f>
        <v>16</v>
      </c>
      <c r="E3618" t="str">
        <f>"1-201-16"</f>
        <v>1-201-16</v>
      </c>
      <c r="F3618" t="s">
        <v>15</v>
      </c>
      <c r="G3618" t="s">
        <v>16</v>
      </c>
      <c r="H3618" t="s">
        <v>17</v>
      </c>
      <c r="I3618">
        <v>0</v>
      </c>
      <c r="J3618">
        <v>0</v>
      </c>
      <c r="K3618">
        <v>0</v>
      </c>
    </row>
    <row r="3619" spans="1:11" x14ac:dyDescent="0.25">
      <c r="A3619" t="str">
        <f>"4590"</f>
        <v>4590</v>
      </c>
      <c r="B3619" t="str">
        <f t="shared" si="233"/>
        <v>1</v>
      </c>
      <c r="C3619" t="str">
        <f t="shared" ref="C3619:C3643" si="235">"202"</f>
        <v>202</v>
      </c>
      <c r="D3619" t="str">
        <f>"20"</f>
        <v>20</v>
      </c>
      <c r="E3619" t="str">
        <f>"1-202-20"</f>
        <v>1-202-20</v>
      </c>
      <c r="F3619" t="s">
        <v>15</v>
      </c>
      <c r="G3619" t="s">
        <v>20</v>
      </c>
      <c r="H3619" t="s">
        <v>21</v>
      </c>
      <c r="I3619">
        <v>1</v>
      </c>
      <c r="J3619">
        <v>0</v>
      </c>
      <c r="K3619">
        <v>0</v>
      </c>
    </row>
    <row r="3620" spans="1:11" x14ac:dyDescent="0.25">
      <c r="A3620" t="str">
        <f>"4591"</f>
        <v>4591</v>
      </c>
      <c r="B3620" t="str">
        <f t="shared" si="233"/>
        <v>1</v>
      </c>
      <c r="C3620" t="str">
        <f t="shared" si="235"/>
        <v>202</v>
      </c>
      <c r="D3620" t="str">
        <f>"15"</f>
        <v>15</v>
      </c>
      <c r="E3620" t="str">
        <f>"1-202-15"</f>
        <v>1-202-15</v>
      </c>
      <c r="F3620" t="s">
        <v>15</v>
      </c>
      <c r="G3620" t="s">
        <v>20</v>
      </c>
      <c r="H3620" t="s">
        <v>21</v>
      </c>
      <c r="I3620">
        <v>1</v>
      </c>
      <c r="J3620">
        <v>0</v>
      </c>
      <c r="K3620">
        <v>0</v>
      </c>
    </row>
    <row r="3621" spans="1:11" x14ac:dyDescent="0.25">
      <c r="A3621" t="str">
        <f>"4592"</f>
        <v>4592</v>
      </c>
      <c r="B3621" t="str">
        <f t="shared" si="233"/>
        <v>1</v>
      </c>
      <c r="C3621" t="str">
        <f t="shared" si="235"/>
        <v>202</v>
      </c>
      <c r="D3621" t="str">
        <f>"5"</f>
        <v>5</v>
      </c>
      <c r="E3621" t="str">
        <f>"1-202-5"</f>
        <v>1-202-5</v>
      </c>
      <c r="F3621" t="s">
        <v>15</v>
      </c>
      <c r="G3621" t="s">
        <v>16</v>
      </c>
      <c r="H3621" t="s">
        <v>17</v>
      </c>
      <c r="I3621">
        <v>1</v>
      </c>
      <c r="J3621">
        <v>0</v>
      </c>
      <c r="K3621">
        <v>0</v>
      </c>
    </row>
    <row r="3622" spans="1:11" x14ac:dyDescent="0.25">
      <c r="A3622" t="str">
        <f>"4593"</f>
        <v>4593</v>
      </c>
      <c r="B3622" t="str">
        <f t="shared" si="233"/>
        <v>1</v>
      </c>
      <c r="C3622" t="str">
        <f t="shared" si="235"/>
        <v>202</v>
      </c>
      <c r="D3622" t="str">
        <f>"21"</f>
        <v>21</v>
      </c>
      <c r="E3622" t="str">
        <f>"1-202-21"</f>
        <v>1-202-21</v>
      </c>
      <c r="F3622" t="s">
        <v>15</v>
      </c>
      <c r="G3622" t="s">
        <v>18</v>
      </c>
      <c r="H3622" t="s">
        <v>19</v>
      </c>
      <c r="I3622">
        <v>1</v>
      </c>
      <c r="J3622">
        <v>0</v>
      </c>
      <c r="K3622">
        <v>0</v>
      </c>
    </row>
    <row r="3623" spans="1:11" x14ac:dyDescent="0.25">
      <c r="A3623" t="str">
        <f>"4594"</f>
        <v>4594</v>
      </c>
      <c r="B3623" t="str">
        <f t="shared" si="233"/>
        <v>1</v>
      </c>
      <c r="C3623" t="str">
        <f t="shared" si="235"/>
        <v>202</v>
      </c>
      <c r="D3623" t="str">
        <f>"16"</f>
        <v>16</v>
      </c>
      <c r="E3623" t="str">
        <f>"1-202-16"</f>
        <v>1-202-16</v>
      </c>
      <c r="F3623" t="s">
        <v>15</v>
      </c>
      <c r="G3623" t="s">
        <v>16</v>
      </c>
      <c r="H3623" t="s">
        <v>17</v>
      </c>
      <c r="I3623">
        <v>1</v>
      </c>
      <c r="J3623">
        <v>0</v>
      </c>
      <c r="K3623">
        <v>0</v>
      </c>
    </row>
    <row r="3624" spans="1:11" x14ac:dyDescent="0.25">
      <c r="A3624" t="str">
        <f>"4595"</f>
        <v>4595</v>
      </c>
      <c r="B3624" t="str">
        <f t="shared" si="233"/>
        <v>1</v>
      </c>
      <c r="C3624" t="str">
        <f t="shared" si="235"/>
        <v>202</v>
      </c>
      <c r="D3624" t="str">
        <f>"4"</f>
        <v>4</v>
      </c>
      <c r="E3624" t="str">
        <f>"1-202-4"</f>
        <v>1-202-4</v>
      </c>
      <c r="F3624" t="s">
        <v>15</v>
      </c>
      <c r="G3624" t="s">
        <v>20</v>
      </c>
      <c r="H3624" t="s">
        <v>21</v>
      </c>
      <c r="I3624">
        <v>0</v>
      </c>
      <c r="J3624">
        <v>0</v>
      </c>
      <c r="K3624">
        <v>1</v>
      </c>
    </row>
    <row r="3625" spans="1:11" x14ac:dyDescent="0.25">
      <c r="A3625" t="str">
        <f>"4596"</f>
        <v>4596</v>
      </c>
      <c r="B3625" t="str">
        <f t="shared" si="233"/>
        <v>1</v>
      </c>
      <c r="C3625" t="str">
        <f t="shared" si="235"/>
        <v>202</v>
      </c>
      <c r="D3625" t="str">
        <f>"17"</f>
        <v>17</v>
      </c>
      <c r="E3625" t="str">
        <f>"1-202-17"</f>
        <v>1-202-17</v>
      </c>
      <c r="F3625" t="s">
        <v>15</v>
      </c>
      <c r="G3625" t="s">
        <v>20</v>
      </c>
      <c r="H3625" t="s">
        <v>21</v>
      </c>
      <c r="I3625">
        <v>0</v>
      </c>
      <c r="J3625">
        <v>1</v>
      </c>
      <c r="K3625">
        <v>0</v>
      </c>
    </row>
    <row r="3626" spans="1:11" x14ac:dyDescent="0.25">
      <c r="A3626" t="str">
        <f>"4597"</f>
        <v>4597</v>
      </c>
      <c r="B3626" t="str">
        <f t="shared" si="233"/>
        <v>1</v>
      </c>
      <c r="C3626" t="str">
        <f t="shared" si="235"/>
        <v>202</v>
      </c>
      <c r="D3626" t="str">
        <f>"1"</f>
        <v>1</v>
      </c>
      <c r="E3626" t="str">
        <f>"1-202-1"</f>
        <v>1-202-1</v>
      </c>
      <c r="F3626" t="s">
        <v>15</v>
      </c>
      <c r="G3626" t="s">
        <v>18</v>
      </c>
      <c r="H3626" t="s">
        <v>19</v>
      </c>
      <c r="I3626">
        <v>0</v>
      </c>
      <c r="J3626">
        <v>1</v>
      </c>
      <c r="K3626">
        <v>0</v>
      </c>
    </row>
    <row r="3627" spans="1:11" x14ac:dyDescent="0.25">
      <c r="A3627" t="str">
        <f>"4598"</f>
        <v>4598</v>
      </c>
      <c r="B3627" t="str">
        <f t="shared" si="233"/>
        <v>1</v>
      </c>
      <c r="C3627" t="str">
        <f t="shared" si="235"/>
        <v>202</v>
      </c>
      <c r="D3627" t="str">
        <f>"18"</f>
        <v>18</v>
      </c>
      <c r="E3627" t="str">
        <f>"1-202-18"</f>
        <v>1-202-18</v>
      </c>
      <c r="F3627" t="s">
        <v>15</v>
      </c>
      <c r="G3627" t="s">
        <v>20</v>
      </c>
      <c r="H3627" t="s">
        <v>21</v>
      </c>
      <c r="I3627">
        <v>1</v>
      </c>
      <c r="J3627">
        <v>0</v>
      </c>
      <c r="K3627">
        <v>0</v>
      </c>
    </row>
    <row r="3628" spans="1:11" x14ac:dyDescent="0.25">
      <c r="A3628" t="str">
        <f>"4599"</f>
        <v>4599</v>
      </c>
      <c r="B3628" t="str">
        <f t="shared" si="233"/>
        <v>1</v>
      </c>
      <c r="C3628" t="str">
        <f t="shared" si="235"/>
        <v>202</v>
      </c>
      <c r="D3628" t="str">
        <f>"8"</f>
        <v>8</v>
      </c>
      <c r="E3628" t="str">
        <f>"1-202-8"</f>
        <v>1-202-8</v>
      </c>
      <c r="F3628" t="s">
        <v>15</v>
      </c>
      <c r="G3628" t="s">
        <v>20</v>
      </c>
      <c r="H3628" t="s">
        <v>21</v>
      </c>
      <c r="I3628">
        <v>1</v>
      </c>
      <c r="J3628">
        <v>0</v>
      </c>
      <c r="K3628">
        <v>0</v>
      </c>
    </row>
    <row r="3629" spans="1:11" x14ac:dyDescent="0.25">
      <c r="A3629" t="str">
        <f>"4600"</f>
        <v>4600</v>
      </c>
      <c r="B3629" t="str">
        <f t="shared" si="233"/>
        <v>1</v>
      </c>
      <c r="C3629" t="str">
        <f t="shared" si="235"/>
        <v>202</v>
      </c>
      <c r="D3629" t="str">
        <f>"19"</f>
        <v>19</v>
      </c>
      <c r="E3629" t="str">
        <f>"1-202-19"</f>
        <v>1-202-19</v>
      </c>
      <c r="F3629" t="s">
        <v>15</v>
      </c>
      <c r="G3629" t="s">
        <v>20</v>
      </c>
      <c r="H3629" t="s">
        <v>21</v>
      </c>
      <c r="I3629">
        <v>1</v>
      </c>
      <c r="J3629">
        <v>0</v>
      </c>
      <c r="K3629">
        <v>0</v>
      </c>
    </row>
    <row r="3630" spans="1:11" x14ac:dyDescent="0.25">
      <c r="A3630" t="str">
        <f>"4601"</f>
        <v>4601</v>
      </c>
      <c r="B3630" t="str">
        <f t="shared" si="233"/>
        <v>1</v>
      </c>
      <c r="C3630" t="str">
        <f t="shared" si="235"/>
        <v>202</v>
      </c>
      <c r="D3630" t="str">
        <f>"22"</f>
        <v>22</v>
      </c>
      <c r="E3630" t="str">
        <f>"1-202-22"</f>
        <v>1-202-22</v>
      </c>
      <c r="F3630" t="s">
        <v>15</v>
      </c>
      <c r="G3630" t="s">
        <v>18</v>
      </c>
      <c r="H3630" t="s">
        <v>19</v>
      </c>
      <c r="I3630">
        <v>0</v>
      </c>
      <c r="J3630">
        <v>0</v>
      </c>
      <c r="K3630">
        <v>1</v>
      </c>
    </row>
    <row r="3631" spans="1:11" x14ac:dyDescent="0.25">
      <c r="A3631" t="str">
        <f>"4602"</f>
        <v>4602</v>
      </c>
      <c r="B3631" t="str">
        <f t="shared" si="233"/>
        <v>1</v>
      </c>
      <c r="C3631" t="str">
        <f t="shared" si="235"/>
        <v>202</v>
      </c>
      <c r="D3631" t="str">
        <f>"11"</f>
        <v>11</v>
      </c>
      <c r="E3631" t="str">
        <f>"1-202-11"</f>
        <v>1-202-11</v>
      </c>
      <c r="F3631" t="s">
        <v>15</v>
      </c>
      <c r="G3631" t="s">
        <v>16</v>
      </c>
      <c r="H3631" t="s">
        <v>17</v>
      </c>
      <c r="I3631">
        <v>0</v>
      </c>
      <c r="J3631">
        <v>0</v>
      </c>
      <c r="K3631">
        <v>1</v>
      </c>
    </row>
    <row r="3632" spans="1:11" x14ac:dyDescent="0.25">
      <c r="A3632" t="str">
        <f>"4603"</f>
        <v>4603</v>
      </c>
      <c r="B3632" t="str">
        <f t="shared" si="233"/>
        <v>1</v>
      </c>
      <c r="C3632" t="str">
        <f t="shared" si="235"/>
        <v>202</v>
      </c>
      <c r="D3632" t="str">
        <f>"23"</f>
        <v>23</v>
      </c>
      <c r="E3632" t="str">
        <f>"1-202-23"</f>
        <v>1-202-23</v>
      </c>
      <c r="F3632" t="s">
        <v>15</v>
      </c>
      <c r="G3632" t="s">
        <v>18</v>
      </c>
      <c r="H3632" t="s">
        <v>19</v>
      </c>
      <c r="I3632">
        <v>0</v>
      </c>
      <c r="J3632">
        <v>0</v>
      </c>
      <c r="K3632">
        <v>1</v>
      </c>
    </row>
    <row r="3633" spans="1:11" x14ac:dyDescent="0.25">
      <c r="A3633" t="str">
        <f>"4604"</f>
        <v>4604</v>
      </c>
      <c r="B3633" t="str">
        <f t="shared" si="233"/>
        <v>1</v>
      </c>
      <c r="C3633" t="str">
        <f t="shared" si="235"/>
        <v>202</v>
      </c>
      <c r="D3633" t="str">
        <f>"7"</f>
        <v>7</v>
      </c>
      <c r="E3633" t="str">
        <f>"1-202-7"</f>
        <v>1-202-7</v>
      </c>
      <c r="F3633" t="s">
        <v>15</v>
      </c>
      <c r="G3633" t="s">
        <v>20</v>
      </c>
      <c r="H3633" t="s">
        <v>21</v>
      </c>
      <c r="I3633">
        <v>1</v>
      </c>
      <c r="J3633">
        <v>0</v>
      </c>
      <c r="K3633">
        <v>0</v>
      </c>
    </row>
    <row r="3634" spans="1:11" x14ac:dyDescent="0.25">
      <c r="A3634" t="str">
        <f>"4605"</f>
        <v>4605</v>
      </c>
      <c r="B3634" t="str">
        <f t="shared" si="233"/>
        <v>1</v>
      </c>
      <c r="C3634" t="str">
        <f t="shared" si="235"/>
        <v>202</v>
      </c>
      <c r="D3634" t="str">
        <f>"9"</f>
        <v>9</v>
      </c>
      <c r="E3634" t="str">
        <f>"1-202-9"</f>
        <v>1-202-9</v>
      </c>
      <c r="F3634" t="s">
        <v>15</v>
      </c>
      <c r="G3634" t="s">
        <v>16</v>
      </c>
      <c r="H3634" t="s">
        <v>17</v>
      </c>
      <c r="I3634">
        <v>1</v>
      </c>
      <c r="J3634">
        <v>0</v>
      </c>
      <c r="K3634">
        <v>0</v>
      </c>
    </row>
    <row r="3635" spans="1:11" x14ac:dyDescent="0.25">
      <c r="A3635" t="str">
        <f>"4606"</f>
        <v>4606</v>
      </c>
      <c r="B3635" t="str">
        <f t="shared" si="233"/>
        <v>1</v>
      </c>
      <c r="C3635" t="str">
        <f t="shared" si="235"/>
        <v>202</v>
      </c>
      <c r="D3635" t="str">
        <f>"25"</f>
        <v>25</v>
      </c>
      <c r="E3635" t="str">
        <f>"1-202-25"</f>
        <v>1-202-25</v>
      </c>
      <c r="F3635" t="s">
        <v>15</v>
      </c>
      <c r="G3635" t="s">
        <v>20</v>
      </c>
      <c r="H3635" t="s">
        <v>21</v>
      </c>
      <c r="I3635">
        <v>0</v>
      </c>
      <c r="J3635">
        <v>0</v>
      </c>
      <c r="K3635">
        <v>1</v>
      </c>
    </row>
    <row r="3636" spans="1:11" x14ac:dyDescent="0.25">
      <c r="A3636" t="str">
        <f>"4607"</f>
        <v>4607</v>
      </c>
      <c r="B3636" t="str">
        <f t="shared" si="233"/>
        <v>1</v>
      </c>
      <c r="C3636" t="str">
        <f t="shared" si="235"/>
        <v>202</v>
      </c>
      <c r="D3636" t="str">
        <f>"2"</f>
        <v>2</v>
      </c>
      <c r="E3636" t="str">
        <f>"1-202-2"</f>
        <v>1-202-2</v>
      </c>
      <c r="F3636" t="s">
        <v>15</v>
      </c>
      <c r="G3636" t="s">
        <v>18</v>
      </c>
      <c r="H3636" t="s">
        <v>19</v>
      </c>
      <c r="I3636">
        <v>0</v>
      </c>
      <c r="J3636">
        <v>1</v>
      </c>
      <c r="K3636">
        <v>0</v>
      </c>
    </row>
    <row r="3637" spans="1:11" x14ac:dyDescent="0.25">
      <c r="A3637" t="str">
        <f>"4608"</f>
        <v>4608</v>
      </c>
      <c r="B3637" t="str">
        <f t="shared" si="233"/>
        <v>1</v>
      </c>
      <c r="C3637" t="str">
        <f t="shared" si="235"/>
        <v>202</v>
      </c>
      <c r="D3637" t="str">
        <f>"12"</f>
        <v>12</v>
      </c>
      <c r="E3637" t="str">
        <f>"1-202-12"</f>
        <v>1-202-12</v>
      </c>
      <c r="F3637" t="s">
        <v>15</v>
      </c>
      <c r="G3637" t="s">
        <v>16</v>
      </c>
      <c r="H3637" t="s">
        <v>17</v>
      </c>
      <c r="I3637">
        <v>0</v>
      </c>
      <c r="J3637">
        <v>0</v>
      </c>
      <c r="K3637">
        <v>1</v>
      </c>
    </row>
    <row r="3638" spans="1:11" x14ac:dyDescent="0.25">
      <c r="A3638" t="str">
        <f>"4609"</f>
        <v>4609</v>
      </c>
      <c r="B3638" t="str">
        <f t="shared" si="233"/>
        <v>1</v>
      </c>
      <c r="C3638" t="str">
        <f t="shared" si="235"/>
        <v>202</v>
      </c>
      <c r="D3638" t="str">
        <f>"6"</f>
        <v>6</v>
      </c>
      <c r="E3638" t="str">
        <f>"1-202-6"</f>
        <v>1-202-6</v>
      </c>
      <c r="F3638" t="s">
        <v>15</v>
      </c>
      <c r="G3638" t="s">
        <v>18</v>
      </c>
      <c r="H3638" t="s">
        <v>19</v>
      </c>
      <c r="I3638">
        <v>0</v>
      </c>
      <c r="J3638">
        <v>1</v>
      </c>
      <c r="K3638">
        <v>0</v>
      </c>
    </row>
    <row r="3639" spans="1:11" x14ac:dyDescent="0.25">
      <c r="A3639" t="str">
        <f>"4610"</f>
        <v>4610</v>
      </c>
      <c r="B3639" t="str">
        <f t="shared" si="233"/>
        <v>1</v>
      </c>
      <c r="C3639" t="str">
        <f t="shared" si="235"/>
        <v>202</v>
      </c>
      <c r="D3639" t="str">
        <f>"14"</f>
        <v>14</v>
      </c>
      <c r="E3639" t="str">
        <f>"1-202-14"</f>
        <v>1-202-14</v>
      </c>
      <c r="F3639" t="s">
        <v>15</v>
      </c>
      <c r="G3639" t="s">
        <v>16</v>
      </c>
      <c r="H3639" t="s">
        <v>17</v>
      </c>
      <c r="I3639">
        <v>1</v>
      </c>
      <c r="J3639">
        <v>0</v>
      </c>
      <c r="K3639">
        <v>0</v>
      </c>
    </row>
    <row r="3640" spans="1:11" x14ac:dyDescent="0.25">
      <c r="A3640" t="str">
        <f>"4611"</f>
        <v>4611</v>
      </c>
      <c r="B3640" t="str">
        <f t="shared" si="233"/>
        <v>1</v>
      </c>
      <c r="C3640" t="str">
        <f t="shared" si="235"/>
        <v>202</v>
      </c>
      <c r="D3640" t="str">
        <f>"10"</f>
        <v>10</v>
      </c>
      <c r="E3640" t="str">
        <f>"1-202-10"</f>
        <v>1-202-10</v>
      </c>
      <c r="F3640" t="s">
        <v>15</v>
      </c>
      <c r="G3640" t="s">
        <v>16</v>
      </c>
      <c r="H3640" t="s">
        <v>17</v>
      </c>
      <c r="I3640">
        <v>1</v>
      </c>
      <c r="J3640">
        <v>0</v>
      </c>
      <c r="K3640">
        <v>0</v>
      </c>
    </row>
    <row r="3641" spans="1:11" x14ac:dyDescent="0.25">
      <c r="A3641" t="str">
        <f>"4612"</f>
        <v>4612</v>
      </c>
      <c r="B3641" t="str">
        <f t="shared" si="233"/>
        <v>1</v>
      </c>
      <c r="C3641" t="str">
        <f t="shared" si="235"/>
        <v>202</v>
      </c>
      <c r="D3641" t="str">
        <f>"13"</f>
        <v>13</v>
      </c>
      <c r="E3641" t="str">
        <f>"1-202-13"</f>
        <v>1-202-13</v>
      </c>
      <c r="F3641" t="s">
        <v>15</v>
      </c>
      <c r="G3641" t="s">
        <v>16</v>
      </c>
      <c r="H3641" t="s">
        <v>17</v>
      </c>
      <c r="I3641">
        <v>1</v>
      </c>
      <c r="J3641">
        <v>0</v>
      </c>
      <c r="K3641">
        <v>0</v>
      </c>
    </row>
    <row r="3642" spans="1:11" x14ac:dyDescent="0.25">
      <c r="A3642" t="str">
        <f>"4613"</f>
        <v>4613</v>
      </c>
      <c r="B3642" t="str">
        <f t="shared" si="233"/>
        <v>1</v>
      </c>
      <c r="C3642" t="str">
        <f t="shared" si="235"/>
        <v>202</v>
      </c>
      <c r="D3642" t="str">
        <f>"3"</f>
        <v>3</v>
      </c>
      <c r="E3642" t="str">
        <f>"1-202-3"</f>
        <v>1-202-3</v>
      </c>
      <c r="F3642" t="s">
        <v>15</v>
      </c>
      <c r="G3642" t="s">
        <v>16</v>
      </c>
      <c r="H3642" t="s">
        <v>17</v>
      </c>
      <c r="I3642">
        <v>0</v>
      </c>
      <c r="J3642">
        <v>0</v>
      </c>
      <c r="K3642">
        <v>0</v>
      </c>
    </row>
    <row r="3643" spans="1:11" x14ac:dyDescent="0.25">
      <c r="A3643" t="str">
        <f>"4614"</f>
        <v>4614</v>
      </c>
      <c r="B3643" t="str">
        <f t="shared" si="233"/>
        <v>1</v>
      </c>
      <c r="C3643" t="str">
        <f t="shared" si="235"/>
        <v>202</v>
      </c>
      <c r="D3643" t="str">
        <f>"24"</f>
        <v>24</v>
      </c>
      <c r="E3643" t="str">
        <f>"1-202-24"</f>
        <v>1-202-24</v>
      </c>
      <c r="F3643" t="s">
        <v>15</v>
      </c>
      <c r="G3643" t="s">
        <v>18</v>
      </c>
      <c r="H3643" t="s">
        <v>19</v>
      </c>
      <c r="I3643">
        <v>0</v>
      </c>
      <c r="J3643">
        <v>0</v>
      </c>
      <c r="K3643">
        <v>0</v>
      </c>
    </row>
    <row r="3644" spans="1:11" x14ac:dyDescent="0.25">
      <c r="A3644" t="str">
        <f>"4615"</f>
        <v>4615</v>
      </c>
      <c r="B3644" t="str">
        <f t="shared" si="233"/>
        <v>1</v>
      </c>
      <c r="C3644" t="str">
        <f t="shared" ref="C3644:C3662" si="236">"203"</f>
        <v>203</v>
      </c>
      <c r="D3644" t="str">
        <f>"15"</f>
        <v>15</v>
      </c>
      <c r="E3644" t="str">
        <f>"1-203-15"</f>
        <v>1-203-15</v>
      </c>
      <c r="F3644" t="s">
        <v>15</v>
      </c>
      <c r="G3644" t="s">
        <v>16</v>
      </c>
      <c r="H3644" t="s">
        <v>17</v>
      </c>
      <c r="I3644">
        <v>0</v>
      </c>
      <c r="J3644">
        <v>0</v>
      </c>
      <c r="K3644">
        <v>1</v>
      </c>
    </row>
    <row r="3645" spans="1:11" x14ac:dyDescent="0.25">
      <c r="A3645" t="str">
        <f>"4616"</f>
        <v>4616</v>
      </c>
      <c r="B3645" t="str">
        <f t="shared" si="233"/>
        <v>1</v>
      </c>
      <c r="C3645" t="str">
        <f t="shared" si="236"/>
        <v>203</v>
      </c>
      <c r="D3645" t="str">
        <f>"9"</f>
        <v>9</v>
      </c>
      <c r="E3645" t="str">
        <f>"1-203-9"</f>
        <v>1-203-9</v>
      </c>
      <c r="F3645" t="s">
        <v>15</v>
      </c>
      <c r="G3645" t="s">
        <v>20</v>
      </c>
      <c r="H3645" t="s">
        <v>21</v>
      </c>
      <c r="I3645">
        <v>0</v>
      </c>
      <c r="J3645">
        <v>1</v>
      </c>
      <c r="K3645">
        <v>0</v>
      </c>
    </row>
    <row r="3646" spans="1:11" x14ac:dyDescent="0.25">
      <c r="A3646" t="str">
        <f>"4617"</f>
        <v>4617</v>
      </c>
      <c r="B3646" t="str">
        <f t="shared" si="233"/>
        <v>1</v>
      </c>
      <c r="C3646" t="str">
        <f t="shared" si="236"/>
        <v>203</v>
      </c>
      <c r="D3646" t="str">
        <f>"16"</f>
        <v>16</v>
      </c>
      <c r="E3646" t="str">
        <f>"1-203-16"</f>
        <v>1-203-16</v>
      </c>
      <c r="F3646" t="s">
        <v>15</v>
      </c>
      <c r="G3646" t="s">
        <v>16</v>
      </c>
      <c r="H3646" t="s">
        <v>17</v>
      </c>
      <c r="I3646">
        <v>1</v>
      </c>
      <c r="J3646">
        <v>0</v>
      </c>
      <c r="K3646">
        <v>0</v>
      </c>
    </row>
    <row r="3647" spans="1:11" x14ac:dyDescent="0.25">
      <c r="A3647" t="str">
        <f>"4618"</f>
        <v>4618</v>
      </c>
      <c r="B3647" t="str">
        <f t="shared" si="233"/>
        <v>1</v>
      </c>
      <c r="C3647" t="str">
        <f t="shared" si="236"/>
        <v>203</v>
      </c>
      <c r="D3647" t="str">
        <f>"2"</f>
        <v>2</v>
      </c>
      <c r="E3647" t="str">
        <f>"1-203-2"</f>
        <v>1-203-2</v>
      </c>
      <c r="F3647" t="s">
        <v>15</v>
      </c>
      <c r="G3647" t="s">
        <v>20</v>
      </c>
      <c r="H3647" t="s">
        <v>21</v>
      </c>
      <c r="I3647">
        <v>0</v>
      </c>
      <c r="J3647">
        <v>0</v>
      </c>
      <c r="K3647">
        <v>1</v>
      </c>
    </row>
    <row r="3648" spans="1:11" x14ac:dyDescent="0.25">
      <c r="A3648" t="str">
        <f>"4619"</f>
        <v>4619</v>
      </c>
      <c r="B3648" t="str">
        <f t="shared" si="233"/>
        <v>1</v>
      </c>
      <c r="C3648" t="str">
        <f t="shared" si="236"/>
        <v>203</v>
      </c>
      <c r="D3648" t="str">
        <f>"17"</f>
        <v>17</v>
      </c>
      <c r="E3648" t="str">
        <f>"1-203-17"</f>
        <v>1-203-17</v>
      </c>
      <c r="F3648" t="s">
        <v>15</v>
      </c>
      <c r="G3648" t="s">
        <v>20</v>
      </c>
      <c r="H3648" t="s">
        <v>21</v>
      </c>
      <c r="I3648">
        <v>1</v>
      </c>
      <c r="J3648">
        <v>0</v>
      </c>
      <c r="K3648">
        <v>0</v>
      </c>
    </row>
    <row r="3649" spans="1:11" x14ac:dyDescent="0.25">
      <c r="A3649" t="str">
        <f>"4620"</f>
        <v>4620</v>
      </c>
      <c r="B3649" t="str">
        <f t="shared" si="233"/>
        <v>1</v>
      </c>
      <c r="C3649" t="str">
        <f t="shared" si="236"/>
        <v>203</v>
      </c>
      <c r="D3649" t="str">
        <f>"1"</f>
        <v>1</v>
      </c>
      <c r="E3649" t="str">
        <f>"1-203-1"</f>
        <v>1-203-1</v>
      </c>
      <c r="F3649" t="s">
        <v>15</v>
      </c>
      <c r="G3649" t="s">
        <v>16</v>
      </c>
      <c r="H3649" t="s">
        <v>17</v>
      </c>
      <c r="I3649">
        <v>1</v>
      </c>
      <c r="J3649">
        <v>0</v>
      </c>
      <c r="K3649">
        <v>0</v>
      </c>
    </row>
    <row r="3650" spans="1:11" x14ac:dyDescent="0.25">
      <c r="A3650" t="str">
        <f>"4621"</f>
        <v>4621</v>
      </c>
      <c r="B3650" t="str">
        <f t="shared" si="233"/>
        <v>1</v>
      </c>
      <c r="C3650" t="str">
        <f t="shared" si="236"/>
        <v>203</v>
      </c>
      <c r="D3650" t="str">
        <f>"18"</f>
        <v>18</v>
      </c>
      <c r="E3650" t="str">
        <f>"1-203-18"</f>
        <v>1-203-18</v>
      </c>
      <c r="F3650" t="s">
        <v>15</v>
      </c>
      <c r="G3650" t="s">
        <v>20</v>
      </c>
      <c r="H3650" t="s">
        <v>21</v>
      </c>
      <c r="I3650">
        <v>0</v>
      </c>
      <c r="J3650">
        <v>0</v>
      </c>
      <c r="K3650">
        <v>1</v>
      </c>
    </row>
    <row r="3651" spans="1:11" x14ac:dyDescent="0.25">
      <c r="A3651" t="str">
        <f>"4622"</f>
        <v>4622</v>
      </c>
      <c r="B3651" t="str">
        <f t="shared" si="233"/>
        <v>1</v>
      </c>
      <c r="C3651" t="str">
        <f t="shared" si="236"/>
        <v>203</v>
      </c>
      <c r="D3651" t="str">
        <f>"14"</f>
        <v>14</v>
      </c>
      <c r="E3651" t="str">
        <f>"1-203-14"</f>
        <v>1-203-14</v>
      </c>
      <c r="F3651" t="s">
        <v>15</v>
      </c>
      <c r="G3651" t="s">
        <v>16</v>
      </c>
      <c r="H3651" t="s">
        <v>17</v>
      </c>
      <c r="I3651">
        <v>1</v>
      </c>
      <c r="J3651">
        <v>0</v>
      </c>
      <c r="K3651">
        <v>0</v>
      </c>
    </row>
    <row r="3652" spans="1:11" x14ac:dyDescent="0.25">
      <c r="A3652" t="str">
        <f>"4623"</f>
        <v>4623</v>
      </c>
      <c r="B3652" t="str">
        <f t="shared" si="233"/>
        <v>1</v>
      </c>
      <c r="C3652" t="str">
        <f t="shared" si="236"/>
        <v>203</v>
      </c>
      <c r="D3652" t="str">
        <f>"19"</f>
        <v>19</v>
      </c>
      <c r="E3652" t="str">
        <f>"1-203-19"</f>
        <v>1-203-19</v>
      </c>
      <c r="F3652" t="s">
        <v>15</v>
      </c>
      <c r="G3652" t="s">
        <v>20</v>
      </c>
      <c r="H3652" t="s">
        <v>21</v>
      </c>
      <c r="I3652">
        <v>1</v>
      </c>
      <c r="J3652">
        <v>0</v>
      </c>
      <c r="K3652">
        <v>0</v>
      </c>
    </row>
    <row r="3653" spans="1:11" x14ac:dyDescent="0.25">
      <c r="A3653" t="str">
        <f>"4624"</f>
        <v>4624</v>
      </c>
      <c r="B3653" t="str">
        <f t="shared" si="233"/>
        <v>1</v>
      </c>
      <c r="C3653" t="str">
        <f t="shared" si="236"/>
        <v>203</v>
      </c>
      <c r="D3653" t="str">
        <f>"4"</f>
        <v>4</v>
      </c>
      <c r="E3653" t="str">
        <f>"1-203-4"</f>
        <v>1-203-4</v>
      </c>
      <c r="F3653" t="s">
        <v>15</v>
      </c>
      <c r="G3653" t="s">
        <v>16</v>
      </c>
      <c r="H3653" t="s">
        <v>17</v>
      </c>
      <c r="I3653">
        <v>1</v>
      </c>
      <c r="J3653">
        <v>0</v>
      </c>
      <c r="K3653">
        <v>0</v>
      </c>
    </row>
    <row r="3654" spans="1:11" x14ac:dyDescent="0.25">
      <c r="A3654" t="str">
        <f>"4625"</f>
        <v>4625</v>
      </c>
      <c r="B3654" t="str">
        <f t="shared" si="233"/>
        <v>1</v>
      </c>
      <c r="C3654" t="str">
        <f t="shared" si="236"/>
        <v>203</v>
      </c>
      <c r="D3654" t="str">
        <f>"5"</f>
        <v>5</v>
      </c>
      <c r="E3654" t="str">
        <f>"1-203-5"</f>
        <v>1-203-5</v>
      </c>
      <c r="F3654" t="s">
        <v>15</v>
      </c>
      <c r="G3654" t="s">
        <v>20</v>
      </c>
      <c r="H3654" t="s">
        <v>21</v>
      </c>
      <c r="I3654">
        <v>0</v>
      </c>
      <c r="J3654">
        <v>1</v>
      </c>
      <c r="K3654">
        <v>0</v>
      </c>
    </row>
    <row r="3655" spans="1:11" x14ac:dyDescent="0.25">
      <c r="A3655" t="str">
        <f>"4626"</f>
        <v>4626</v>
      </c>
      <c r="B3655" t="str">
        <f t="shared" si="233"/>
        <v>1</v>
      </c>
      <c r="C3655" t="str">
        <f t="shared" si="236"/>
        <v>203</v>
      </c>
      <c r="D3655" t="str">
        <f>"8"</f>
        <v>8</v>
      </c>
      <c r="E3655" t="str">
        <f>"1-203-8"</f>
        <v>1-203-8</v>
      </c>
      <c r="F3655" t="s">
        <v>15</v>
      </c>
      <c r="G3655" t="s">
        <v>16</v>
      </c>
      <c r="H3655" t="s">
        <v>17</v>
      </c>
      <c r="I3655">
        <v>1</v>
      </c>
      <c r="J3655">
        <v>0</v>
      </c>
      <c r="K3655">
        <v>0</v>
      </c>
    </row>
    <row r="3656" spans="1:11" x14ac:dyDescent="0.25">
      <c r="A3656" t="str">
        <f>"4627"</f>
        <v>4627</v>
      </c>
      <c r="B3656" t="str">
        <f t="shared" si="233"/>
        <v>1</v>
      </c>
      <c r="C3656" t="str">
        <f t="shared" si="236"/>
        <v>203</v>
      </c>
      <c r="D3656" t="str">
        <f>"12"</f>
        <v>12</v>
      </c>
      <c r="E3656" t="str">
        <f>"1-203-12"</f>
        <v>1-203-12</v>
      </c>
      <c r="F3656" t="s">
        <v>15</v>
      </c>
      <c r="G3656" t="s">
        <v>18</v>
      </c>
      <c r="H3656" t="s">
        <v>19</v>
      </c>
      <c r="I3656">
        <v>0</v>
      </c>
      <c r="J3656">
        <v>0</v>
      </c>
      <c r="K3656">
        <v>1</v>
      </c>
    </row>
    <row r="3657" spans="1:11" x14ac:dyDescent="0.25">
      <c r="A3657" t="str">
        <f>"4628"</f>
        <v>4628</v>
      </c>
      <c r="B3657" t="str">
        <f t="shared" si="233"/>
        <v>1</v>
      </c>
      <c r="C3657" t="str">
        <f t="shared" si="236"/>
        <v>203</v>
      </c>
      <c r="D3657" t="str">
        <f>"10"</f>
        <v>10</v>
      </c>
      <c r="E3657" t="str">
        <f>"1-203-10"</f>
        <v>1-203-10</v>
      </c>
      <c r="F3657" t="s">
        <v>15</v>
      </c>
      <c r="G3657" t="s">
        <v>20</v>
      </c>
      <c r="H3657" t="s">
        <v>21</v>
      </c>
      <c r="I3657">
        <v>0</v>
      </c>
      <c r="J3657">
        <v>1</v>
      </c>
      <c r="K3657">
        <v>0</v>
      </c>
    </row>
    <row r="3658" spans="1:11" x14ac:dyDescent="0.25">
      <c r="A3658" t="str">
        <f>"4629"</f>
        <v>4629</v>
      </c>
      <c r="B3658" t="str">
        <f t="shared" si="233"/>
        <v>1</v>
      </c>
      <c r="C3658" t="str">
        <f t="shared" si="236"/>
        <v>203</v>
      </c>
      <c r="D3658" t="str">
        <f>"3"</f>
        <v>3</v>
      </c>
      <c r="E3658" t="str">
        <f>"1-203-3"</f>
        <v>1-203-3</v>
      </c>
      <c r="F3658" t="s">
        <v>15</v>
      </c>
      <c r="G3658" t="s">
        <v>20</v>
      </c>
      <c r="H3658" t="s">
        <v>21</v>
      </c>
      <c r="I3658">
        <v>0</v>
      </c>
      <c r="J3658">
        <v>0</v>
      </c>
      <c r="K3658">
        <v>1</v>
      </c>
    </row>
    <row r="3659" spans="1:11" x14ac:dyDescent="0.25">
      <c r="A3659" t="str">
        <f>"4630"</f>
        <v>4630</v>
      </c>
      <c r="B3659" t="str">
        <f t="shared" si="233"/>
        <v>1</v>
      </c>
      <c r="C3659" t="str">
        <f t="shared" si="236"/>
        <v>203</v>
      </c>
      <c r="D3659" t="str">
        <f>"11"</f>
        <v>11</v>
      </c>
      <c r="E3659" t="str">
        <f>"1-203-11"</f>
        <v>1-203-11</v>
      </c>
      <c r="F3659" t="s">
        <v>15</v>
      </c>
      <c r="G3659" t="s">
        <v>20</v>
      </c>
      <c r="H3659" t="s">
        <v>21</v>
      </c>
      <c r="I3659">
        <v>0</v>
      </c>
      <c r="J3659">
        <v>0</v>
      </c>
      <c r="K3659">
        <v>1</v>
      </c>
    </row>
    <row r="3660" spans="1:11" x14ac:dyDescent="0.25">
      <c r="A3660" t="str">
        <f>"4631"</f>
        <v>4631</v>
      </c>
      <c r="B3660" t="str">
        <f t="shared" si="233"/>
        <v>1</v>
      </c>
      <c r="C3660" t="str">
        <f t="shared" si="236"/>
        <v>203</v>
      </c>
      <c r="D3660" t="str">
        <f>"6"</f>
        <v>6</v>
      </c>
      <c r="E3660" t="str">
        <f>"1-203-6"</f>
        <v>1-203-6</v>
      </c>
      <c r="F3660" t="s">
        <v>15</v>
      </c>
      <c r="G3660" t="s">
        <v>16</v>
      </c>
      <c r="H3660" t="s">
        <v>17</v>
      </c>
      <c r="I3660">
        <v>0</v>
      </c>
      <c r="J3660">
        <v>1</v>
      </c>
      <c r="K3660">
        <v>0</v>
      </c>
    </row>
    <row r="3661" spans="1:11" x14ac:dyDescent="0.25">
      <c r="A3661" t="str">
        <f>"4632"</f>
        <v>4632</v>
      </c>
      <c r="B3661" t="str">
        <f t="shared" si="233"/>
        <v>1</v>
      </c>
      <c r="C3661" t="str">
        <f t="shared" si="236"/>
        <v>203</v>
      </c>
      <c r="D3661" t="str">
        <f>"13"</f>
        <v>13</v>
      </c>
      <c r="E3661" t="str">
        <f>"1-203-13"</f>
        <v>1-203-13</v>
      </c>
      <c r="F3661" t="s">
        <v>15</v>
      </c>
      <c r="G3661" t="s">
        <v>16</v>
      </c>
      <c r="H3661" t="s">
        <v>17</v>
      </c>
      <c r="I3661">
        <v>0</v>
      </c>
      <c r="J3661">
        <v>1</v>
      </c>
      <c r="K3661">
        <v>0</v>
      </c>
    </row>
    <row r="3662" spans="1:11" x14ac:dyDescent="0.25">
      <c r="A3662" t="str">
        <f>"4633"</f>
        <v>4633</v>
      </c>
      <c r="B3662" t="str">
        <f t="shared" si="233"/>
        <v>1</v>
      </c>
      <c r="C3662" t="str">
        <f t="shared" si="236"/>
        <v>203</v>
      </c>
      <c r="D3662" t="str">
        <f>"7"</f>
        <v>7</v>
      </c>
      <c r="E3662" t="str">
        <f>"1-203-7"</f>
        <v>1-203-7</v>
      </c>
      <c r="F3662" t="s">
        <v>15</v>
      </c>
      <c r="G3662" t="s">
        <v>16</v>
      </c>
      <c r="H3662" t="s">
        <v>17</v>
      </c>
      <c r="I3662">
        <v>0</v>
      </c>
      <c r="J3662">
        <v>0</v>
      </c>
      <c r="K3662">
        <v>1</v>
      </c>
    </row>
    <row r="3663" spans="1:11" x14ac:dyDescent="0.25">
      <c r="A3663" t="str">
        <f>"4637"</f>
        <v>4637</v>
      </c>
      <c r="B3663" t="str">
        <f t="shared" ref="B3663:B3713" si="237">"1"</f>
        <v>1</v>
      </c>
      <c r="C3663" t="str">
        <f t="shared" ref="C3663:C3683" si="238">"204"</f>
        <v>204</v>
      </c>
      <c r="D3663" t="str">
        <f>"23"</f>
        <v>23</v>
      </c>
      <c r="E3663" t="str">
        <f>"1-204-23"</f>
        <v>1-204-23</v>
      </c>
      <c r="F3663" t="s">
        <v>15</v>
      </c>
      <c r="G3663" t="s">
        <v>20</v>
      </c>
      <c r="H3663" t="s">
        <v>21</v>
      </c>
      <c r="I3663">
        <v>1</v>
      </c>
      <c r="J3663">
        <v>0</v>
      </c>
      <c r="K3663">
        <v>0</v>
      </c>
    </row>
    <row r="3664" spans="1:11" x14ac:dyDescent="0.25">
      <c r="A3664" t="str">
        <f>"4639"</f>
        <v>4639</v>
      </c>
      <c r="B3664" t="str">
        <f t="shared" si="237"/>
        <v>1</v>
      </c>
      <c r="C3664" t="str">
        <f t="shared" si="238"/>
        <v>204</v>
      </c>
      <c r="D3664" t="str">
        <f>"5"</f>
        <v>5</v>
      </c>
      <c r="E3664" t="str">
        <f>"1-204-5"</f>
        <v>1-204-5</v>
      </c>
      <c r="F3664" t="s">
        <v>15</v>
      </c>
      <c r="G3664" t="s">
        <v>20</v>
      </c>
      <c r="H3664" t="s">
        <v>21</v>
      </c>
      <c r="I3664">
        <v>0</v>
      </c>
      <c r="J3664">
        <v>1</v>
      </c>
      <c r="K3664">
        <v>0</v>
      </c>
    </row>
    <row r="3665" spans="1:11" x14ac:dyDescent="0.25">
      <c r="A3665" t="str">
        <f>"4640"</f>
        <v>4640</v>
      </c>
      <c r="B3665" t="str">
        <f t="shared" si="237"/>
        <v>1</v>
      </c>
      <c r="C3665" t="str">
        <f t="shared" si="238"/>
        <v>204</v>
      </c>
      <c r="D3665" t="str">
        <f>"17"</f>
        <v>17</v>
      </c>
      <c r="E3665" t="str">
        <f>"1-204-17"</f>
        <v>1-204-17</v>
      </c>
      <c r="F3665" t="s">
        <v>15</v>
      </c>
      <c r="G3665" t="s">
        <v>20</v>
      </c>
      <c r="H3665" t="s">
        <v>21</v>
      </c>
      <c r="I3665">
        <v>1</v>
      </c>
      <c r="J3665">
        <v>0</v>
      </c>
      <c r="K3665">
        <v>0</v>
      </c>
    </row>
    <row r="3666" spans="1:11" x14ac:dyDescent="0.25">
      <c r="A3666" t="str">
        <f>"4641"</f>
        <v>4641</v>
      </c>
      <c r="B3666" t="str">
        <f t="shared" si="237"/>
        <v>1</v>
      </c>
      <c r="C3666" t="str">
        <f t="shared" si="238"/>
        <v>204</v>
      </c>
      <c r="D3666" t="str">
        <f>"1"</f>
        <v>1</v>
      </c>
      <c r="E3666" t="str">
        <f>"1-204-1"</f>
        <v>1-204-1</v>
      </c>
      <c r="F3666" t="s">
        <v>15</v>
      </c>
      <c r="G3666" t="s">
        <v>20</v>
      </c>
      <c r="H3666" t="s">
        <v>21</v>
      </c>
      <c r="I3666">
        <v>1</v>
      </c>
      <c r="J3666">
        <v>0</v>
      </c>
      <c r="K3666">
        <v>0</v>
      </c>
    </row>
    <row r="3667" spans="1:11" x14ac:dyDescent="0.25">
      <c r="A3667" t="str">
        <f>"4642"</f>
        <v>4642</v>
      </c>
      <c r="B3667" t="str">
        <f t="shared" si="237"/>
        <v>1</v>
      </c>
      <c r="C3667" t="str">
        <f t="shared" si="238"/>
        <v>204</v>
      </c>
      <c r="D3667" t="str">
        <f>"14"</f>
        <v>14</v>
      </c>
      <c r="E3667" t="str">
        <f>"1-204-14"</f>
        <v>1-204-14</v>
      </c>
      <c r="F3667" t="s">
        <v>15</v>
      </c>
      <c r="G3667" t="s">
        <v>20</v>
      </c>
      <c r="H3667" t="s">
        <v>21</v>
      </c>
      <c r="I3667">
        <v>0</v>
      </c>
      <c r="J3667">
        <v>0</v>
      </c>
      <c r="K3667">
        <v>1</v>
      </c>
    </row>
    <row r="3668" spans="1:11" x14ac:dyDescent="0.25">
      <c r="A3668" t="str">
        <f>"4645"</f>
        <v>4645</v>
      </c>
      <c r="B3668" t="str">
        <f t="shared" si="237"/>
        <v>1</v>
      </c>
      <c r="C3668" t="str">
        <f t="shared" si="238"/>
        <v>204</v>
      </c>
      <c r="D3668" t="str">
        <f>"21"</f>
        <v>21</v>
      </c>
      <c r="E3668" t="str">
        <f>"1-204-21"</f>
        <v>1-204-21</v>
      </c>
      <c r="F3668" t="s">
        <v>15</v>
      </c>
      <c r="G3668" t="s">
        <v>20</v>
      </c>
      <c r="H3668" t="s">
        <v>21</v>
      </c>
      <c r="I3668">
        <v>1</v>
      </c>
      <c r="J3668">
        <v>0</v>
      </c>
      <c r="K3668">
        <v>0</v>
      </c>
    </row>
    <row r="3669" spans="1:11" x14ac:dyDescent="0.25">
      <c r="A3669" t="str">
        <f>"4647"</f>
        <v>4647</v>
      </c>
      <c r="B3669" t="str">
        <f t="shared" si="237"/>
        <v>1</v>
      </c>
      <c r="C3669" t="str">
        <f t="shared" si="238"/>
        <v>204</v>
      </c>
      <c r="D3669" t="str">
        <f>"22"</f>
        <v>22</v>
      </c>
      <c r="E3669" t="str">
        <f>"1-204-22"</f>
        <v>1-204-22</v>
      </c>
      <c r="F3669" t="s">
        <v>15</v>
      </c>
      <c r="G3669" t="s">
        <v>20</v>
      </c>
      <c r="H3669" t="s">
        <v>21</v>
      </c>
      <c r="I3669">
        <v>0</v>
      </c>
      <c r="J3669">
        <v>1</v>
      </c>
      <c r="K3669">
        <v>0</v>
      </c>
    </row>
    <row r="3670" spans="1:11" x14ac:dyDescent="0.25">
      <c r="A3670" t="str">
        <f>"4648"</f>
        <v>4648</v>
      </c>
      <c r="B3670" t="str">
        <f t="shared" si="237"/>
        <v>1</v>
      </c>
      <c r="C3670" t="str">
        <f t="shared" si="238"/>
        <v>204</v>
      </c>
      <c r="D3670" t="str">
        <f>"11"</f>
        <v>11</v>
      </c>
      <c r="E3670" t="str">
        <f>"1-204-11"</f>
        <v>1-204-11</v>
      </c>
      <c r="F3670" t="s">
        <v>15</v>
      </c>
      <c r="G3670" t="s">
        <v>20</v>
      </c>
      <c r="H3670" t="s">
        <v>21</v>
      </c>
      <c r="I3670">
        <v>0</v>
      </c>
      <c r="J3670">
        <v>0</v>
      </c>
      <c r="K3670">
        <v>1</v>
      </c>
    </row>
    <row r="3671" spans="1:11" x14ac:dyDescent="0.25">
      <c r="A3671" t="str">
        <f>"4649"</f>
        <v>4649</v>
      </c>
      <c r="B3671" t="str">
        <f t="shared" si="237"/>
        <v>1</v>
      </c>
      <c r="C3671" t="str">
        <f t="shared" si="238"/>
        <v>204</v>
      </c>
      <c r="D3671" t="str">
        <f>"13"</f>
        <v>13</v>
      </c>
      <c r="E3671" t="str">
        <f>"1-204-13"</f>
        <v>1-204-13</v>
      </c>
      <c r="F3671" t="s">
        <v>15</v>
      </c>
      <c r="G3671" t="s">
        <v>20</v>
      </c>
      <c r="H3671" t="s">
        <v>21</v>
      </c>
      <c r="I3671">
        <v>1</v>
      </c>
      <c r="J3671">
        <v>0</v>
      </c>
      <c r="K3671">
        <v>0</v>
      </c>
    </row>
    <row r="3672" spans="1:11" x14ac:dyDescent="0.25">
      <c r="A3672" t="str">
        <f>"4652"</f>
        <v>4652</v>
      </c>
      <c r="B3672" t="str">
        <f t="shared" si="237"/>
        <v>1</v>
      </c>
      <c r="C3672" t="str">
        <f t="shared" si="238"/>
        <v>204</v>
      </c>
      <c r="D3672" t="str">
        <f>"28"</f>
        <v>28</v>
      </c>
      <c r="E3672" t="str">
        <f>"1-204-28"</f>
        <v>1-204-28</v>
      </c>
      <c r="F3672" t="s">
        <v>15</v>
      </c>
      <c r="G3672" t="s">
        <v>20</v>
      </c>
      <c r="H3672" t="s">
        <v>21</v>
      </c>
      <c r="I3672">
        <v>0</v>
      </c>
      <c r="J3672">
        <v>0</v>
      </c>
      <c r="K3672">
        <v>1</v>
      </c>
    </row>
    <row r="3673" spans="1:11" x14ac:dyDescent="0.25">
      <c r="A3673" t="str">
        <f>"4653"</f>
        <v>4653</v>
      </c>
      <c r="B3673" t="str">
        <f t="shared" si="237"/>
        <v>1</v>
      </c>
      <c r="C3673" t="str">
        <f t="shared" si="238"/>
        <v>204</v>
      </c>
      <c r="D3673" t="str">
        <f>"29"</f>
        <v>29</v>
      </c>
      <c r="E3673" t="str">
        <f>"1-204-29"</f>
        <v>1-204-29</v>
      </c>
      <c r="F3673" t="s">
        <v>15</v>
      </c>
      <c r="G3673" t="s">
        <v>20</v>
      </c>
      <c r="H3673" t="s">
        <v>21</v>
      </c>
      <c r="I3673">
        <v>0</v>
      </c>
      <c r="J3673">
        <v>0</v>
      </c>
      <c r="K3673">
        <v>1</v>
      </c>
    </row>
    <row r="3674" spans="1:11" x14ac:dyDescent="0.25">
      <c r="A3674" t="str">
        <f>"4654"</f>
        <v>4654</v>
      </c>
      <c r="B3674" t="str">
        <f t="shared" si="237"/>
        <v>1</v>
      </c>
      <c r="C3674" t="str">
        <f t="shared" si="238"/>
        <v>204</v>
      </c>
      <c r="D3674" t="str">
        <f>"12"</f>
        <v>12</v>
      </c>
      <c r="E3674" t="str">
        <f>"1-204-12"</f>
        <v>1-204-12</v>
      </c>
      <c r="F3674" t="s">
        <v>15</v>
      </c>
      <c r="G3674" t="s">
        <v>20</v>
      </c>
      <c r="H3674" t="s">
        <v>21</v>
      </c>
      <c r="I3674">
        <v>0</v>
      </c>
      <c r="J3674">
        <v>1</v>
      </c>
      <c r="K3674">
        <v>0</v>
      </c>
    </row>
    <row r="3675" spans="1:11" x14ac:dyDescent="0.25">
      <c r="A3675" t="str">
        <f>"4655"</f>
        <v>4655</v>
      </c>
      <c r="B3675" t="str">
        <f t="shared" si="237"/>
        <v>1</v>
      </c>
      <c r="C3675" t="str">
        <f t="shared" si="238"/>
        <v>204</v>
      </c>
      <c r="D3675" t="str">
        <f>"3"</f>
        <v>3</v>
      </c>
      <c r="E3675" t="str">
        <f>"1-204-3"</f>
        <v>1-204-3</v>
      </c>
      <c r="F3675" t="s">
        <v>15</v>
      </c>
      <c r="G3675" t="s">
        <v>20</v>
      </c>
      <c r="H3675" t="s">
        <v>21</v>
      </c>
      <c r="I3675">
        <v>0</v>
      </c>
      <c r="J3675">
        <v>0</v>
      </c>
      <c r="K3675">
        <v>0</v>
      </c>
    </row>
    <row r="3676" spans="1:11" x14ac:dyDescent="0.25">
      <c r="A3676" t="str">
        <f>"4656"</f>
        <v>4656</v>
      </c>
      <c r="B3676" t="str">
        <f t="shared" si="237"/>
        <v>1</v>
      </c>
      <c r="C3676" t="str">
        <f t="shared" si="238"/>
        <v>204</v>
      </c>
      <c r="D3676" t="str">
        <f>"7"</f>
        <v>7</v>
      </c>
      <c r="E3676" t="str">
        <f>"1-204-7"</f>
        <v>1-204-7</v>
      </c>
      <c r="F3676" t="s">
        <v>15</v>
      </c>
      <c r="G3676" t="s">
        <v>20</v>
      </c>
      <c r="H3676" t="s">
        <v>21</v>
      </c>
      <c r="I3676">
        <v>0</v>
      </c>
      <c r="J3676">
        <v>0</v>
      </c>
      <c r="K3676">
        <v>0</v>
      </c>
    </row>
    <row r="3677" spans="1:11" x14ac:dyDescent="0.25">
      <c r="A3677" t="str">
        <f>"4657"</f>
        <v>4657</v>
      </c>
      <c r="B3677" t="str">
        <f t="shared" si="237"/>
        <v>1</v>
      </c>
      <c r="C3677" t="str">
        <f t="shared" si="238"/>
        <v>204</v>
      </c>
      <c r="D3677" t="str">
        <f>"24"</f>
        <v>24</v>
      </c>
      <c r="E3677" t="str">
        <f>"1-204-24"</f>
        <v>1-204-24</v>
      </c>
      <c r="F3677" t="s">
        <v>15</v>
      </c>
      <c r="G3677" t="s">
        <v>20</v>
      </c>
      <c r="H3677" t="s">
        <v>21</v>
      </c>
      <c r="I3677">
        <v>0</v>
      </c>
      <c r="J3677">
        <v>0</v>
      </c>
      <c r="K3677">
        <v>0</v>
      </c>
    </row>
    <row r="3678" spans="1:11" x14ac:dyDescent="0.25">
      <c r="A3678" t="str">
        <f>"4658"</f>
        <v>4658</v>
      </c>
      <c r="B3678" t="str">
        <f t="shared" si="237"/>
        <v>1</v>
      </c>
      <c r="C3678" t="str">
        <f t="shared" si="238"/>
        <v>204</v>
      </c>
      <c r="D3678" t="str">
        <f>"6"</f>
        <v>6</v>
      </c>
      <c r="E3678" t="str">
        <f>"1-204-6"</f>
        <v>1-204-6</v>
      </c>
      <c r="F3678" t="s">
        <v>15</v>
      </c>
      <c r="G3678" t="s">
        <v>20</v>
      </c>
      <c r="H3678" t="s">
        <v>21</v>
      </c>
      <c r="I3678">
        <v>0</v>
      </c>
      <c r="J3678">
        <v>0</v>
      </c>
      <c r="K3678">
        <v>0</v>
      </c>
    </row>
    <row r="3679" spans="1:11" x14ac:dyDescent="0.25">
      <c r="A3679" t="str">
        <f>"4659"</f>
        <v>4659</v>
      </c>
      <c r="B3679" t="str">
        <f t="shared" si="237"/>
        <v>1</v>
      </c>
      <c r="C3679" t="str">
        <f t="shared" si="238"/>
        <v>204</v>
      </c>
      <c r="D3679" t="str">
        <f>"30"</f>
        <v>30</v>
      </c>
      <c r="E3679" t="str">
        <f>"1-204-30"</f>
        <v>1-204-30</v>
      </c>
      <c r="F3679" t="s">
        <v>15</v>
      </c>
      <c r="G3679" t="s">
        <v>20</v>
      </c>
      <c r="H3679" t="s">
        <v>21</v>
      </c>
      <c r="I3679">
        <v>0</v>
      </c>
      <c r="J3679">
        <v>0</v>
      </c>
      <c r="K3679">
        <v>0</v>
      </c>
    </row>
    <row r="3680" spans="1:11" x14ac:dyDescent="0.25">
      <c r="A3680" t="str">
        <f>"4660"</f>
        <v>4660</v>
      </c>
      <c r="B3680" t="str">
        <f t="shared" si="237"/>
        <v>1</v>
      </c>
      <c r="C3680" t="str">
        <f t="shared" si="238"/>
        <v>204</v>
      </c>
      <c r="D3680" t="str">
        <f>"8"</f>
        <v>8</v>
      </c>
      <c r="E3680" t="str">
        <f>"1-204-8"</f>
        <v>1-204-8</v>
      </c>
      <c r="F3680" t="s">
        <v>15</v>
      </c>
      <c r="G3680" t="s">
        <v>20</v>
      </c>
      <c r="H3680" t="s">
        <v>21</v>
      </c>
      <c r="I3680">
        <v>0</v>
      </c>
      <c r="J3680">
        <v>0</v>
      </c>
      <c r="K3680">
        <v>0</v>
      </c>
    </row>
    <row r="3681" spans="1:11" x14ac:dyDescent="0.25">
      <c r="A3681" t="str">
        <f>"4661"</f>
        <v>4661</v>
      </c>
      <c r="B3681" t="str">
        <f t="shared" si="237"/>
        <v>1</v>
      </c>
      <c r="C3681" t="str">
        <f t="shared" si="238"/>
        <v>204</v>
      </c>
      <c r="D3681" t="str">
        <f>"9"</f>
        <v>9</v>
      </c>
      <c r="E3681" t="str">
        <f>"1-204-9"</f>
        <v>1-204-9</v>
      </c>
      <c r="F3681" t="s">
        <v>15</v>
      </c>
      <c r="G3681" t="s">
        <v>20</v>
      </c>
      <c r="H3681" t="s">
        <v>21</v>
      </c>
      <c r="I3681">
        <v>0</v>
      </c>
      <c r="J3681">
        <v>0</v>
      </c>
      <c r="K3681">
        <v>0</v>
      </c>
    </row>
    <row r="3682" spans="1:11" x14ac:dyDescent="0.25">
      <c r="A3682" t="str">
        <f>"4662"</f>
        <v>4662</v>
      </c>
      <c r="B3682" t="str">
        <f t="shared" si="237"/>
        <v>1</v>
      </c>
      <c r="C3682" t="str">
        <f t="shared" si="238"/>
        <v>204</v>
      </c>
      <c r="D3682" t="str">
        <f>"25"</f>
        <v>25</v>
      </c>
      <c r="E3682" t="str">
        <f>"1-204-25"</f>
        <v>1-204-25</v>
      </c>
      <c r="F3682" t="s">
        <v>15</v>
      </c>
      <c r="G3682" t="s">
        <v>20</v>
      </c>
      <c r="H3682" t="s">
        <v>21</v>
      </c>
      <c r="I3682">
        <v>0</v>
      </c>
      <c r="J3682">
        <v>0</v>
      </c>
      <c r="K3682">
        <v>0</v>
      </c>
    </row>
    <row r="3683" spans="1:11" x14ac:dyDescent="0.25">
      <c r="A3683" t="str">
        <f>"4663"</f>
        <v>4663</v>
      </c>
      <c r="B3683" t="str">
        <f t="shared" si="237"/>
        <v>1</v>
      </c>
      <c r="C3683" t="str">
        <f t="shared" si="238"/>
        <v>204</v>
      </c>
      <c r="D3683" t="str">
        <f>"18"</f>
        <v>18</v>
      </c>
      <c r="E3683" t="str">
        <f>"1-204-18"</f>
        <v>1-204-18</v>
      </c>
      <c r="F3683" t="s">
        <v>15</v>
      </c>
      <c r="G3683" t="s">
        <v>20</v>
      </c>
      <c r="H3683" t="s">
        <v>21</v>
      </c>
      <c r="I3683">
        <v>1</v>
      </c>
      <c r="J3683">
        <v>0</v>
      </c>
      <c r="K3683">
        <v>0</v>
      </c>
    </row>
    <row r="3684" spans="1:11" x14ac:dyDescent="0.25">
      <c r="A3684" t="str">
        <f>"4664"</f>
        <v>4664</v>
      </c>
      <c r="B3684" t="str">
        <f t="shared" si="237"/>
        <v>1</v>
      </c>
      <c r="C3684" t="str">
        <f t="shared" ref="C3684:C3702" si="239">"205"</f>
        <v>205</v>
      </c>
      <c r="D3684" t="str">
        <f>"15"</f>
        <v>15</v>
      </c>
      <c r="E3684" t="str">
        <f>"1-205-15"</f>
        <v>1-205-15</v>
      </c>
      <c r="F3684" t="s">
        <v>15</v>
      </c>
      <c r="G3684" t="s">
        <v>20</v>
      </c>
      <c r="H3684" t="s">
        <v>21</v>
      </c>
      <c r="I3684">
        <v>1</v>
      </c>
      <c r="J3684">
        <v>0</v>
      </c>
      <c r="K3684">
        <v>0</v>
      </c>
    </row>
    <row r="3685" spans="1:11" x14ac:dyDescent="0.25">
      <c r="A3685" t="str">
        <f>"4665"</f>
        <v>4665</v>
      </c>
      <c r="B3685" t="str">
        <f t="shared" si="237"/>
        <v>1</v>
      </c>
      <c r="C3685" t="str">
        <f t="shared" si="239"/>
        <v>205</v>
      </c>
      <c r="D3685" t="str">
        <f>"10"</f>
        <v>10</v>
      </c>
      <c r="E3685" t="str">
        <f>"1-205-10"</f>
        <v>1-205-10</v>
      </c>
      <c r="F3685" t="s">
        <v>15</v>
      </c>
      <c r="G3685" t="s">
        <v>20</v>
      </c>
      <c r="H3685" t="s">
        <v>21</v>
      </c>
      <c r="I3685">
        <v>0</v>
      </c>
      <c r="J3685">
        <v>1</v>
      </c>
      <c r="K3685">
        <v>0</v>
      </c>
    </row>
    <row r="3686" spans="1:11" x14ac:dyDescent="0.25">
      <c r="A3686" t="str">
        <f>"4667"</f>
        <v>4667</v>
      </c>
      <c r="B3686" t="str">
        <f t="shared" si="237"/>
        <v>1</v>
      </c>
      <c r="C3686" t="str">
        <f t="shared" si="239"/>
        <v>205</v>
      </c>
      <c r="D3686" t="str">
        <f>"4"</f>
        <v>4</v>
      </c>
      <c r="E3686" t="str">
        <f>"1-205-4"</f>
        <v>1-205-4</v>
      </c>
      <c r="F3686" t="s">
        <v>15</v>
      </c>
      <c r="G3686" t="s">
        <v>20</v>
      </c>
      <c r="H3686" t="s">
        <v>21</v>
      </c>
      <c r="I3686">
        <v>0</v>
      </c>
      <c r="J3686">
        <v>0</v>
      </c>
      <c r="K3686">
        <v>1</v>
      </c>
    </row>
    <row r="3687" spans="1:11" x14ac:dyDescent="0.25">
      <c r="A3687" t="str">
        <f>"4669"</f>
        <v>4669</v>
      </c>
      <c r="B3687" t="str">
        <f t="shared" si="237"/>
        <v>1</v>
      </c>
      <c r="C3687" t="str">
        <f t="shared" si="239"/>
        <v>205</v>
      </c>
      <c r="D3687" t="str">
        <f>"1"</f>
        <v>1</v>
      </c>
      <c r="E3687" t="str">
        <f>"1-205-1"</f>
        <v>1-205-1</v>
      </c>
      <c r="F3687" t="s">
        <v>15</v>
      </c>
      <c r="G3687" t="s">
        <v>20</v>
      </c>
      <c r="H3687" t="s">
        <v>21</v>
      </c>
      <c r="I3687">
        <v>0</v>
      </c>
      <c r="J3687">
        <v>1</v>
      </c>
      <c r="K3687">
        <v>0</v>
      </c>
    </row>
    <row r="3688" spans="1:11" x14ac:dyDescent="0.25">
      <c r="A3688" t="str">
        <f>"4670"</f>
        <v>4670</v>
      </c>
      <c r="B3688" t="str">
        <f t="shared" si="237"/>
        <v>1</v>
      </c>
      <c r="C3688" t="str">
        <f t="shared" si="239"/>
        <v>205</v>
      </c>
      <c r="D3688" t="str">
        <f>"18"</f>
        <v>18</v>
      </c>
      <c r="E3688" t="str">
        <f>"1-205-18"</f>
        <v>1-205-18</v>
      </c>
      <c r="F3688" t="s">
        <v>15</v>
      </c>
      <c r="G3688" t="s">
        <v>20</v>
      </c>
      <c r="H3688" t="s">
        <v>21</v>
      </c>
      <c r="I3688">
        <v>1</v>
      </c>
      <c r="J3688">
        <v>0</v>
      </c>
      <c r="K3688">
        <v>0</v>
      </c>
    </row>
    <row r="3689" spans="1:11" x14ac:dyDescent="0.25">
      <c r="A3689" t="str">
        <f>"4671"</f>
        <v>4671</v>
      </c>
      <c r="B3689" t="str">
        <f t="shared" si="237"/>
        <v>1</v>
      </c>
      <c r="C3689" t="str">
        <f t="shared" si="239"/>
        <v>205</v>
      </c>
      <c r="D3689" t="str">
        <f>"8"</f>
        <v>8</v>
      </c>
      <c r="E3689" t="str">
        <f>"1-205-8"</f>
        <v>1-205-8</v>
      </c>
      <c r="F3689" t="s">
        <v>15</v>
      </c>
      <c r="G3689" t="s">
        <v>20</v>
      </c>
      <c r="H3689" t="s">
        <v>21</v>
      </c>
      <c r="I3689">
        <v>0</v>
      </c>
      <c r="J3689">
        <v>1</v>
      </c>
      <c r="K3689">
        <v>0</v>
      </c>
    </row>
    <row r="3690" spans="1:11" x14ac:dyDescent="0.25">
      <c r="A3690" t="str">
        <f>"4672"</f>
        <v>4672</v>
      </c>
      <c r="B3690" t="str">
        <f t="shared" si="237"/>
        <v>1</v>
      </c>
      <c r="C3690" t="str">
        <f t="shared" si="239"/>
        <v>205</v>
      </c>
      <c r="D3690" t="str">
        <f>"19"</f>
        <v>19</v>
      </c>
      <c r="E3690" t="str">
        <f>"1-205-19"</f>
        <v>1-205-19</v>
      </c>
      <c r="F3690" t="s">
        <v>15</v>
      </c>
      <c r="G3690" t="s">
        <v>20</v>
      </c>
      <c r="H3690" t="s">
        <v>21</v>
      </c>
      <c r="I3690">
        <v>0</v>
      </c>
      <c r="J3690">
        <v>0</v>
      </c>
      <c r="K3690">
        <v>1</v>
      </c>
    </row>
    <row r="3691" spans="1:11" x14ac:dyDescent="0.25">
      <c r="A3691" t="str">
        <f>"4674"</f>
        <v>4674</v>
      </c>
      <c r="B3691" t="str">
        <f t="shared" si="237"/>
        <v>1</v>
      </c>
      <c r="C3691" t="str">
        <f t="shared" si="239"/>
        <v>205</v>
      </c>
      <c r="D3691" t="str">
        <f>"20"</f>
        <v>20</v>
      </c>
      <c r="E3691" t="str">
        <f>"1-205-20"</f>
        <v>1-205-20</v>
      </c>
      <c r="F3691" t="s">
        <v>15</v>
      </c>
      <c r="G3691" t="s">
        <v>20</v>
      </c>
      <c r="H3691" t="s">
        <v>21</v>
      </c>
      <c r="I3691">
        <v>0</v>
      </c>
      <c r="J3691">
        <v>0</v>
      </c>
      <c r="K3691">
        <v>1</v>
      </c>
    </row>
    <row r="3692" spans="1:11" x14ac:dyDescent="0.25">
      <c r="A3692" t="str">
        <f>"4675"</f>
        <v>4675</v>
      </c>
      <c r="B3692" t="str">
        <f t="shared" si="237"/>
        <v>1</v>
      </c>
      <c r="C3692" t="str">
        <f t="shared" si="239"/>
        <v>205</v>
      </c>
      <c r="D3692" t="str">
        <f>"2"</f>
        <v>2</v>
      </c>
      <c r="E3692" t="str">
        <f>"1-205-2"</f>
        <v>1-205-2</v>
      </c>
      <c r="F3692" t="s">
        <v>15</v>
      </c>
      <c r="G3692" t="s">
        <v>20</v>
      </c>
      <c r="H3692" t="s">
        <v>21</v>
      </c>
      <c r="I3692">
        <v>0</v>
      </c>
      <c r="J3692">
        <v>1</v>
      </c>
      <c r="K3692">
        <v>0</v>
      </c>
    </row>
    <row r="3693" spans="1:11" x14ac:dyDescent="0.25">
      <c r="A3693" t="str">
        <f>"4676"</f>
        <v>4676</v>
      </c>
      <c r="B3693" t="str">
        <f t="shared" si="237"/>
        <v>1</v>
      </c>
      <c r="C3693" t="str">
        <f t="shared" si="239"/>
        <v>205</v>
      </c>
      <c r="D3693" t="str">
        <f>"21"</f>
        <v>21</v>
      </c>
      <c r="E3693" t="str">
        <f>"1-205-21"</f>
        <v>1-205-21</v>
      </c>
      <c r="F3693" t="s">
        <v>15</v>
      </c>
      <c r="G3693" t="s">
        <v>20</v>
      </c>
      <c r="H3693" t="s">
        <v>21</v>
      </c>
      <c r="I3693">
        <v>1</v>
      </c>
      <c r="J3693">
        <v>0</v>
      </c>
      <c r="K3693">
        <v>0</v>
      </c>
    </row>
    <row r="3694" spans="1:11" x14ac:dyDescent="0.25">
      <c r="A3694" t="str">
        <f>"4677"</f>
        <v>4677</v>
      </c>
      <c r="B3694" t="str">
        <f t="shared" si="237"/>
        <v>1</v>
      </c>
      <c r="C3694" t="str">
        <f t="shared" si="239"/>
        <v>205</v>
      </c>
      <c r="D3694" t="str">
        <f>"12"</f>
        <v>12</v>
      </c>
      <c r="E3694" t="str">
        <f>"1-205-12"</f>
        <v>1-205-12</v>
      </c>
      <c r="F3694" t="s">
        <v>15</v>
      </c>
      <c r="G3694" t="s">
        <v>20</v>
      </c>
      <c r="H3694" t="s">
        <v>21</v>
      </c>
      <c r="I3694">
        <v>0</v>
      </c>
      <c r="J3694">
        <v>0</v>
      </c>
      <c r="K3694">
        <v>1</v>
      </c>
    </row>
    <row r="3695" spans="1:11" x14ac:dyDescent="0.25">
      <c r="A3695" t="str">
        <f>"4678"</f>
        <v>4678</v>
      </c>
      <c r="B3695" t="str">
        <f t="shared" si="237"/>
        <v>1</v>
      </c>
      <c r="C3695" t="str">
        <f t="shared" si="239"/>
        <v>205</v>
      </c>
      <c r="D3695" t="str">
        <f>"22"</f>
        <v>22</v>
      </c>
      <c r="E3695" t="str">
        <f>"1-205-22"</f>
        <v>1-205-22</v>
      </c>
      <c r="F3695" t="s">
        <v>15</v>
      </c>
      <c r="G3695" t="s">
        <v>20</v>
      </c>
      <c r="H3695" t="s">
        <v>21</v>
      </c>
      <c r="I3695">
        <v>1</v>
      </c>
      <c r="J3695">
        <v>0</v>
      </c>
      <c r="K3695">
        <v>0</v>
      </c>
    </row>
    <row r="3696" spans="1:11" x14ac:dyDescent="0.25">
      <c r="A3696" t="str">
        <f>"4679"</f>
        <v>4679</v>
      </c>
      <c r="B3696" t="str">
        <f t="shared" si="237"/>
        <v>1</v>
      </c>
      <c r="C3696" t="str">
        <f t="shared" si="239"/>
        <v>205</v>
      </c>
      <c r="D3696" t="str">
        <f>"7"</f>
        <v>7</v>
      </c>
      <c r="E3696" t="str">
        <f>"1-205-7"</f>
        <v>1-205-7</v>
      </c>
      <c r="F3696" t="s">
        <v>15</v>
      </c>
      <c r="G3696" t="s">
        <v>20</v>
      </c>
      <c r="H3696" t="s">
        <v>21</v>
      </c>
      <c r="I3696">
        <v>0</v>
      </c>
      <c r="J3696">
        <v>0</v>
      </c>
      <c r="K3696">
        <v>1</v>
      </c>
    </row>
    <row r="3697" spans="1:11" x14ac:dyDescent="0.25">
      <c r="A3697" t="str">
        <f>"4680"</f>
        <v>4680</v>
      </c>
      <c r="B3697" t="str">
        <f t="shared" si="237"/>
        <v>1</v>
      </c>
      <c r="C3697" t="str">
        <f t="shared" si="239"/>
        <v>205</v>
      </c>
      <c r="D3697" t="str">
        <f>"9"</f>
        <v>9</v>
      </c>
      <c r="E3697" t="str">
        <f>"1-205-9"</f>
        <v>1-205-9</v>
      </c>
      <c r="F3697" t="s">
        <v>15</v>
      </c>
      <c r="G3697" t="s">
        <v>20</v>
      </c>
      <c r="H3697" t="s">
        <v>21</v>
      </c>
      <c r="I3697">
        <v>0</v>
      </c>
      <c r="J3697">
        <v>0</v>
      </c>
      <c r="K3697">
        <v>1</v>
      </c>
    </row>
    <row r="3698" spans="1:11" x14ac:dyDescent="0.25">
      <c r="A3698" t="str">
        <f>"4681"</f>
        <v>4681</v>
      </c>
      <c r="B3698" t="str">
        <f t="shared" si="237"/>
        <v>1</v>
      </c>
      <c r="C3698" t="str">
        <f t="shared" si="239"/>
        <v>205</v>
      </c>
      <c r="D3698" t="str">
        <f>"14"</f>
        <v>14</v>
      </c>
      <c r="E3698" t="str">
        <f>"1-205-14"</f>
        <v>1-205-14</v>
      </c>
      <c r="F3698" t="s">
        <v>15</v>
      </c>
      <c r="G3698" t="s">
        <v>20</v>
      </c>
      <c r="H3698" t="s">
        <v>21</v>
      </c>
      <c r="I3698">
        <v>0</v>
      </c>
      <c r="J3698">
        <v>1</v>
      </c>
      <c r="K3698">
        <v>0</v>
      </c>
    </row>
    <row r="3699" spans="1:11" x14ac:dyDescent="0.25">
      <c r="A3699" t="str">
        <f>"4682"</f>
        <v>4682</v>
      </c>
      <c r="B3699" t="str">
        <f t="shared" si="237"/>
        <v>1</v>
      </c>
      <c r="C3699" t="str">
        <f t="shared" si="239"/>
        <v>205</v>
      </c>
      <c r="D3699" t="str">
        <f>"11"</f>
        <v>11</v>
      </c>
      <c r="E3699" t="str">
        <f>"1-205-11"</f>
        <v>1-205-11</v>
      </c>
      <c r="F3699" t="s">
        <v>15</v>
      </c>
      <c r="G3699" t="s">
        <v>20</v>
      </c>
      <c r="H3699" t="s">
        <v>21</v>
      </c>
      <c r="I3699">
        <v>0</v>
      </c>
      <c r="J3699">
        <v>0</v>
      </c>
      <c r="K3699">
        <v>1</v>
      </c>
    </row>
    <row r="3700" spans="1:11" x14ac:dyDescent="0.25">
      <c r="A3700" t="str">
        <f>"4683"</f>
        <v>4683</v>
      </c>
      <c r="B3700" t="str">
        <f t="shared" si="237"/>
        <v>1</v>
      </c>
      <c r="C3700" t="str">
        <f t="shared" si="239"/>
        <v>205</v>
      </c>
      <c r="D3700" t="str">
        <f>"3"</f>
        <v>3</v>
      </c>
      <c r="E3700" t="str">
        <f>"1-205-3"</f>
        <v>1-205-3</v>
      </c>
      <c r="F3700" t="s">
        <v>15</v>
      </c>
      <c r="G3700" t="s">
        <v>20</v>
      </c>
      <c r="H3700" t="s">
        <v>21</v>
      </c>
      <c r="I3700">
        <v>0</v>
      </c>
      <c r="J3700">
        <v>0</v>
      </c>
      <c r="K3700">
        <v>1</v>
      </c>
    </row>
    <row r="3701" spans="1:11" x14ac:dyDescent="0.25">
      <c r="A3701" t="str">
        <f>"4684"</f>
        <v>4684</v>
      </c>
      <c r="B3701" t="str">
        <f t="shared" si="237"/>
        <v>1</v>
      </c>
      <c r="C3701" t="str">
        <f t="shared" si="239"/>
        <v>205</v>
      </c>
      <c r="D3701" t="str">
        <f>"5"</f>
        <v>5</v>
      </c>
      <c r="E3701" t="str">
        <f>"1-205-5"</f>
        <v>1-205-5</v>
      </c>
      <c r="F3701" t="s">
        <v>15</v>
      </c>
      <c r="G3701" t="s">
        <v>20</v>
      </c>
      <c r="H3701" t="s">
        <v>21</v>
      </c>
      <c r="I3701">
        <v>0</v>
      </c>
      <c r="J3701">
        <v>0</v>
      </c>
      <c r="K3701">
        <v>1</v>
      </c>
    </row>
    <row r="3702" spans="1:11" x14ac:dyDescent="0.25">
      <c r="A3702" t="str">
        <f>"4685"</f>
        <v>4685</v>
      </c>
      <c r="B3702" t="str">
        <f t="shared" si="237"/>
        <v>1</v>
      </c>
      <c r="C3702" t="str">
        <f t="shared" si="239"/>
        <v>205</v>
      </c>
      <c r="D3702" t="str">
        <f>"13"</f>
        <v>13</v>
      </c>
      <c r="E3702" t="str">
        <f>"1-205-13"</f>
        <v>1-205-13</v>
      </c>
      <c r="F3702" t="s">
        <v>15</v>
      </c>
      <c r="G3702" t="s">
        <v>20</v>
      </c>
      <c r="H3702" t="s">
        <v>21</v>
      </c>
      <c r="I3702">
        <v>0</v>
      </c>
      <c r="J3702">
        <v>1</v>
      </c>
      <c r="K3702">
        <v>0</v>
      </c>
    </row>
    <row r="3703" spans="1:11" x14ac:dyDescent="0.25">
      <c r="A3703" t="str">
        <f>"4686"</f>
        <v>4686</v>
      </c>
      <c r="B3703" t="str">
        <f t="shared" si="237"/>
        <v>1</v>
      </c>
      <c r="C3703" t="str">
        <f t="shared" ref="C3703:C3719" si="240">"206"</f>
        <v>206</v>
      </c>
      <c r="D3703" t="str">
        <f>"15"</f>
        <v>15</v>
      </c>
      <c r="E3703" t="str">
        <f>"1-206-15"</f>
        <v>1-206-15</v>
      </c>
      <c r="F3703" t="s">
        <v>15</v>
      </c>
      <c r="G3703" t="s">
        <v>16</v>
      </c>
      <c r="H3703" t="s">
        <v>17</v>
      </c>
      <c r="I3703">
        <v>0</v>
      </c>
      <c r="J3703">
        <v>0</v>
      </c>
      <c r="K3703">
        <v>1</v>
      </c>
    </row>
    <row r="3704" spans="1:11" x14ac:dyDescent="0.25">
      <c r="A3704" t="str">
        <f>"4687"</f>
        <v>4687</v>
      </c>
      <c r="B3704" t="str">
        <f t="shared" si="237"/>
        <v>1</v>
      </c>
      <c r="C3704" t="str">
        <f t="shared" si="240"/>
        <v>206</v>
      </c>
      <c r="D3704" t="str">
        <f>"2"</f>
        <v>2</v>
      </c>
      <c r="E3704" t="str">
        <f>"1-206-2"</f>
        <v>1-206-2</v>
      </c>
      <c r="F3704" t="s">
        <v>15</v>
      </c>
      <c r="G3704" t="s">
        <v>18</v>
      </c>
      <c r="H3704" t="s">
        <v>19</v>
      </c>
      <c r="I3704">
        <v>0</v>
      </c>
      <c r="J3704">
        <v>0</v>
      </c>
      <c r="K3704">
        <v>1</v>
      </c>
    </row>
    <row r="3705" spans="1:11" x14ac:dyDescent="0.25">
      <c r="A3705" t="str">
        <f>"4688"</f>
        <v>4688</v>
      </c>
      <c r="B3705" t="str">
        <f t="shared" si="237"/>
        <v>1</v>
      </c>
      <c r="C3705" t="str">
        <f t="shared" si="240"/>
        <v>206</v>
      </c>
      <c r="D3705" t="str">
        <f>"16"</f>
        <v>16</v>
      </c>
      <c r="E3705" t="str">
        <f>"1-206-16"</f>
        <v>1-206-16</v>
      </c>
      <c r="F3705" t="s">
        <v>15</v>
      </c>
      <c r="G3705" t="s">
        <v>16</v>
      </c>
      <c r="H3705" t="s">
        <v>17</v>
      </c>
      <c r="I3705">
        <v>1</v>
      </c>
      <c r="J3705">
        <v>0</v>
      </c>
      <c r="K3705">
        <v>0</v>
      </c>
    </row>
    <row r="3706" spans="1:11" x14ac:dyDescent="0.25">
      <c r="A3706" t="str">
        <f>"4689"</f>
        <v>4689</v>
      </c>
      <c r="B3706" t="str">
        <f t="shared" si="237"/>
        <v>1</v>
      </c>
      <c r="C3706" t="str">
        <f t="shared" si="240"/>
        <v>206</v>
      </c>
      <c r="D3706" t="str">
        <f>"5"</f>
        <v>5</v>
      </c>
      <c r="E3706" t="str">
        <f>"1-206-5"</f>
        <v>1-206-5</v>
      </c>
      <c r="F3706" t="s">
        <v>15</v>
      </c>
      <c r="G3706" t="s">
        <v>18</v>
      </c>
      <c r="H3706" t="s">
        <v>19</v>
      </c>
      <c r="I3706">
        <v>1</v>
      </c>
      <c r="J3706">
        <v>0</v>
      </c>
      <c r="K3706">
        <v>0</v>
      </c>
    </row>
    <row r="3707" spans="1:11" x14ac:dyDescent="0.25">
      <c r="A3707" t="str">
        <f>"4690"</f>
        <v>4690</v>
      </c>
      <c r="B3707" t="str">
        <f t="shared" si="237"/>
        <v>1</v>
      </c>
      <c r="C3707" t="str">
        <f t="shared" si="240"/>
        <v>206</v>
      </c>
      <c r="D3707" t="str">
        <f>"17"</f>
        <v>17</v>
      </c>
      <c r="E3707" t="str">
        <f>"1-206-17"</f>
        <v>1-206-17</v>
      </c>
      <c r="F3707" t="s">
        <v>15</v>
      </c>
      <c r="G3707" t="s">
        <v>16</v>
      </c>
      <c r="H3707" t="s">
        <v>17</v>
      </c>
      <c r="I3707">
        <v>1</v>
      </c>
      <c r="J3707">
        <v>0</v>
      </c>
      <c r="K3707">
        <v>0</v>
      </c>
    </row>
    <row r="3708" spans="1:11" x14ac:dyDescent="0.25">
      <c r="A3708" t="str">
        <f>"4691"</f>
        <v>4691</v>
      </c>
      <c r="B3708" t="str">
        <f t="shared" si="237"/>
        <v>1</v>
      </c>
      <c r="C3708" t="str">
        <f t="shared" si="240"/>
        <v>206</v>
      </c>
      <c r="D3708" t="str">
        <f>"1"</f>
        <v>1</v>
      </c>
      <c r="E3708" t="str">
        <f>"1-206-1"</f>
        <v>1-206-1</v>
      </c>
      <c r="F3708" t="s">
        <v>15</v>
      </c>
      <c r="G3708" t="s">
        <v>16</v>
      </c>
      <c r="H3708" t="s">
        <v>17</v>
      </c>
      <c r="I3708">
        <v>0</v>
      </c>
      <c r="J3708">
        <v>1</v>
      </c>
      <c r="K3708">
        <v>0</v>
      </c>
    </row>
    <row r="3709" spans="1:11" x14ac:dyDescent="0.25">
      <c r="A3709" t="str">
        <f>"4692"</f>
        <v>4692</v>
      </c>
      <c r="B3709" t="str">
        <f t="shared" si="237"/>
        <v>1</v>
      </c>
      <c r="C3709" t="str">
        <f t="shared" si="240"/>
        <v>206</v>
      </c>
      <c r="D3709" t="str">
        <f>"11"</f>
        <v>11</v>
      </c>
      <c r="E3709" t="str">
        <f>"1-206-11"</f>
        <v>1-206-11</v>
      </c>
      <c r="F3709" t="s">
        <v>15</v>
      </c>
      <c r="G3709" t="s">
        <v>16</v>
      </c>
      <c r="H3709" t="s">
        <v>17</v>
      </c>
      <c r="I3709">
        <v>1</v>
      </c>
      <c r="J3709">
        <v>0</v>
      </c>
      <c r="K3709">
        <v>0</v>
      </c>
    </row>
    <row r="3710" spans="1:11" x14ac:dyDescent="0.25">
      <c r="A3710" t="str">
        <f>"4694"</f>
        <v>4694</v>
      </c>
      <c r="B3710" t="str">
        <f t="shared" si="237"/>
        <v>1</v>
      </c>
      <c r="C3710" t="str">
        <f t="shared" si="240"/>
        <v>206</v>
      </c>
      <c r="D3710" t="str">
        <f>"9"</f>
        <v>9</v>
      </c>
      <c r="E3710" t="str">
        <f>"1-206-9"</f>
        <v>1-206-9</v>
      </c>
      <c r="F3710" t="s">
        <v>15</v>
      </c>
      <c r="G3710" t="s">
        <v>18</v>
      </c>
      <c r="H3710" t="s">
        <v>19</v>
      </c>
      <c r="I3710">
        <v>0</v>
      </c>
      <c r="J3710">
        <v>1</v>
      </c>
      <c r="K3710">
        <v>0</v>
      </c>
    </row>
    <row r="3711" spans="1:11" x14ac:dyDescent="0.25">
      <c r="A3711" t="str">
        <f>"4695"</f>
        <v>4695</v>
      </c>
      <c r="B3711" t="str">
        <f t="shared" si="237"/>
        <v>1</v>
      </c>
      <c r="C3711" t="str">
        <f t="shared" si="240"/>
        <v>206</v>
      </c>
      <c r="D3711" t="str">
        <f>"6"</f>
        <v>6</v>
      </c>
      <c r="E3711" t="str">
        <f>"1-206-6"</f>
        <v>1-206-6</v>
      </c>
      <c r="F3711" t="s">
        <v>15</v>
      </c>
      <c r="G3711" t="s">
        <v>18</v>
      </c>
      <c r="H3711" t="s">
        <v>19</v>
      </c>
      <c r="I3711">
        <v>0</v>
      </c>
      <c r="J3711">
        <v>0</v>
      </c>
      <c r="K3711">
        <v>1</v>
      </c>
    </row>
    <row r="3712" spans="1:11" x14ac:dyDescent="0.25">
      <c r="A3712" t="str">
        <f>"4696"</f>
        <v>4696</v>
      </c>
      <c r="B3712" t="str">
        <f t="shared" si="237"/>
        <v>1</v>
      </c>
      <c r="C3712" t="str">
        <f t="shared" si="240"/>
        <v>206</v>
      </c>
      <c r="D3712" t="str">
        <f>"14"</f>
        <v>14</v>
      </c>
      <c r="E3712" t="str">
        <f>"1-206-14"</f>
        <v>1-206-14</v>
      </c>
      <c r="F3712" t="s">
        <v>15</v>
      </c>
      <c r="G3712" t="s">
        <v>18</v>
      </c>
      <c r="H3712" t="s">
        <v>19</v>
      </c>
      <c r="I3712">
        <v>0</v>
      </c>
      <c r="J3712">
        <v>0</v>
      </c>
      <c r="K3712">
        <v>1</v>
      </c>
    </row>
    <row r="3713" spans="1:11" x14ac:dyDescent="0.25">
      <c r="A3713" t="str">
        <f>"4697"</f>
        <v>4697</v>
      </c>
      <c r="B3713" t="str">
        <f t="shared" si="237"/>
        <v>1</v>
      </c>
      <c r="C3713" t="str">
        <f t="shared" si="240"/>
        <v>206</v>
      </c>
      <c r="D3713" t="str">
        <f>"10"</f>
        <v>10</v>
      </c>
      <c r="E3713" t="str">
        <f>"1-206-10"</f>
        <v>1-206-10</v>
      </c>
      <c r="F3713" t="s">
        <v>15</v>
      </c>
      <c r="G3713" t="s">
        <v>16</v>
      </c>
      <c r="H3713" t="s">
        <v>17</v>
      </c>
      <c r="I3713">
        <v>1</v>
      </c>
      <c r="J3713">
        <v>0</v>
      </c>
      <c r="K3713">
        <v>0</v>
      </c>
    </row>
    <row r="3714" spans="1:11" x14ac:dyDescent="0.25">
      <c r="A3714" t="str">
        <f>"4698"</f>
        <v>4698</v>
      </c>
      <c r="B3714" t="str">
        <f t="shared" ref="B3714:B3772" si="241">"1"</f>
        <v>1</v>
      </c>
      <c r="C3714" t="str">
        <f t="shared" si="240"/>
        <v>206</v>
      </c>
      <c r="D3714" t="str">
        <f>"13"</f>
        <v>13</v>
      </c>
      <c r="E3714" t="str">
        <f>"1-206-13"</f>
        <v>1-206-13</v>
      </c>
      <c r="F3714" t="s">
        <v>15</v>
      </c>
      <c r="G3714" t="s">
        <v>16</v>
      </c>
      <c r="H3714" t="s">
        <v>17</v>
      </c>
      <c r="I3714">
        <v>0</v>
      </c>
      <c r="J3714">
        <v>0</v>
      </c>
      <c r="K3714">
        <v>1</v>
      </c>
    </row>
    <row r="3715" spans="1:11" x14ac:dyDescent="0.25">
      <c r="A3715" t="str">
        <f>"4699"</f>
        <v>4699</v>
      </c>
      <c r="B3715" t="str">
        <f t="shared" si="241"/>
        <v>1</v>
      </c>
      <c r="C3715" t="str">
        <f t="shared" si="240"/>
        <v>206</v>
      </c>
      <c r="D3715" t="str">
        <f>"3"</f>
        <v>3</v>
      </c>
      <c r="E3715" t="str">
        <f>"1-206-3"</f>
        <v>1-206-3</v>
      </c>
      <c r="F3715" t="s">
        <v>15</v>
      </c>
      <c r="G3715" t="s">
        <v>16</v>
      </c>
      <c r="H3715" t="s">
        <v>17</v>
      </c>
      <c r="I3715">
        <v>1</v>
      </c>
      <c r="J3715">
        <v>0</v>
      </c>
      <c r="K3715">
        <v>0</v>
      </c>
    </row>
    <row r="3716" spans="1:11" x14ac:dyDescent="0.25">
      <c r="A3716" t="str">
        <f>"4700"</f>
        <v>4700</v>
      </c>
      <c r="B3716" t="str">
        <f t="shared" si="241"/>
        <v>1</v>
      </c>
      <c r="C3716" t="str">
        <f t="shared" si="240"/>
        <v>206</v>
      </c>
      <c r="D3716" t="str">
        <f>"12"</f>
        <v>12</v>
      </c>
      <c r="E3716" t="str">
        <f>"1-206-12"</f>
        <v>1-206-12</v>
      </c>
      <c r="F3716" t="s">
        <v>15</v>
      </c>
      <c r="G3716" t="s">
        <v>16</v>
      </c>
      <c r="H3716" t="s">
        <v>17</v>
      </c>
      <c r="I3716">
        <v>0</v>
      </c>
      <c r="J3716">
        <v>0</v>
      </c>
      <c r="K3716">
        <v>1</v>
      </c>
    </row>
    <row r="3717" spans="1:11" x14ac:dyDescent="0.25">
      <c r="A3717" t="str">
        <f>"4701"</f>
        <v>4701</v>
      </c>
      <c r="B3717" t="str">
        <f t="shared" si="241"/>
        <v>1</v>
      </c>
      <c r="C3717" t="str">
        <f t="shared" si="240"/>
        <v>206</v>
      </c>
      <c r="D3717" t="str">
        <f>"7"</f>
        <v>7</v>
      </c>
      <c r="E3717" t="str">
        <f>"1-206-7"</f>
        <v>1-206-7</v>
      </c>
      <c r="F3717" t="s">
        <v>15</v>
      </c>
      <c r="G3717" t="s">
        <v>18</v>
      </c>
      <c r="H3717" t="s">
        <v>19</v>
      </c>
      <c r="I3717">
        <v>0</v>
      </c>
      <c r="J3717">
        <v>0</v>
      </c>
      <c r="K3717">
        <v>1</v>
      </c>
    </row>
    <row r="3718" spans="1:11" x14ac:dyDescent="0.25">
      <c r="A3718" t="str">
        <f>"4702"</f>
        <v>4702</v>
      </c>
      <c r="B3718" t="str">
        <f t="shared" si="241"/>
        <v>1</v>
      </c>
      <c r="C3718" t="str">
        <f t="shared" si="240"/>
        <v>206</v>
      </c>
      <c r="D3718" t="str">
        <f>"4"</f>
        <v>4</v>
      </c>
      <c r="E3718" t="str">
        <f>"1-206-4"</f>
        <v>1-206-4</v>
      </c>
      <c r="F3718" t="s">
        <v>15</v>
      </c>
      <c r="G3718" t="s">
        <v>18</v>
      </c>
      <c r="H3718" t="s">
        <v>19</v>
      </c>
      <c r="I3718">
        <v>0</v>
      </c>
      <c r="J3718">
        <v>0</v>
      </c>
      <c r="K3718">
        <v>0</v>
      </c>
    </row>
    <row r="3719" spans="1:11" x14ac:dyDescent="0.25">
      <c r="A3719" t="str">
        <f>"4703"</f>
        <v>4703</v>
      </c>
      <c r="B3719" t="str">
        <f t="shared" si="241"/>
        <v>1</v>
      </c>
      <c r="C3719" t="str">
        <f t="shared" si="240"/>
        <v>206</v>
      </c>
      <c r="D3719" t="str">
        <f>"18"</f>
        <v>18</v>
      </c>
      <c r="E3719" t="str">
        <f>"1-206-18"</f>
        <v>1-206-18</v>
      </c>
      <c r="F3719" t="s">
        <v>15</v>
      </c>
      <c r="G3719" t="s">
        <v>16</v>
      </c>
      <c r="H3719" t="s">
        <v>17</v>
      </c>
      <c r="I3719">
        <v>0</v>
      </c>
      <c r="J3719">
        <v>0</v>
      </c>
      <c r="K3719">
        <v>0</v>
      </c>
    </row>
    <row r="3720" spans="1:11" x14ac:dyDescent="0.25">
      <c r="A3720" t="str">
        <f>"4704"</f>
        <v>4704</v>
      </c>
      <c r="B3720" t="str">
        <f t="shared" si="241"/>
        <v>1</v>
      </c>
      <c r="C3720" t="str">
        <f t="shared" ref="C3720:C3737" si="242">"207"</f>
        <v>207</v>
      </c>
      <c r="D3720" t="str">
        <f>"15"</f>
        <v>15</v>
      </c>
      <c r="E3720" t="str">
        <f>"1-207-15"</f>
        <v>1-207-15</v>
      </c>
      <c r="F3720" t="s">
        <v>15</v>
      </c>
      <c r="G3720" t="s">
        <v>16</v>
      </c>
      <c r="H3720" t="s">
        <v>17</v>
      </c>
      <c r="I3720">
        <v>1</v>
      </c>
      <c r="J3720">
        <v>0</v>
      </c>
      <c r="K3720">
        <v>0</v>
      </c>
    </row>
    <row r="3721" spans="1:11" x14ac:dyDescent="0.25">
      <c r="A3721" t="str">
        <f>"4705"</f>
        <v>4705</v>
      </c>
      <c r="B3721" t="str">
        <f t="shared" si="241"/>
        <v>1</v>
      </c>
      <c r="C3721" t="str">
        <f t="shared" si="242"/>
        <v>207</v>
      </c>
      <c r="D3721" t="str">
        <f>"8"</f>
        <v>8</v>
      </c>
      <c r="E3721" t="str">
        <f>"1-207-8"</f>
        <v>1-207-8</v>
      </c>
      <c r="F3721" t="s">
        <v>15</v>
      </c>
      <c r="G3721" t="s">
        <v>16</v>
      </c>
      <c r="H3721" t="s">
        <v>17</v>
      </c>
      <c r="I3721">
        <v>0</v>
      </c>
      <c r="J3721">
        <v>1</v>
      </c>
      <c r="K3721">
        <v>0</v>
      </c>
    </row>
    <row r="3722" spans="1:11" x14ac:dyDescent="0.25">
      <c r="A3722" t="str">
        <f>"4707"</f>
        <v>4707</v>
      </c>
      <c r="B3722" t="str">
        <f t="shared" si="241"/>
        <v>1</v>
      </c>
      <c r="C3722" t="str">
        <f t="shared" si="242"/>
        <v>207</v>
      </c>
      <c r="D3722" t="str">
        <f>"2"</f>
        <v>2</v>
      </c>
      <c r="E3722" t="str">
        <f>"1-207-2"</f>
        <v>1-207-2</v>
      </c>
      <c r="F3722" t="s">
        <v>15</v>
      </c>
      <c r="G3722" t="s">
        <v>18</v>
      </c>
      <c r="H3722" t="s">
        <v>19</v>
      </c>
      <c r="I3722">
        <v>0</v>
      </c>
      <c r="J3722">
        <v>0</v>
      </c>
      <c r="K3722">
        <v>1</v>
      </c>
    </row>
    <row r="3723" spans="1:11" x14ac:dyDescent="0.25">
      <c r="A3723" t="str">
        <f>"4708"</f>
        <v>4708</v>
      </c>
      <c r="B3723" t="str">
        <f t="shared" si="241"/>
        <v>1</v>
      </c>
      <c r="C3723" t="str">
        <f t="shared" si="242"/>
        <v>207</v>
      </c>
      <c r="D3723" t="str">
        <f>"17"</f>
        <v>17</v>
      </c>
      <c r="E3723" t="str">
        <f>"1-207-17"</f>
        <v>1-207-17</v>
      </c>
      <c r="F3723" t="s">
        <v>15</v>
      </c>
      <c r="G3723" t="s">
        <v>16</v>
      </c>
      <c r="H3723" t="s">
        <v>17</v>
      </c>
      <c r="I3723">
        <v>1</v>
      </c>
      <c r="J3723">
        <v>0</v>
      </c>
      <c r="K3723">
        <v>0</v>
      </c>
    </row>
    <row r="3724" spans="1:11" x14ac:dyDescent="0.25">
      <c r="A3724" t="str">
        <f>"4709"</f>
        <v>4709</v>
      </c>
      <c r="B3724" t="str">
        <f t="shared" si="241"/>
        <v>1</v>
      </c>
      <c r="C3724" t="str">
        <f t="shared" si="242"/>
        <v>207</v>
      </c>
      <c r="D3724" t="str">
        <f>"1"</f>
        <v>1</v>
      </c>
      <c r="E3724" t="str">
        <f>"1-207-1"</f>
        <v>1-207-1</v>
      </c>
      <c r="F3724" t="s">
        <v>15</v>
      </c>
      <c r="G3724" t="s">
        <v>16</v>
      </c>
      <c r="H3724" t="s">
        <v>17</v>
      </c>
      <c r="I3724">
        <v>0</v>
      </c>
      <c r="J3724">
        <v>0</v>
      </c>
      <c r="K3724">
        <v>1</v>
      </c>
    </row>
    <row r="3725" spans="1:11" x14ac:dyDescent="0.25">
      <c r="A3725" t="str">
        <f>"4710"</f>
        <v>4710</v>
      </c>
      <c r="B3725" t="str">
        <f t="shared" si="241"/>
        <v>1</v>
      </c>
      <c r="C3725" t="str">
        <f t="shared" si="242"/>
        <v>207</v>
      </c>
      <c r="D3725" t="str">
        <f>"18"</f>
        <v>18</v>
      </c>
      <c r="E3725" t="str">
        <f>"1-207-18"</f>
        <v>1-207-18</v>
      </c>
      <c r="F3725" t="s">
        <v>15</v>
      </c>
      <c r="G3725" t="s">
        <v>16</v>
      </c>
      <c r="H3725" t="s">
        <v>17</v>
      </c>
      <c r="I3725">
        <v>0</v>
      </c>
      <c r="J3725">
        <v>1</v>
      </c>
      <c r="K3725">
        <v>0</v>
      </c>
    </row>
    <row r="3726" spans="1:11" x14ac:dyDescent="0.25">
      <c r="A3726" t="str">
        <f>"4711"</f>
        <v>4711</v>
      </c>
      <c r="B3726" t="str">
        <f t="shared" si="241"/>
        <v>1</v>
      </c>
      <c r="C3726" t="str">
        <f t="shared" si="242"/>
        <v>207</v>
      </c>
      <c r="D3726" t="str">
        <f>"7"</f>
        <v>7</v>
      </c>
      <c r="E3726" t="str">
        <f>"1-207-7"</f>
        <v>1-207-7</v>
      </c>
      <c r="F3726" t="s">
        <v>15</v>
      </c>
      <c r="G3726" t="s">
        <v>16</v>
      </c>
      <c r="H3726" t="s">
        <v>17</v>
      </c>
      <c r="I3726">
        <v>1</v>
      </c>
      <c r="J3726">
        <v>0</v>
      </c>
      <c r="K3726">
        <v>0</v>
      </c>
    </row>
    <row r="3727" spans="1:11" x14ac:dyDescent="0.25">
      <c r="A3727" t="str">
        <f>"4712"</f>
        <v>4712</v>
      </c>
      <c r="B3727" t="str">
        <f t="shared" si="241"/>
        <v>1</v>
      </c>
      <c r="C3727" t="str">
        <f t="shared" si="242"/>
        <v>207</v>
      </c>
      <c r="D3727" t="str">
        <f>"19"</f>
        <v>19</v>
      </c>
      <c r="E3727" t="str">
        <f>"1-207-19"</f>
        <v>1-207-19</v>
      </c>
      <c r="F3727" t="s">
        <v>15</v>
      </c>
      <c r="G3727" t="s">
        <v>20</v>
      </c>
      <c r="H3727" t="s">
        <v>21</v>
      </c>
      <c r="I3727">
        <v>0</v>
      </c>
      <c r="J3727">
        <v>0</v>
      </c>
      <c r="K3727">
        <v>1</v>
      </c>
    </row>
    <row r="3728" spans="1:11" x14ac:dyDescent="0.25">
      <c r="A3728" t="str">
        <f>"4714"</f>
        <v>4714</v>
      </c>
      <c r="B3728" t="str">
        <f t="shared" si="241"/>
        <v>1</v>
      </c>
      <c r="C3728" t="str">
        <f t="shared" si="242"/>
        <v>207</v>
      </c>
      <c r="D3728" t="str">
        <f>"10"</f>
        <v>10</v>
      </c>
      <c r="E3728" t="str">
        <f>"1-207-10"</f>
        <v>1-207-10</v>
      </c>
      <c r="F3728" t="s">
        <v>15</v>
      </c>
      <c r="G3728" t="s">
        <v>16</v>
      </c>
      <c r="H3728" t="s">
        <v>17</v>
      </c>
      <c r="I3728">
        <v>0</v>
      </c>
      <c r="J3728">
        <v>0</v>
      </c>
      <c r="K3728">
        <v>1</v>
      </c>
    </row>
    <row r="3729" spans="1:11" x14ac:dyDescent="0.25">
      <c r="A3729" t="str">
        <f>"4715"</f>
        <v>4715</v>
      </c>
      <c r="B3729" t="str">
        <f t="shared" si="241"/>
        <v>1</v>
      </c>
      <c r="C3729" t="str">
        <f t="shared" si="242"/>
        <v>207</v>
      </c>
      <c r="D3729" t="str">
        <f>"9"</f>
        <v>9</v>
      </c>
      <c r="E3729" t="str">
        <f>"1-207-9"</f>
        <v>1-207-9</v>
      </c>
      <c r="F3729" t="s">
        <v>15</v>
      </c>
      <c r="G3729" t="s">
        <v>16</v>
      </c>
      <c r="H3729" t="s">
        <v>17</v>
      </c>
      <c r="I3729">
        <v>0</v>
      </c>
      <c r="J3729">
        <v>0</v>
      </c>
      <c r="K3729">
        <v>1</v>
      </c>
    </row>
    <row r="3730" spans="1:11" x14ac:dyDescent="0.25">
      <c r="A3730" t="str">
        <f>"4716"</f>
        <v>4716</v>
      </c>
      <c r="B3730" t="str">
        <f t="shared" si="241"/>
        <v>1</v>
      </c>
      <c r="C3730" t="str">
        <f t="shared" si="242"/>
        <v>207</v>
      </c>
      <c r="D3730" t="str">
        <f>"4"</f>
        <v>4</v>
      </c>
      <c r="E3730" t="str">
        <f>"1-207-4"</f>
        <v>1-207-4</v>
      </c>
      <c r="F3730" t="s">
        <v>15</v>
      </c>
      <c r="G3730" t="s">
        <v>16</v>
      </c>
      <c r="H3730" t="s">
        <v>17</v>
      </c>
      <c r="I3730">
        <v>0</v>
      </c>
      <c r="J3730">
        <v>0</v>
      </c>
      <c r="K3730">
        <v>1</v>
      </c>
    </row>
    <row r="3731" spans="1:11" x14ac:dyDescent="0.25">
      <c r="A3731" t="str">
        <f>"4717"</f>
        <v>4717</v>
      </c>
      <c r="B3731" t="str">
        <f t="shared" si="241"/>
        <v>1</v>
      </c>
      <c r="C3731" t="str">
        <f t="shared" si="242"/>
        <v>207</v>
      </c>
      <c r="D3731" t="str">
        <f>"12"</f>
        <v>12</v>
      </c>
      <c r="E3731" t="str">
        <f>"1-207-12"</f>
        <v>1-207-12</v>
      </c>
      <c r="F3731" t="s">
        <v>15</v>
      </c>
      <c r="G3731" t="s">
        <v>18</v>
      </c>
      <c r="H3731" t="s">
        <v>19</v>
      </c>
      <c r="I3731">
        <v>0</v>
      </c>
      <c r="J3731">
        <v>0</v>
      </c>
      <c r="K3731">
        <v>1</v>
      </c>
    </row>
    <row r="3732" spans="1:11" x14ac:dyDescent="0.25">
      <c r="A3732" t="str">
        <f>"4718"</f>
        <v>4718</v>
      </c>
      <c r="B3732" t="str">
        <f t="shared" si="241"/>
        <v>1</v>
      </c>
      <c r="C3732" t="str">
        <f t="shared" si="242"/>
        <v>207</v>
      </c>
      <c r="D3732" t="str">
        <f>"14"</f>
        <v>14</v>
      </c>
      <c r="E3732" t="str">
        <f>"1-207-14"</f>
        <v>1-207-14</v>
      </c>
      <c r="F3732" t="s">
        <v>15</v>
      </c>
      <c r="G3732" t="s">
        <v>16</v>
      </c>
      <c r="H3732" t="s">
        <v>17</v>
      </c>
      <c r="I3732">
        <v>1</v>
      </c>
      <c r="J3732">
        <v>0</v>
      </c>
      <c r="K3732">
        <v>0</v>
      </c>
    </row>
    <row r="3733" spans="1:11" x14ac:dyDescent="0.25">
      <c r="A3733" t="str">
        <f>"4719"</f>
        <v>4719</v>
      </c>
      <c r="B3733" t="str">
        <f t="shared" si="241"/>
        <v>1</v>
      </c>
      <c r="C3733" t="str">
        <f t="shared" si="242"/>
        <v>207</v>
      </c>
      <c r="D3733" t="str">
        <f>"3"</f>
        <v>3</v>
      </c>
      <c r="E3733" t="str">
        <f>"1-207-3"</f>
        <v>1-207-3</v>
      </c>
      <c r="F3733" t="s">
        <v>15</v>
      </c>
      <c r="G3733" t="s">
        <v>16</v>
      </c>
      <c r="H3733" t="s">
        <v>17</v>
      </c>
      <c r="I3733">
        <v>0</v>
      </c>
      <c r="J3733">
        <v>0</v>
      </c>
      <c r="K3733">
        <v>1</v>
      </c>
    </row>
    <row r="3734" spans="1:11" x14ac:dyDescent="0.25">
      <c r="A3734" t="str">
        <f>"4720"</f>
        <v>4720</v>
      </c>
      <c r="B3734" t="str">
        <f t="shared" si="241"/>
        <v>1</v>
      </c>
      <c r="C3734" t="str">
        <f t="shared" si="242"/>
        <v>207</v>
      </c>
      <c r="D3734" t="str">
        <f>"6"</f>
        <v>6</v>
      </c>
      <c r="E3734" t="str">
        <f>"1-207-6"</f>
        <v>1-207-6</v>
      </c>
      <c r="F3734" t="s">
        <v>15</v>
      </c>
      <c r="G3734" t="s">
        <v>16</v>
      </c>
      <c r="H3734" t="s">
        <v>17</v>
      </c>
      <c r="I3734">
        <v>1</v>
      </c>
      <c r="J3734">
        <v>0</v>
      </c>
      <c r="K3734">
        <v>0</v>
      </c>
    </row>
    <row r="3735" spans="1:11" x14ac:dyDescent="0.25">
      <c r="A3735" t="str">
        <f>"4721"</f>
        <v>4721</v>
      </c>
      <c r="B3735" t="str">
        <f t="shared" si="241"/>
        <v>1</v>
      </c>
      <c r="C3735" t="str">
        <f t="shared" si="242"/>
        <v>207</v>
      </c>
      <c r="D3735" t="str">
        <f>"11"</f>
        <v>11</v>
      </c>
      <c r="E3735" t="str">
        <f>"1-207-11"</f>
        <v>1-207-11</v>
      </c>
      <c r="F3735" t="s">
        <v>15</v>
      </c>
      <c r="G3735" t="s">
        <v>18</v>
      </c>
      <c r="H3735" t="s">
        <v>19</v>
      </c>
      <c r="I3735">
        <v>0</v>
      </c>
      <c r="J3735">
        <v>0</v>
      </c>
      <c r="K3735">
        <v>1</v>
      </c>
    </row>
    <row r="3736" spans="1:11" x14ac:dyDescent="0.25">
      <c r="A3736" t="str">
        <f>"4722"</f>
        <v>4722</v>
      </c>
      <c r="B3736" t="str">
        <f t="shared" si="241"/>
        <v>1</v>
      </c>
      <c r="C3736" t="str">
        <f t="shared" si="242"/>
        <v>207</v>
      </c>
      <c r="D3736" t="str">
        <f>"5"</f>
        <v>5</v>
      </c>
      <c r="E3736" t="str">
        <f>"1-207-5"</f>
        <v>1-207-5</v>
      </c>
      <c r="F3736" t="s">
        <v>15</v>
      </c>
      <c r="G3736" t="s">
        <v>16</v>
      </c>
      <c r="H3736" t="s">
        <v>17</v>
      </c>
      <c r="I3736">
        <v>1</v>
      </c>
      <c r="J3736">
        <v>0</v>
      </c>
      <c r="K3736">
        <v>0</v>
      </c>
    </row>
    <row r="3737" spans="1:11" x14ac:dyDescent="0.25">
      <c r="A3737" t="str">
        <f>"4723"</f>
        <v>4723</v>
      </c>
      <c r="B3737" t="str">
        <f t="shared" si="241"/>
        <v>1</v>
      </c>
      <c r="C3737" t="str">
        <f t="shared" si="242"/>
        <v>207</v>
      </c>
      <c r="D3737" t="str">
        <f>"20"</f>
        <v>20</v>
      </c>
      <c r="E3737" t="str">
        <f>"1-207-20"</f>
        <v>1-207-20</v>
      </c>
      <c r="F3737" t="s">
        <v>15</v>
      </c>
      <c r="G3737" t="s">
        <v>18</v>
      </c>
      <c r="H3737" t="s">
        <v>19</v>
      </c>
      <c r="I3737">
        <v>0</v>
      </c>
      <c r="J3737">
        <v>0</v>
      </c>
      <c r="K3737">
        <v>0</v>
      </c>
    </row>
    <row r="3738" spans="1:11" x14ac:dyDescent="0.25">
      <c r="A3738" t="str">
        <f>"4724"</f>
        <v>4724</v>
      </c>
      <c r="B3738" t="str">
        <f t="shared" si="241"/>
        <v>1</v>
      </c>
      <c r="C3738" t="str">
        <f t="shared" ref="C3738:C3764" si="243">"208"</f>
        <v>208</v>
      </c>
      <c r="D3738" t="str">
        <f>"22"</f>
        <v>22</v>
      </c>
      <c r="E3738" t="str">
        <f>"1-208-22"</f>
        <v>1-208-22</v>
      </c>
      <c r="F3738" t="s">
        <v>15</v>
      </c>
      <c r="G3738" t="s">
        <v>16</v>
      </c>
      <c r="H3738" t="s">
        <v>17</v>
      </c>
      <c r="I3738">
        <v>0</v>
      </c>
      <c r="J3738">
        <v>1</v>
      </c>
      <c r="K3738">
        <v>0</v>
      </c>
    </row>
    <row r="3739" spans="1:11" x14ac:dyDescent="0.25">
      <c r="A3739" t="str">
        <f>"4725"</f>
        <v>4725</v>
      </c>
      <c r="B3739" t="str">
        <f t="shared" si="241"/>
        <v>1</v>
      </c>
      <c r="C3739" t="str">
        <f t="shared" si="243"/>
        <v>208</v>
      </c>
      <c r="D3739" t="str">
        <f>"15"</f>
        <v>15</v>
      </c>
      <c r="E3739" t="str">
        <f>"1-208-15"</f>
        <v>1-208-15</v>
      </c>
      <c r="F3739" t="s">
        <v>15</v>
      </c>
      <c r="G3739" t="s">
        <v>20</v>
      </c>
      <c r="H3739" t="s">
        <v>21</v>
      </c>
      <c r="I3739">
        <v>0</v>
      </c>
      <c r="J3739">
        <v>1</v>
      </c>
      <c r="K3739">
        <v>0</v>
      </c>
    </row>
    <row r="3740" spans="1:11" x14ac:dyDescent="0.25">
      <c r="A3740" t="str">
        <f>"4726"</f>
        <v>4726</v>
      </c>
      <c r="B3740" t="str">
        <f t="shared" si="241"/>
        <v>1</v>
      </c>
      <c r="C3740" t="str">
        <f t="shared" si="243"/>
        <v>208</v>
      </c>
      <c r="D3740" t="str">
        <f>"3"</f>
        <v>3</v>
      </c>
      <c r="E3740" t="str">
        <f>"1-208-3"</f>
        <v>1-208-3</v>
      </c>
      <c r="F3740" t="s">
        <v>15</v>
      </c>
      <c r="G3740" t="s">
        <v>16</v>
      </c>
      <c r="H3740" t="s">
        <v>17</v>
      </c>
      <c r="I3740">
        <v>0</v>
      </c>
      <c r="J3740">
        <v>0</v>
      </c>
      <c r="K3740">
        <v>1</v>
      </c>
    </row>
    <row r="3741" spans="1:11" x14ac:dyDescent="0.25">
      <c r="A3741" t="str">
        <f>"4727"</f>
        <v>4727</v>
      </c>
      <c r="B3741" t="str">
        <f t="shared" si="241"/>
        <v>1</v>
      </c>
      <c r="C3741" t="str">
        <f t="shared" si="243"/>
        <v>208</v>
      </c>
      <c r="D3741" t="str">
        <f>"26"</f>
        <v>26</v>
      </c>
      <c r="E3741" t="str">
        <f>"1-208-26"</f>
        <v>1-208-26</v>
      </c>
      <c r="F3741" t="s">
        <v>15</v>
      </c>
      <c r="G3741" t="s">
        <v>16</v>
      </c>
      <c r="H3741" t="s">
        <v>17</v>
      </c>
      <c r="I3741">
        <v>1</v>
      </c>
      <c r="J3741">
        <v>0</v>
      </c>
      <c r="K3741">
        <v>0</v>
      </c>
    </row>
    <row r="3742" spans="1:11" x14ac:dyDescent="0.25">
      <c r="A3742" t="str">
        <f>"4728"</f>
        <v>4728</v>
      </c>
      <c r="B3742" t="str">
        <f t="shared" si="241"/>
        <v>1</v>
      </c>
      <c r="C3742" t="str">
        <f t="shared" si="243"/>
        <v>208</v>
      </c>
      <c r="D3742" t="str">
        <f>"16"</f>
        <v>16</v>
      </c>
      <c r="E3742" t="str">
        <f>"1-208-16"</f>
        <v>1-208-16</v>
      </c>
      <c r="F3742" t="s">
        <v>15</v>
      </c>
      <c r="G3742" t="s">
        <v>20</v>
      </c>
      <c r="H3742" t="s">
        <v>21</v>
      </c>
      <c r="I3742">
        <v>0</v>
      </c>
      <c r="J3742">
        <v>1</v>
      </c>
      <c r="K3742">
        <v>0</v>
      </c>
    </row>
    <row r="3743" spans="1:11" x14ac:dyDescent="0.25">
      <c r="A3743" t="str">
        <f>"4729"</f>
        <v>4729</v>
      </c>
      <c r="B3743" t="str">
        <f t="shared" si="241"/>
        <v>1</v>
      </c>
      <c r="C3743" t="str">
        <f t="shared" si="243"/>
        <v>208</v>
      </c>
      <c r="D3743" t="str">
        <f>"5"</f>
        <v>5</v>
      </c>
      <c r="E3743" t="str">
        <f>"1-208-5"</f>
        <v>1-208-5</v>
      </c>
      <c r="F3743" t="s">
        <v>15</v>
      </c>
      <c r="G3743" t="s">
        <v>16</v>
      </c>
      <c r="H3743" t="s">
        <v>17</v>
      </c>
      <c r="I3743">
        <v>0</v>
      </c>
      <c r="J3743">
        <v>1</v>
      </c>
      <c r="K3743">
        <v>0</v>
      </c>
    </row>
    <row r="3744" spans="1:11" x14ac:dyDescent="0.25">
      <c r="A3744" t="str">
        <f>"4730"</f>
        <v>4730</v>
      </c>
      <c r="B3744" t="str">
        <f t="shared" si="241"/>
        <v>1</v>
      </c>
      <c r="C3744" t="str">
        <f t="shared" si="243"/>
        <v>208</v>
      </c>
      <c r="D3744" t="str">
        <f>"17"</f>
        <v>17</v>
      </c>
      <c r="E3744" t="str">
        <f>"1-208-17"</f>
        <v>1-208-17</v>
      </c>
      <c r="F3744" t="s">
        <v>15</v>
      </c>
      <c r="G3744" t="s">
        <v>16</v>
      </c>
      <c r="H3744" t="s">
        <v>17</v>
      </c>
      <c r="I3744">
        <v>0</v>
      </c>
      <c r="J3744">
        <v>0</v>
      </c>
      <c r="K3744">
        <v>1</v>
      </c>
    </row>
    <row r="3745" spans="1:11" x14ac:dyDescent="0.25">
      <c r="A3745" t="str">
        <f>"4731"</f>
        <v>4731</v>
      </c>
      <c r="B3745" t="str">
        <f t="shared" si="241"/>
        <v>1</v>
      </c>
      <c r="C3745" t="str">
        <f t="shared" si="243"/>
        <v>208</v>
      </c>
      <c r="D3745" t="str">
        <f>"1"</f>
        <v>1</v>
      </c>
      <c r="E3745" t="str">
        <f>"1-208-1"</f>
        <v>1-208-1</v>
      </c>
      <c r="F3745" t="s">
        <v>15</v>
      </c>
      <c r="G3745" t="s">
        <v>18</v>
      </c>
      <c r="H3745" t="s">
        <v>19</v>
      </c>
      <c r="I3745">
        <v>1</v>
      </c>
      <c r="J3745">
        <v>0</v>
      </c>
      <c r="K3745">
        <v>0</v>
      </c>
    </row>
    <row r="3746" spans="1:11" x14ac:dyDescent="0.25">
      <c r="A3746" t="str">
        <f>"4732"</f>
        <v>4732</v>
      </c>
      <c r="B3746" t="str">
        <f t="shared" si="241"/>
        <v>1</v>
      </c>
      <c r="C3746" t="str">
        <f t="shared" si="243"/>
        <v>208</v>
      </c>
      <c r="D3746" t="str">
        <f>"18"</f>
        <v>18</v>
      </c>
      <c r="E3746" t="str">
        <f>"1-208-18"</f>
        <v>1-208-18</v>
      </c>
      <c r="F3746" t="s">
        <v>15</v>
      </c>
      <c r="G3746" t="s">
        <v>16</v>
      </c>
      <c r="H3746" t="s">
        <v>17</v>
      </c>
      <c r="I3746">
        <v>0</v>
      </c>
      <c r="J3746">
        <v>0</v>
      </c>
      <c r="K3746">
        <v>1</v>
      </c>
    </row>
    <row r="3747" spans="1:11" x14ac:dyDescent="0.25">
      <c r="A3747" t="str">
        <f>"4733"</f>
        <v>4733</v>
      </c>
      <c r="B3747" t="str">
        <f t="shared" si="241"/>
        <v>1</v>
      </c>
      <c r="C3747" t="str">
        <f t="shared" si="243"/>
        <v>208</v>
      </c>
      <c r="D3747" t="str">
        <f>"10"</f>
        <v>10</v>
      </c>
      <c r="E3747" t="str">
        <f>"1-208-10"</f>
        <v>1-208-10</v>
      </c>
      <c r="F3747" t="s">
        <v>15</v>
      </c>
      <c r="G3747" t="s">
        <v>18</v>
      </c>
      <c r="H3747" t="s">
        <v>19</v>
      </c>
      <c r="I3747">
        <v>0</v>
      </c>
      <c r="J3747">
        <v>1</v>
      </c>
      <c r="K3747">
        <v>0</v>
      </c>
    </row>
    <row r="3748" spans="1:11" x14ac:dyDescent="0.25">
      <c r="A3748" t="str">
        <f>"4734"</f>
        <v>4734</v>
      </c>
      <c r="B3748" t="str">
        <f t="shared" si="241"/>
        <v>1</v>
      </c>
      <c r="C3748" t="str">
        <f t="shared" si="243"/>
        <v>208</v>
      </c>
      <c r="D3748" t="str">
        <f>"19"</f>
        <v>19</v>
      </c>
      <c r="E3748" t="str">
        <f>"1-208-19"</f>
        <v>1-208-19</v>
      </c>
      <c r="F3748" t="s">
        <v>15</v>
      </c>
      <c r="G3748" t="s">
        <v>16</v>
      </c>
      <c r="H3748" t="s">
        <v>17</v>
      </c>
      <c r="I3748">
        <v>1</v>
      </c>
      <c r="J3748">
        <v>0</v>
      </c>
      <c r="K3748">
        <v>0</v>
      </c>
    </row>
    <row r="3749" spans="1:11" x14ac:dyDescent="0.25">
      <c r="A3749" t="str">
        <f>"4736"</f>
        <v>4736</v>
      </c>
      <c r="B3749" t="str">
        <f t="shared" si="241"/>
        <v>1</v>
      </c>
      <c r="C3749" t="str">
        <f t="shared" si="243"/>
        <v>208</v>
      </c>
      <c r="D3749" t="str">
        <f>"20"</f>
        <v>20</v>
      </c>
      <c r="E3749" t="str">
        <f>"1-208-20"</f>
        <v>1-208-20</v>
      </c>
      <c r="F3749" t="s">
        <v>15</v>
      </c>
      <c r="G3749" t="s">
        <v>16</v>
      </c>
      <c r="H3749" t="s">
        <v>17</v>
      </c>
      <c r="I3749">
        <v>1</v>
      </c>
      <c r="J3749">
        <v>0</v>
      </c>
      <c r="K3749">
        <v>0</v>
      </c>
    </row>
    <row r="3750" spans="1:11" x14ac:dyDescent="0.25">
      <c r="A3750" t="str">
        <f>"4737"</f>
        <v>4737</v>
      </c>
      <c r="B3750" t="str">
        <f t="shared" si="241"/>
        <v>1</v>
      </c>
      <c r="C3750" t="str">
        <f t="shared" si="243"/>
        <v>208</v>
      </c>
      <c r="D3750" t="str">
        <f>"7"</f>
        <v>7</v>
      </c>
      <c r="E3750" t="str">
        <f>"1-208-7"</f>
        <v>1-208-7</v>
      </c>
      <c r="F3750" t="s">
        <v>15</v>
      </c>
      <c r="G3750" t="s">
        <v>16</v>
      </c>
      <c r="H3750" t="s">
        <v>17</v>
      </c>
      <c r="I3750">
        <v>0</v>
      </c>
      <c r="J3750">
        <v>0</v>
      </c>
      <c r="K3750">
        <v>1</v>
      </c>
    </row>
    <row r="3751" spans="1:11" x14ac:dyDescent="0.25">
      <c r="A3751" t="str">
        <f>"4738"</f>
        <v>4738</v>
      </c>
      <c r="B3751" t="str">
        <f t="shared" si="241"/>
        <v>1</v>
      </c>
      <c r="C3751" t="str">
        <f t="shared" si="243"/>
        <v>208</v>
      </c>
      <c r="D3751" t="str">
        <f>"21"</f>
        <v>21</v>
      </c>
      <c r="E3751" t="str">
        <f>"1-208-21"</f>
        <v>1-208-21</v>
      </c>
      <c r="F3751" t="s">
        <v>15</v>
      </c>
      <c r="G3751" t="s">
        <v>16</v>
      </c>
      <c r="H3751" t="s">
        <v>17</v>
      </c>
      <c r="I3751">
        <v>0</v>
      </c>
      <c r="J3751">
        <v>1</v>
      </c>
      <c r="K3751">
        <v>0</v>
      </c>
    </row>
    <row r="3752" spans="1:11" x14ac:dyDescent="0.25">
      <c r="A3752" t="str">
        <f>"4739"</f>
        <v>4739</v>
      </c>
      <c r="B3752" t="str">
        <f t="shared" si="241"/>
        <v>1</v>
      </c>
      <c r="C3752" t="str">
        <f t="shared" si="243"/>
        <v>208</v>
      </c>
      <c r="D3752" t="str">
        <f>"12"</f>
        <v>12</v>
      </c>
      <c r="E3752" t="str">
        <f>"1-208-12"</f>
        <v>1-208-12</v>
      </c>
      <c r="F3752" t="s">
        <v>15</v>
      </c>
      <c r="G3752" t="s">
        <v>16</v>
      </c>
      <c r="H3752" t="s">
        <v>17</v>
      </c>
      <c r="I3752">
        <v>0</v>
      </c>
      <c r="J3752">
        <v>0</v>
      </c>
      <c r="K3752">
        <v>1</v>
      </c>
    </row>
    <row r="3753" spans="1:11" x14ac:dyDescent="0.25">
      <c r="A3753" t="str">
        <f>"4740"</f>
        <v>4740</v>
      </c>
      <c r="B3753" t="str">
        <f t="shared" si="241"/>
        <v>1</v>
      </c>
      <c r="C3753" t="str">
        <f t="shared" si="243"/>
        <v>208</v>
      </c>
      <c r="D3753" t="str">
        <f>"23"</f>
        <v>23</v>
      </c>
      <c r="E3753" t="str">
        <f>"1-208-23"</f>
        <v>1-208-23</v>
      </c>
      <c r="F3753" t="s">
        <v>15</v>
      </c>
      <c r="G3753" t="s">
        <v>16</v>
      </c>
      <c r="H3753" t="s">
        <v>17</v>
      </c>
      <c r="I3753">
        <v>0</v>
      </c>
      <c r="J3753">
        <v>0</v>
      </c>
      <c r="K3753">
        <v>1</v>
      </c>
    </row>
    <row r="3754" spans="1:11" x14ac:dyDescent="0.25">
      <c r="A3754" t="str">
        <f>"4741"</f>
        <v>4741</v>
      </c>
      <c r="B3754" t="str">
        <f t="shared" si="241"/>
        <v>1</v>
      </c>
      <c r="C3754" t="str">
        <f t="shared" si="243"/>
        <v>208</v>
      </c>
      <c r="D3754" t="str">
        <f>"14"</f>
        <v>14</v>
      </c>
      <c r="E3754" t="str">
        <f>"1-208-14"</f>
        <v>1-208-14</v>
      </c>
      <c r="F3754" t="s">
        <v>15</v>
      </c>
      <c r="G3754" t="s">
        <v>16</v>
      </c>
      <c r="H3754" t="s">
        <v>17</v>
      </c>
      <c r="I3754">
        <v>0</v>
      </c>
      <c r="J3754">
        <v>0</v>
      </c>
      <c r="K3754">
        <v>1</v>
      </c>
    </row>
    <row r="3755" spans="1:11" x14ac:dyDescent="0.25">
      <c r="A3755" t="str">
        <f>"4742"</f>
        <v>4742</v>
      </c>
      <c r="B3755" t="str">
        <f t="shared" si="241"/>
        <v>1</v>
      </c>
      <c r="C3755" t="str">
        <f t="shared" si="243"/>
        <v>208</v>
      </c>
      <c r="D3755" t="str">
        <f>"24"</f>
        <v>24</v>
      </c>
      <c r="E3755" t="str">
        <f>"1-208-24"</f>
        <v>1-208-24</v>
      </c>
      <c r="F3755" t="s">
        <v>15</v>
      </c>
      <c r="G3755" t="s">
        <v>16</v>
      </c>
      <c r="H3755" t="s">
        <v>17</v>
      </c>
      <c r="I3755">
        <v>0</v>
      </c>
      <c r="J3755">
        <v>1</v>
      </c>
      <c r="K3755">
        <v>0</v>
      </c>
    </row>
    <row r="3756" spans="1:11" x14ac:dyDescent="0.25">
      <c r="A3756" t="str">
        <f>"4743"</f>
        <v>4743</v>
      </c>
      <c r="B3756" t="str">
        <f t="shared" si="241"/>
        <v>1</v>
      </c>
      <c r="C3756" t="str">
        <f t="shared" si="243"/>
        <v>208</v>
      </c>
      <c r="D3756" t="str">
        <f>"4"</f>
        <v>4</v>
      </c>
      <c r="E3756" t="str">
        <f>"1-208-4"</f>
        <v>1-208-4</v>
      </c>
      <c r="F3756" t="s">
        <v>15</v>
      </c>
      <c r="G3756" t="s">
        <v>16</v>
      </c>
      <c r="H3756" t="s">
        <v>17</v>
      </c>
      <c r="I3756">
        <v>0</v>
      </c>
      <c r="J3756">
        <v>1</v>
      </c>
      <c r="K3756">
        <v>0</v>
      </c>
    </row>
    <row r="3757" spans="1:11" x14ac:dyDescent="0.25">
      <c r="A3757" t="str">
        <f>"4744"</f>
        <v>4744</v>
      </c>
      <c r="B3757" t="str">
        <f t="shared" si="241"/>
        <v>1</v>
      </c>
      <c r="C3757" t="str">
        <f t="shared" si="243"/>
        <v>208</v>
      </c>
      <c r="D3757" t="str">
        <f>"9"</f>
        <v>9</v>
      </c>
      <c r="E3757" t="str">
        <f>"1-208-9"</f>
        <v>1-208-9</v>
      </c>
      <c r="F3757" t="s">
        <v>15</v>
      </c>
      <c r="G3757" t="s">
        <v>18</v>
      </c>
      <c r="H3757" t="s">
        <v>19</v>
      </c>
      <c r="I3757">
        <v>1</v>
      </c>
      <c r="J3757">
        <v>0</v>
      </c>
      <c r="K3757">
        <v>0</v>
      </c>
    </row>
    <row r="3758" spans="1:11" x14ac:dyDescent="0.25">
      <c r="A3758" t="str">
        <f>"4745"</f>
        <v>4745</v>
      </c>
      <c r="B3758" t="str">
        <f t="shared" si="241"/>
        <v>1</v>
      </c>
      <c r="C3758" t="str">
        <f t="shared" si="243"/>
        <v>208</v>
      </c>
      <c r="D3758" t="str">
        <f>"27"</f>
        <v>27</v>
      </c>
      <c r="E3758" t="str">
        <f>"1-208-27"</f>
        <v>1-208-27</v>
      </c>
      <c r="F3758" t="s">
        <v>15</v>
      </c>
      <c r="G3758" t="s">
        <v>16</v>
      </c>
      <c r="H3758" t="s">
        <v>17</v>
      </c>
      <c r="I3758">
        <v>1</v>
      </c>
      <c r="J3758">
        <v>0</v>
      </c>
      <c r="K3758">
        <v>0</v>
      </c>
    </row>
    <row r="3759" spans="1:11" x14ac:dyDescent="0.25">
      <c r="A3759" t="str">
        <f>"4746"</f>
        <v>4746</v>
      </c>
      <c r="B3759" t="str">
        <f t="shared" si="241"/>
        <v>1</v>
      </c>
      <c r="C3759" t="str">
        <f t="shared" si="243"/>
        <v>208</v>
      </c>
      <c r="D3759" t="str">
        <f>"8"</f>
        <v>8</v>
      </c>
      <c r="E3759" t="str">
        <f>"1-208-8"</f>
        <v>1-208-8</v>
      </c>
      <c r="F3759" t="s">
        <v>15</v>
      </c>
      <c r="G3759" t="s">
        <v>18</v>
      </c>
      <c r="H3759" t="s">
        <v>19</v>
      </c>
      <c r="I3759">
        <v>1</v>
      </c>
      <c r="J3759">
        <v>0</v>
      </c>
      <c r="K3759">
        <v>0</v>
      </c>
    </row>
    <row r="3760" spans="1:11" x14ac:dyDescent="0.25">
      <c r="A3760" t="str">
        <f>"4748"</f>
        <v>4748</v>
      </c>
      <c r="B3760" t="str">
        <f t="shared" si="241"/>
        <v>1</v>
      </c>
      <c r="C3760" t="str">
        <f t="shared" si="243"/>
        <v>208</v>
      </c>
      <c r="D3760" t="str">
        <f>"13"</f>
        <v>13</v>
      </c>
      <c r="E3760" t="str">
        <f>"1-208-13"</f>
        <v>1-208-13</v>
      </c>
      <c r="F3760" t="s">
        <v>15</v>
      </c>
      <c r="G3760" t="s">
        <v>16</v>
      </c>
      <c r="H3760" t="s">
        <v>17</v>
      </c>
      <c r="I3760">
        <v>0</v>
      </c>
      <c r="J3760">
        <v>1</v>
      </c>
      <c r="K3760">
        <v>0</v>
      </c>
    </row>
    <row r="3761" spans="1:11" x14ac:dyDescent="0.25">
      <c r="A3761" t="str">
        <f>"4749"</f>
        <v>4749</v>
      </c>
      <c r="B3761" t="str">
        <f t="shared" si="241"/>
        <v>1</v>
      </c>
      <c r="C3761" t="str">
        <f t="shared" si="243"/>
        <v>208</v>
      </c>
      <c r="D3761" t="str">
        <f>"29"</f>
        <v>29</v>
      </c>
      <c r="E3761" t="str">
        <f>"1-208-29"</f>
        <v>1-208-29</v>
      </c>
      <c r="F3761" t="s">
        <v>15</v>
      </c>
      <c r="G3761" t="s">
        <v>16</v>
      </c>
      <c r="H3761" t="s">
        <v>17</v>
      </c>
      <c r="I3761">
        <v>1</v>
      </c>
      <c r="J3761">
        <v>0</v>
      </c>
      <c r="K3761">
        <v>0</v>
      </c>
    </row>
    <row r="3762" spans="1:11" x14ac:dyDescent="0.25">
      <c r="A3762" t="str">
        <f>"4750"</f>
        <v>4750</v>
      </c>
      <c r="B3762" t="str">
        <f t="shared" si="241"/>
        <v>1</v>
      </c>
      <c r="C3762" t="str">
        <f t="shared" si="243"/>
        <v>208</v>
      </c>
      <c r="D3762" t="str">
        <f>"11"</f>
        <v>11</v>
      </c>
      <c r="E3762" t="str">
        <f>"1-208-11"</f>
        <v>1-208-11</v>
      </c>
      <c r="F3762" t="s">
        <v>15</v>
      </c>
      <c r="G3762" t="s">
        <v>18</v>
      </c>
      <c r="H3762" t="s">
        <v>19</v>
      </c>
      <c r="I3762">
        <v>0</v>
      </c>
      <c r="J3762">
        <v>1</v>
      </c>
      <c r="K3762">
        <v>0</v>
      </c>
    </row>
    <row r="3763" spans="1:11" x14ac:dyDescent="0.25">
      <c r="A3763" t="str">
        <f>"4751"</f>
        <v>4751</v>
      </c>
      <c r="B3763" t="str">
        <f t="shared" si="241"/>
        <v>1</v>
      </c>
      <c r="C3763" t="str">
        <f t="shared" si="243"/>
        <v>208</v>
      </c>
      <c r="D3763" t="str">
        <f>"2"</f>
        <v>2</v>
      </c>
      <c r="E3763" t="str">
        <f>"1-208-2"</f>
        <v>1-208-2</v>
      </c>
      <c r="F3763" t="s">
        <v>15</v>
      </c>
      <c r="G3763" t="s">
        <v>18</v>
      </c>
      <c r="H3763" t="s">
        <v>19</v>
      </c>
      <c r="I3763">
        <v>1</v>
      </c>
      <c r="J3763">
        <v>0</v>
      </c>
      <c r="K3763">
        <v>0</v>
      </c>
    </row>
    <row r="3764" spans="1:11" x14ac:dyDescent="0.25">
      <c r="A3764" t="str">
        <f>"4752"</f>
        <v>4752</v>
      </c>
      <c r="B3764" t="str">
        <f t="shared" si="241"/>
        <v>1</v>
      </c>
      <c r="C3764" t="str">
        <f t="shared" si="243"/>
        <v>208</v>
      </c>
      <c r="D3764" t="str">
        <f>"25"</f>
        <v>25</v>
      </c>
      <c r="E3764" t="str">
        <f>"1-208-25"</f>
        <v>1-208-25</v>
      </c>
      <c r="F3764" t="s">
        <v>15</v>
      </c>
      <c r="G3764" t="s">
        <v>18</v>
      </c>
      <c r="H3764" t="s">
        <v>19</v>
      </c>
      <c r="I3764">
        <v>0</v>
      </c>
      <c r="J3764">
        <v>0</v>
      </c>
      <c r="K3764">
        <v>0</v>
      </c>
    </row>
    <row r="3765" spans="1:11" x14ac:dyDescent="0.25">
      <c r="A3765" t="str">
        <f>"4753"</f>
        <v>4753</v>
      </c>
      <c r="B3765" t="str">
        <f t="shared" si="241"/>
        <v>1</v>
      </c>
      <c r="C3765" t="str">
        <f t="shared" ref="C3765:C3784" si="244">"209"</f>
        <v>209</v>
      </c>
      <c r="D3765" t="str">
        <f>"25"</f>
        <v>25</v>
      </c>
      <c r="E3765" t="str">
        <f>"1-209-25"</f>
        <v>1-209-25</v>
      </c>
      <c r="F3765" t="s">
        <v>15</v>
      </c>
      <c r="G3765" t="s">
        <v>16</v>
      </c>
      <c r="H3765" t="s">
        <v>17</v>
      </c>
      <c r="I3765">
        <v>0</v>
      </c>
      <c r="J3765">
        <v>0</v>
      </c>
      <c r="K3765">
        <v>1</v>
      </c>
    </row>
    <row r="3766" spans="1:11" x14ac:dyDescent="0.25">
      <c r="A3766" t="str">
        <f>"4754"</f>
        <v>4754</v>
      </c>
      <c r="B3766" t="str">
        <f t="shared" si="241"/>
        <v>1</v>
      </c>
      <c r="C3766" t="str">
        <f t="shared" si="244"/>
        <v>209</v>
      </c>
      <c r="D3766" t="str">
        <f>"15"</f>
        <v>15</v>
      </c>
      <c r="E3766" t="str">
        <f>"1-209-15"</f>
        <v>1-209-15</v>
      </c>
      <c r="F3766" t="s">
        <v>15</v>
      </c>
      <c r="G3766" t="s">
        <v>16</v>
      </c>
      <c r="H3766" t="s">
        <v>17</v>
      </c>
      <c r="I3766">
        <v>0</v>
      </c>
      <c r="J3766">
        <v>1</v>
      </c>
      <c r="K3766">
        <v>0</v>
      </c>
    </row>
    <row r="3767" spans="1:11" x14ac:dyDescent="0.25">
      <c r="A3767" t="str">
        <f>"4755"</f>
        <v>4755</v>
      </c>
      <c r="B3767" t="str">
        <f t="shared" si="241"/>
        <v>1</v>
      </c>
      <c r="C3767" t="str">
        <f t="shared" si="244"/>
        <v>209</v>
      </c>
      <c r="D3767" t="str">
        <f>"7"</f>
        <v>7</v>
      </c>
      <c r="E3767" t="str">
        <f>"1-209-7"</f>
        <v>1-209-7</v>
      </c>
      <c r="F3767" t="s">
        <v>15</v>
      </c>
      <c r="G3767" t="s">
        <v>16</v>
      </c>
      <c r="H3767" t="s">
        <v>17</v>
      </c>
      <c r="I3767">
        <v>0</v>
      </c>
      <c r="J3767">
        <v>0</v>
      </c>
      <c r="K3767">
        <v>1</v>
      </c>
    </row>
    <row r="3768" spans="1:11" x14ac:dyDescent="0.25">
      <c r="A3768" t="str">
        <f>"4756"</f>
        <v>4756</v>
      </c>
      <c r="B3768" t="str">
        <f t="shared" si="241"/>
        <v>1</v>
      </c>
      <c r="C3768" t="str">
        <f t="shared" si="244"/>
        <v>209</v>
      </c>
      <c r="D3768" t="str">
        <f>"23"</f>
        <v>23</v>
      </c>
      <c r="E3768" t="str">
        <f>"1-209-23"</f>
        <v>1-209-23</v>
      </c>
      <c r="F3768" t="s">
        <v>15</v>
      </c>
      <c r="G3768" t="s">
        <v>16</v>
      </c>
      <c r="H3768" t="s">
        <v>17</v>
      </c>
      <c r="I3768">
        <v>1</v>
      </c>
      <c r="J3768">
        <v>0</v>
      </c>
      <c r="K3768">
        <v>0</v>
      </c>
    </row>
    <row r="3769" spans="1:11" x14ac:dyDescent="0.25">
      <c r="A3769" t="str">
        <f>"4757"</f>
        <v>4757</v>
      </c>
      <c r="B3769" t="str">
        <f t="shared" si="241"/>
        <v>1</v>
      </c>
      <c r="C3769" t="str">
        <f t="shared" si="244"/>
        <v>209</v>
      </c>
      <c r="D3769" t="str">
        <f>"16"</f>
        <v>16</v>
      </c>
      <c r="E3769" t="str">
        <f>"1-209-16"</f>
        <v>1-209-16</v>
      </c>
      <c r="F3769" t="s">
        <v>15</v>
      </c>
      <c r="G3769" t="s">
        <v>16</v>
      </c>
      <c r="H3769" t="s">
        <v>17</v>
      </c>
      <c r="I3769">
        <v>1</v>
      </c>
      <c r="J3769">
        <v>0</v>
      </c>
      <c r="K3769">
        <v>0</v>
      </c>
    </row>
    <row r="3770" spans="1:11" x14ac:dyDescent="0.25">
      <c r="A3770" t="str">
        <f>"4758"</f>
        <v>4758</v>
      </c>
      <c r="B3770" t="str">
        <f t="shared" si="241"/>
        <v>1</v>
      </c>
      <c r="C3770" t="str">
        <f t="shared" si="244"/>
        <v>209</v>
      </c>
      <c r="D3770" t="str">
        <f>"4"</f>
        <v>4</v>
      </c>
      <c r="E3770" t="str">
        <f>"1-209-4"</f>
        <v>1-209-4</v>
      </c>
      <c r="F3770" t="s">
        <v>15</v>
      </c>
      <c r="G3770" t="s">
        <v>18</v>
      </c>
      <c r="H3770" t="s">
        <v>19</v>
      </c>
      <c r="I3770">
        <v>0</v>
      </c>
      <c r="J3770">
        <v>1</v>
      </c>
      <c r="K3770">
        <v>0</v>
      </c>
    </row>
    <row r="3771" spans="1:11" x14ac:dyDescent="0.25">
      <c r="A3771" t="str">
        <f>"4759"</f>
        <v>4759</v>
      </c>
      <c r="B3771" t="str">
        <f t="shared" si="241"/>
        <v>1</v>
      </c>
      <c r="C3771" t="str">
        <f t="shared" si="244"/>
        <v>209</v>
      </c>
      <c r="D3771" t="str">
        <f>"17"</f>
        <v>17</v>
      </c>
      <c r="E3771" t="str">
        <f>"1-209-17"</f>
        <v>1-209-17</v>
      </c>
      <c r="F3771" t="s">
        <v>15</v>
      </c>
      <c r="G3771" t="s">
        <v>16</v>
      </c>
      <c r="H3771" t="s">
        <v>17</v>
      </c>
      <c r="I3771">
        <v>1</v>
      </c>
      <c r="J3771">
        <v>0</v>
      </c>
      <c r="K3771">
        <v>0</v>
      </c>
    </row>
    <row r="3772" spans="1:11" x14ac:dyDescent="0.25">
      <c r="A3772" t="str">
        <f>"4761"</f>
        <v>4761</v>
      </c>
      <c r="B3772" t="str">
        <f t="shared" si="241"/>
        <v>1</v>
      </c>
      <c r="C3772" t="str">
        <f t="shared" si="244"/>
        <v>209</v>
      </c>
      <c r="D3772" t="str">
        <f>"18"</f>
        <v>18</v>
      </c>
      <c r="E3772" t="str">
        <f>"1-209-18"</f>
        <v>1-209-18</v>
      </c>
      <c r="F3772" t="s">
        <v>15</v>
      </c>
      <c r="G3772" t="s">
        <v>16</v>
      </c>
      <c r="H3772" t="s">
        <v>17</v>
      </c>
      <c r="I3772">
        <v>1</v>
      </c>
      <c r="J3772">
        <v>0</v>
      </c>
      <c r="K3772">
        <v>0</v>
      </c>
    </row>
    <row r="3773" spans="1:11" x14ac:dyDescent="0.25">
      <c r="A3773" t="str">
        <f>"4763"</f>
        <v>4763</v>
      </c>
      <c r="B3773" t="str">
        <f t="shared" ref="B3773:B3822" si="245">"1"</f>
        <v>1</v>
      </c>
      <c r="C3773" t="str">
        <f t="shared" si="244"/>
        <v>209</v>
      </c>
      <c r="D3773" t="str">
        <f>"19"</f>
        <v>19</v>
      </c>
      <c r="E3773" t="str">
        <f>"1-209-19"</f>
        <v>1-209-19</v>
      </c>
      <c r="F3773" t="s">
        <v>15</v>
      </c>
      <c r="G3773" t="s">
        <v>16</v>
      </c>
      <c r="H3773" t="s">
        <v>17</v>
      </c>
      <c r="I3773">
        <v>1</v>
      </c>
      <c r="J3773">
        <v>0</v>
      </c>
      <c r="K3773">
        <v>0</v>
      </c>
    </row>
    <row r="3774" spans="1:11" x14ac:dyDescent="0.25">
      <c r="A3774" t="str">
        <f>"4765"</f>
        <v>4765</v>
      </c>
      <c r="B3774" t="str">
        <f t="shared" si="245"/>
        <v>1</v>
      </c>
      <c r="C3774" t="str">
        <f t="shared" si="244"/>
        <v>209</v>
      </c>
      <c r="D3774" t="str">
        <f>"20"</f>
        <v>20</v>
      </c>
      <c r="E3774" t="str">
        <f>"1-209-20"</f>
        <v>1-209-20</v>
      </c>
      <c r="F3774" t="s">
        <v>15</v>
      </c>
      <c r="G3774" t="s">
        <v>20</v>
      </c>
      <c r="H3774" t="s">
        <v>21</v>
      </c>
      <c r="I3774">
        <v>0</v>
      </c>
      <c r="J3774">
        <v>0</v>
      </c>
      <c r="K3774">
        <v>1</v>
      </c>
    </row>
    <row r="3775" spans="1:11" x14ac:dyDescent="0.25">
      <c r="A3775" t="str">
        <f>"4767"</f>
        <v>4767</v>
      </c>
      <c r="B3775" t="str">
        <f t="shared" si="245"/>
        <v>1</v>
      </c>
      <c r="C3775" t="str">
        <f t="shared" si="244"/>
        <v>209</v>
      </c>
      <c r="D3775" t="str">
        <f>"21"</f>
        <v>21</v>
      </c>
      <c r="E3775" t="str">
        <f>"1-209-21"</f>
        <v>1-209-21</v>
      </c>
      <c r="F3775" t="s">
        <v>15</v>
      </c>
      <c r="G3775" t="s">
        <v>16</v>
      </c>
      <c r="H3775" t="s">
        <v>17</v>
      </c>
      <c r="I3775">
        <v>0</v>
      </c>
      <c r="J3775">
        <v>0</v>
      </c>
      <c r="K3775">
        <v>1</v>
      </c>
    </row>
    <row r="3776" spans="1:11" x14ac:dyDescent="0.25">
      <c r="A3776" t="str">
        <f>"4769"</f>
        <v>4769</v>
      </c>
      <c r="B3776" t="str">
        <f t="shared" si="245"/>
        <v>1</v>
      </c>
      <c r="C3776" t="str">
        <f t="shared" si="244"/>
        <v>209</v>
      </c>
      <c r="D3776" t="str">
        <f>"22"</f>
        <v>22</v>
      </c>
      <c r="E3776" t="str">
        <f>"1-209-22"</f>
        <v>1-209-22</v>
      </c>
      <c r="F3776" t="s">
        <v>15</v>
      </c>
      <c r="G3776" t="s">
        <v>16</v>
      </c>
      <c r="H3776" t="s">
        <v>17</v>
      </c>
      <c r="I3776">
        <v>0</v>
      </c>
      <c r="J3776">
        <v>1</v>
      </c>
      <c r="K3776">
        <v>0</v>
      </c>
    </row>
    <row r="3777" spans="1:11" x14ac:dyDescent="0.25">
      <c r="A3777" t="str">
        <f>"4770"</f>
        <v>4770</v>
      </c>
      <c r="B3777" t="str">
        <f t="shared" si="245"/>
        <v>1</v>
      </c>
      <c r="C3777" t="str">
        <f t="shared" si="244"/>
        <v>209</v>
      </c>
      <c r="D3777" t="str">
        <f>"2"</f>
        <v>2</v>
      </c>
      <c r="E3777" t="str">
        <f>"1-209-2"</f>
        <v>1-209-2</v>
      </c>
      <c r="F3777" t="s">
        <v>15</v>
      </c>
      <c r="G3777" t="s">
        <v>16</v>
      </c>
      <c r="H3777" t="s">
        <v>17</v>
      </c>
      <c r="I3777">
        <v>1</v>
      </c>
      <c r="J3777">
        <v>0</v>
      </c>
      <c r="K3777">
        <v>0</v>
      </c>
    </row>
    <row r="3778" spans="1:11" x14ac:dyDescent="0.25">
      <c r="A3778" t="str">
        <f>"4771"</f>
        <v>4771</v>
      </c>
      <c r="B3778" t="str">
        <f t="shared" si="245"/>
        <v>1</v>
      </c>
      <c r="C3778" t="str">
        <f t="shared" si="244"/>
        <v>209</v>
      </c>
      <c r="D3778" t="str">
        <f>"24"</f>
        <v>24</v>
      </c>
      <c r="E3778" t="str">
        <f>"1-209-24"</f>
        <v>1-209-24</v>
      </c>
      <c r="F3778" t="s">
        <v>15</v>
      </c>
      <c r="G3778" t="s">
        <v>16</v>
      </c>
      <c r="H3778" t="s">
        <v>17</v>
      </c>
      <c r="I3778">
        <v>0</v>
      </c>
      <c r="J3778">
        <v>0</v>
      </c>
      <c r="K3778">
        <v>1</v>
      </c>
    </row>
    <row r="3779" spans="1:11" x14ac:dyDescent="0.25">
      <c r="A3779" t="str">
        <f>"4772"</f>
        <v>4772</v>
      </c>
      <c r="B3779" t="str">
        <f t="shared" si="245"/>
        <v>1</v>
      </c>
      <c r="C3779" t="str">
        <f t="shared" si="244"/>
        <v>209</v>
      </c>
      <c r="D3779" t="str">
        <f>"11"</f>
        <v>11</v>
      </c>
      <c r="E3779" t="str">
        <f>"1-209-11"</f>
        <v>1-209-11</v>
      </c>
      <c r="F3779" t="s">
        <v>15</v>
      </c>
      <c r="G3779" t="s">
        <v>16</v>
      </c>
      <c r="H3779" t="s">
        <v>17</v>
      </c>
      <c r="I3779">
        <v>0</v>
      </c>
      <c r="J3779">
        <v>0</v>
      </c>
      <c r="K3779">
        <v>1</v>
      </c>
    </row>
    <row r="3780" spans="1:11" x14ac:dyDescent="0.25">
      <c r="A3780" t="str">
        <f>"4773"</f>
        <v>4773</v>
      </c>
      <c r="B3780" t="str">
        <f t="shared" si="245"/>
        <v>1</v>
      </c>
      <c r="C3780" t="str">
        <f t="shared" si="244"/>
        <v>209</v>
      </c>
      <c r="D3780" t="str">
        <f>"14"</f>
        <v>14</v>
      </c>
      <c r="E3780" t="str">
        <f>"1-209-14"</f>
        <v>1-209-14</v>
      </c>
      <c r="F3780" t="s">
        <v>15</v>
      </c>
      <c r="G3780" t="s">
        <v>18</v>
      </c>
      <c r="H3780" t="s">
        <v>19</v>
      </c>
      <c r="I3780">
        <v>0</v>
      </c>
      <c r="J3780">
        <v>0</v>
      </c>
      <c r="K3780">
        <v>1</v>
      </c>
    </row>
    <row r="3781" spans="1:11" x14ac:dyDescent="0.25">
      <c r="A3781" t="str">
        <f>"4774"</f>
        <v>4774</v>
      </c>
      <c r="B3781" t="str">
        <f t="shared" si="245"/>
        <v>1</v>
      </c>
      <c r="C3781" t="str">
        <f t="shared" si="244"/>
        <v>209</v>
      </c>
      <c r="D3781" t="str">
        <f>"10"</f>
        <v>10</v>
      </c>
      <c r="E3781" t="str">
        <f>"1-209-10"</f>
        <v>1-209-10</v>
      </c>
      <c r="F3781" t="s">
        <v>15</v>
      </c>
      <c r="G3781" t="s">
        <v>16</v>
      </c>
      <c r="H3781" t="s">
        <v>17</v>
      </c>
      <c r="I3781">
        <v>0</v>
      </c>
      <c r="J3781">
        <v>0</v>
      </c>
      <c r="K3781">
        <v>1</v>
      </c>
    </row>
    <row r="3782" spans="1:11" x14ac:dyDescent="0.25">
      <c r="A3782" t="str">
        <f>"4775"</f>
        <v>4775</v>
      </c>
      <c r="B3782" t="str">
        <f t="shared" si="245"/>
        <v>1</v>
      </c>
      <c r="C3782" t="str">
        <f t="shared" si="244"/>
        <v>209</v>
      </c>
      <c r="D3782" t="str">
        <f>"3"</f>
        <v>3</v>
      </c>
      <c r="E3782" t="str">
        <f>"1-209-3"</f>
        <v>1-209-3</v>
      </c>
      <c r="F3782" t="s">
        <v>15</v>
      </c>
      <c r="G3782" t="s">
        <v>16</v>
      </c>
      <c r="H3782" t="s">
        <v>17</v>
      </c>
      <c r="I3782">
        <v>1</v>
      </c>
      <c r="J3782">
        <v>0</v>
      </c>
      <c r="K3782">
        <v>0</v>
      </c>
    </row>
    <row r="3783" spans="1:11" x14ac:dyDescent="0.25">
      <c r="A3783" t="str">
        <f>"4776"</f>
        <v>4776</v>
      </c>
      <c r="B3783" t="str">
        <f t="shared" si="245"/>
        <v>1</v>
      </c>
      <c r="C3783" t="str">
        <f t="shared" si="244"/>
        <v>209</v>
      </c>
      <c r="D3783" t="str">
        <f>"13"</f>
        <v>13</v>
      </c>
      <c r="E3783" t="str">
        <f>"1-209-13"</f>
        <v>1-209-13</v>
      </c>
      <c r="F3783" t="s">
        <v>15</v>
      </c>
      <c r="G3783" t="s">
        <v>16</v>
      </c>
      <c r="H3783" t="s">
        <v>17</v>
      </c>
      <c r="I3783">
        <v>0</v>
      </c>
      <c r="J3783">
        <v>0</v>
      </c>
      <c r="K3783">
        <v>1</v>
      </c>
    </row>
    <row r="3784" spans="1:11" x14ac:dyDescent="0.25">
      <c r="A3784" t="str">
        <f>"4777"</f>
        <v>4777</v>
      </c>
      <c r="B3784" t="str">
        <f t="shared" si="245"/>
        <v>1</v>
      </c>
      <c r="C3784" t="str">
        <f t="shared" si="244"/>
        <v>209</v>
      </c>
      <c r="D3784" t="str">
        <f>"6"</f>
        <v>6</v>
      </c>
      <c r="E3784" t="str">
        <f>"1-209-6"</f>
        <v>1-209-6</v>
      </c>
      <c r="F3784" t="s">
        <v>15</v>
      </c>
      <c r="G3784" t="s">
        <v>16</v>
      </c>
      <c r="H3784" t="s">
        <v>17</v>
      </c>
      <c r="I3784">
        <v>0</v>
      </c>
      <c r="J3784">
        <v>0</v>
      </c>
      <c r="K3784">
        <v>1</v>
      </c>
    </row>
    <row r="3785" spans="1:11" x14ac:dyDescent="0.25">
      <c r="A3785" t="str">
        <f>"4778"</f>
        <v>4778</v>
      </c>
      <c r="B3785" t="str">
        <f t="shared" si="245"/>
        <v>1</v>
      </c>
      <c r="C3785" t="str">
        <f t="shared" ref="C3785:C3805" si="246">"210"</f>
        <v>210</v>
      </c>
      <c r="D3785" t="str">
        <f>"17"</f>
        <v>17</v>
      </c>
      <c r="E3785" t="str">
        <f>"1-210-17"</f>
        <v>1-210-17</v>
      </c>
      <c r="F3785" t="s">
        <v>15</v>
      </c>
      <c r="G3785" t="s">
        <v>18</v>
      </c>
      <c r="H3785" t="s">
        <v>19</v>
      </c>
      <c r="I3785">
        <v>1</v>
      </c>
      <c r="J3785">
        <v>0</v>
      </c>
      <c r="K3785">
        <v>0</v>
      </c>
    </row>
    <row r="3786" spans="1:11" x14ac:dyDescent="0.25">
      <c r="A3786" t="str">
        <f>"4779"</f>
        <v>4779</v>
      </c>
      <c r="B3786" t="str">
        <f t="shared" si="245"/>
        <v>1</v>
      </c>
      <c r="C3786" t="str">
        <f t="shared" si="246"/>
        <v>210</v>
      </c>
      <c r="D3786" t="str">
        <f>"15"</f>
        <v>15</v>
      </c>
      <c r="E3786" t="str">
        <f>"1-210-15"</f>
        <v>1-210-15</v>
      </c>
      <c r="F3786" t="s">
        <v>15</v>
      </c>
      <c r="G3786" t="s">
        <v>16</v>
      </c>
      <c r="H3786" t="s">
        <v>17</v>
      </c>
      <c r="I3786">
        <v>1</v>
      </c>
      <c r="J3786">
        <v>0</v>
      </c>
      <c r="K3786">
        <v>0</v>
      </c>
    </row>
    <row r="3787" spans="1:11" x14ac:dyDescent="0.25">
      <c r="A3787" t="str">
        <f>"4780"</f>
        <v>4780</v>
      </c>
      <c r="B3787" t="str">
        <f t="shared" si="245"/>
        <v>1</v>
      </c>
      <c r="C3787" t="str">
        <f t="shared" si="246"/>
        <v>210</v>
      </c>
      <c r="D3787" t="str">
        <f>"20"</f>
        <v>20</v>
      </c>
      <c r="E3787" t="str">
        <f>"1-210-20"</f>
        <v>1-210-20</v>
      </c>
      <c r="F3787" t="s">
        <v>15</v>
      </c>
      <c r="G3787" t="s">
        <v>18</v>
      </c>
      <c r="H3787" t="s">
        <v>19</v>
      </c>
      <c r="I3787">
        <v>0</v>
      </c>
      <c r="J3787">
        <v>1</v>
      </c>
      <c r="K3787">
        <v>0</v>
      </c>
    </row>
    <row r="3788" spans="1:11" x14ac:dyDescent="0.25">
      <c r="A3788" t="str">
        <f>"4781"</f>
        <v>4781</v>
      </c>
      <c r="B3788" t="str">
        <f t="shared" si="245"/>
        <v>1</v>
      </c>
      <c r="C3788" t="str">
        <f t="shared" si="246"/>
        <v>210</v>
      </c>
      <c r="D3788" t="str">
        <f>"16"</f>
        <v>16</v>
      </c>
      <c r="E3788" t="str">
        <f>"1-210-16"</f>
        <v>1-210-16</v>
      </c>
      <c r="F3788" t="s">
        <v>15</v>
      </c>
      <c r="G3788" t="s">
        <v>16</v>
      </c>
      <c r="H3788" t="s">
        <v>17</v>
      </c>
      <c r="I3788">
        <v>0</v>
      </c>
      <c r="J3788">
        <v>0</v>
      </c>
      <c r="K3788">
        <v>1</v>
      </c>
    </row>
    <row r="3789" spans="1:11" x14ac:dyDescent="0.25">
      <c r="A3789" t="str">
        <f>"4782"</f>
        <v>4782</v>
      </c>
      <c r="B3789" t="str">
        <f t="shared" si="245"/>
        <v>1</v>
      </c>
      <c r="C3789" t="str">
        <f t="shared" si="246"/>
        <v>210</v>
      </c>
      <c r="D3789" t="str">
        <f>"2"</f>
        <v>2</v>
      </c>
      <c r="E3789" t="str">
        <f>"1-210-2"</f>
        <v>1-210-2</v>
      </c>
      <c r="F3789" t="s">
        <v>15</v>
      </c>
      <c r="G3789" t="s">
        <v>16</v>
      </c>
      <c r="H3789" t="s">
        <v>17</v>
      </c>
      <c r="I3789">
        <v>1</v>
      </c>
      <c r="J3789">
        <v>0</v>
      </c>
      <c r="K3789">
        <v>0</v>
      </c>
    </row>
    <row r="3790" spans="1:11" x14ac:dyDescent="0.25">
      <c r="A3790" t="str">
        <f>"4783"</f>
        <v>4783</v>
      </c>
      <c r="B3790" t="str">
        <f t="shared" si="245"/>
        <v>1</v>
      </c>
      <c r="C3790" t="str">
        <f t="shared" si="246"/>
        <v>210</v>
      </c>
      <c r="D3790" t="str">
        <f>"18"</f>
        <v>18</v>
      </c>
      <c r="E3790" t="str">
        <f>"1-210-18"</f>
        <v>1-210-18</v>
      </c>
      <c r="F3790" t="s">
        <v>15</v>
      </c>
      <c r="G3790" t="s">
        <v>16</v>
      </c>
      <c r="H3790" t="s">
        <v>17</v>
      </c>
      <c r="I3790">
        <v>0</v>
      </c>
      <c r="J3790">
        <v>0</v>
      </c>
      <c r="K3790">
        <v>1</v>
      </c>
    </row>
    <row r="3791" spans="1:11" x14ac:dyDescent="0.25">
      <c r="A3791" t="str">
        <f>"4784"</f>
        <v>4784</v>
      </c>
      <c r="B3791" t="str">
        <f t="shared" si="245"/>
        <v>1</v>
      </c>
      <c r="C3791" t="str">
        <f t="shared" si="246"/>
        <v>210</v>
      </c>
      <c r="D3791" t="str">
        <f>"4"</f>
        <v>4</v>
      </c>
      <c r="E3791" t="str">
        <f>"1-210-4"</f>
        <v>1-210-4</v>
      </c>
      <c r="F3791" t="s">
        <v>15</v>
      </c>
      <c r="G3791" t="s">
        <v>16</v>
      </c>
      <c r="H3791" t="s">
        <v>17</v>
      </c>
      <c r="I3791">
        <v>1</v>
      </c>
      <c r="J3791">
        <v>0</v>
      </c>
      <c r="K3791">
        <v>0</v>
      </c>
    </row>
    <row r="3792" spans="1:11" x14ac:dyDescent="0.25">
      <c r="A3792" t="str">
        <f>"4785"</f>
        <v>4785</v>
      </c>
      <c r="B3792" t="str">
        <f t="shared" si="245"/>
        <v>1</v>
      </c>
      <c r="C3792" t="str">
        <f t="shared" si="246"/>
        <v>210</v>
      </c>
      <c r="D3792" t="str">
        <f>"19"</f>
        <v>19</v>
      </c>
      <c r="E3792" t="str">
        <f>"1-210-19"</f>
        <v>1-210-19</v>
      </c>
      <c r="F3792" t="s">
        <v>15</v>
      </c>
      <c r="G3792" t="s">
        <v>18</v>
      </c>
      <c r="H3792" t="s">
        <v>19</v>
      </c>
      <c r="I3792">
        <v>0</v>
      </c>
      <c r="J3792">
        <v>0</v>
      </c>
      <c r="K3792">
        <v>1</v>
      </c>
    </row>
    <row r="3793" spans="1:11" x14ac:dyDescent="0.25">
      <c r="A3793" t="str">
        <f>"4787"</f>
        <v>4787</v>
      </c>
      <c r="B3793" t="str">
        <f t="shared" si="245"/>
        <v>1</v>
      </c>
      <c r="C3793" t="str">
        <f t="shared" si="246"/>
        <v>210</v>
      </c>
      <c r="D3793" t="str">
        <f>"12"</f>
        <v>12</v>
      </c>
      <c r="E3793" t="str">
        <f>"1-210-12"</f>
        <v>1-210-12</v>
      </c>
      <c r="F3793" t="s">
        <v>15</v>
      </c>
      <c r="G3793" t="s">
        <v>16</v>
      </c>
      <c r="H3793" t="s">
        <v>17</v>
      </c>
      <c r="I3793">
        <v>1</v>
      </c>
      <c r="J3793">
        <v>0</v>
      </c>
      <c r="K3793">
        <v>0</v>
      </c>
    </row>
    <row r="3794" spans="1:11" x14ac:dyDescent="0.25">
      <c r="A3794" t="str">
        <f>"4788"</f>
        <v>4788</v>
      </c>
      <c r="B3794" t="str">
        <f t="shared" si="245"/>
        <v>1</v>
      </c>
      <c r="C3794" t="str">
        <f t="shared" si="246"/>
        <v>210</v>
      </c>
      <c r="D3794" t="str">
        <f>"22"</f>
        <v>22</v>
      </c>
      <c r="E3794" t="str">
        <f>"1-210-22"</f>
        <v>1-210-22</v>
      </c>
      <c r="F3794" t="s">
        <v>15</v>
      </c>
      <c r="G3794" t="s">
        <v>16</v>
      </c>
      <c r="H3794" t="s">
        <v>17</v>
      </c>
      <c r="I3794">
        <v>1</v>
      </c>
      <c r="J3794">
        <v>0</v>
      </c>
      <c r="K3794">
        <v>0</v>
      </c>
    </row>
    <row r="3795" spans="1:11" x14ac:dyDescent="0.25">
      <c r="A3795" t="str">
        <f>"4789"</f>
        <v>4789</v>
      </c>
      <c r="B3795" t="str">
        <f t="shared" si="245"/>
        <v>1</v>
      </c>
      <c r="C3795" t="str">
        <f t="shared" si="246"/>
        <v>210</v>
      </c>
      <c r="D3795" t="str">
        <f>"5"</f>
        <v>5</v>
      </c>
      <c r="E3795" t="str">
        <f>"1-210-5"</f>
        <v>1-210-5</v>
      </c>
      <c r="F3795" t="s">
        <v>15</v>
      </c>
      <c r="G3795" t="s">
        <v>16</v>
      </c>
      <c r="H3795" t="s">
        <v>17</v>
      </c>
      <c r="I3795">
        <v>0</v>
      </c>
      <c r="J3795">
        <v>1</v>
      </c>
      <c r="K3795">
        <v>0</v>
      </c>
    </row>
    <row r="3796" spans="1:11" x14ac:dyDescent="0.25">
      <c r="A3796" t="str">
        <f>"4790"</f>
        <v>4790</v>
      </c>
      <c r="B3796" t="str">
        <f t="shared" si="245"/>
        <v>1</v>
      </c>
      <c r="C3796" t="str">
        <f t="shared" si="246"/>
        <v>210</v>
      </c>
      <c r="D3796" t="str">
        <f>"13"</f>
        <v>13</v>
      </c>
      <c r="E3796" t="str">
        <f>"1-210-13"</f>
        <v>1-210-13</v>
      </c>
      <c r="F3796" t="s">
        <v>15</v>
      </c>
      <c r="G3796" t="s">
        <v>16</v>
      </c>
      <c r="H3796" t="s">
        <v>17</v>
      </c>
      <c r="I3796">
        <v>1</v>
      </c>
      <c r="J3796">
        <v>0</v>
      </c>
      <c r="K3796">
        <v>0</v>
      </c>
    </row>
    <row r="3797" spans="1:11" x14ac:dyDescent="0.25">
      <c r="A3797" t="str">
        <f>"4791"</f>
        <v>4791</v>
      </c>
      <c r="B3797" t="str">
        <f t="shared" si="245"/>
        <v>1</v>
      </c>
      <c r="C3797" t="str">
        <f t="shared" si="246"/>
        <v>210</v>
      </c>
      <c r="D3797" t="str">
        <f>"9"</f>
        <v>9</v>
      </c>
      <c r="E3797" t="str">
        <f>"1-210-9"</f>
        <v>1-210-9</v>
      </c>
      <c r="F3797" t="s">
        <v>15</v>
      </c>
      <c r="G3797" t="s">
        <v>16</v>
      </c>
      <c r="H3797" t="s">
        <v>17</v>
      </c>
      <c r="I3797">
        <v>0</v>
      </c>
      <c r="J3797">
        <v>0</v>
      </c>
      <c r="K3797">
        <v>1</v>
      </c>
    </row>
    <row r="3798" spans="1:11" x14ac:dyDescent="0.25">
      <c r="A3798" t="str">
        <f>"4792"</f>
        <v>4792</v>
      </c>
      <c r="B3798" t="str">
        <f t="shared" si="245"/>
        <v>1</v>
      </c>
      <c r="C3798" t="str">
        <f t="shared" si="246"/>
        <v>210</v>
      </c>
      <c r="D3798" t="str">
        <f>"6"</f>
        <v>6</v>
      </c>
      <c r="E3798" t="str">
        <f>"1-210-6"</f>
        <v>1-210-6</v>
      </c>
      <c r="F3798" t="s">
        <v>15</v>
      </c>
      <c r="G3798" t="s">
        <v>16</v>
      </c>
      <c r="H3798" t="s">
        <v>17</v>
      </c>
      <c r="I3798">
        <v>0</v>
      </c>
      <c r="J3798">
        <v>1</v>
      </c>
      <c r="K3798">
        <v>0</v>
      </c>
    </row>
    <row r="3799" spans="1:11" x14ac:dyDescent="0.25">
      <c r="A3799" t="str">
        <f>"4793"</f>
        <v>4793</v>
      </c>
      <c r="B3799" t="str">
        <f t="shared" si="245"/>
        <v>1</v>
      </c>
      <c r="C3799" t="str">
        <f t="shared" si="246"/>
        <v>210</v>
      </c>
      <c r="D3799" t="str">
        <f>"7"</f>
        <v>7</v>
      </c>
      <c r="E3799" t="str">
        <f>"1-210-7"</f>
        <v>1-210-7</v>
      </c>
      <c r="F3799" t="s">
        <v>15</v>
      </c>
      <c r="G3799" t="s">
        <v>16</v>
      </c>
      <c r="H3799" t="s">
        <v>17</v>
      </c>
      <c r="I3799">
        <v>0</v>
      </c>
      <c r="J3799">
        <v>1</v>
      </c>
      <c r="K3799">
        <v>0</v>
      </c>
    </row>
    <row r="3800" spans="1:11" x14ac:dyDescent="0.25">
      <c r="A3800" t="str">
        <f>"4794"</f>
        <v>4794</v>
      </c>
      <c r="B3800" t="str">
        <f t="shared" si="245"/>
        <v>1</v>
      </c>
      <c r="C3800" t="str">
        <f t="shared" si="246"/>
        <v>210</v>
      </c>
      <c r="D3800" t="str">
        <f>"3"</f>
        <v>3</v>
      </c>
      <c r="E3800" t="str">
        <f>"1-210-3"</f>
        <v>1-210-3</v>
      </c>
      <c r="F3800" t="s">
        <v>15</v>
      </c>
      <c r="G3800" t="s">
        <v>16</v>
      </c>
      <c r="H3800" t="s">
        <v>17</v>
      </c>
      <c r="I3800">
        <v>1</v>
      </c>
      <c r="J3800">
        <v>0</v>
      </c>
      <c r="K3800">
        <v>0</v>
      </c>
    </row>
    <row r="3801" spans="1:11" x14ac:dyDescent="0.25">
      <c r="A3801" t="str">
        <f>"4795"</f>
        <v>4795</v>
      </c>
      <c r="B3801" t="str">
        <f t="shared" si="245"/>
        <v>1</v>
      </c>
      <c r="C3801" t="str">
        <f t="shared" si="246"/>
        <v>210</v>
      </c>
      <c r="D3801" t="str">
        <f>"8"</f>
        <v>8</v>
      </c>
      <c r="E3801" t="str">
        <f>"1-210-8"</f>
        <v>1-210-8</v>
      </c>
      <c r="F3801" t="s">
        <v>15</v>
      </c>
      <c r="G3801" t="s">
        <v>16</v>
      </c>
      <c r="H3801" t="s">
        <v>17</v>
      </c>
      <c r="I3801">
        <v>0</v>
      </c>
      <c r="J3801">
        <v>1</v>
      </c>
      <c r="K3801">
        <v>0</v>
      </c>
    </row>
    <row r="3802" spans="1:11" x14ac:dyDescent="0.25">
      <c r="A3802" t="str">
        <f>"4796"</f>
        <v>4796</v>
      </c>
      <c r="B3802" t="str">
        <f t="shared" si="245"/>
        <v>1</v>
      </c>
      <c r="C3802" t="str">
        <f t="shared" si="246"/>
        <v>210</v>
      </c>
      <c r="D3802" t="str">
        <f>"1"</f>
        <v>1</v>
      </c>
      <c r="E3802" t="str">
        <f>"1-210-1"</f>
        <v>1-210-1</v>
      </c>
      <c r="F3802" t="s">
        <v>15</v>
      </c>
      <c r="G3802" t="s">
        <v>16</v>
      </c>
      <c r="H3802" t="s">
        <v>17</v>
      </c>
      <c r="I3802">
        <v>0</v>
      </c>
      <c r="J3802">
        <v>0</v>
      </c>
      <c r="K3802">
        <v>0</v>
      </c>
    </row>
    <row r="3803" spans="1:11" x14ac:dyDescent="0.25">
      <c r="A3803" t="str">
        <f>"4797"</f>
        <v>4797</v>
      </c>
      <c r="B3803" t="str">
        <f t="shared" si="245"/>
        <v>1</v>
      </c>
      <c r="C3803" t="str">
        <f t="shared" si="246"/>
        <v>210</v>
      </c>
      <c r="D3803" t="str">
        <f>"11"</f>
        <v>11</v>
      </c>
      <c r="E3803" t="str">
        <f>"1-210-11"</f>
        <v>1-210-11</v>
      </c>
      <c r="F3803" t="s">
        <v>15</v>
      </c>
      <c r="G3803" t="s">
        <v>16</v>
      </c>
      <c r="H3803" t="s">
        <v>17</v>
      </c>
      <c r="I3803">
        <v>0</v>
      </c>
      <c r="J3803">
        <v>0</v>
      </c>
      <c r="K3803">
        <v>0</v>
      </c>
    </row>
    <row r="3804" spans="1:11" x14ac:dyDescent="0.25">
      <c r="A3804" t="str">
        <f>"4798"</f>
        <v>4798</v>
      </c>
      <c r="B3804" t="str">
        <f t="shared" si="245"/>
        <v>1</v>
      </c>
      <c r="C3804" t="str">
        <f t="shared" si="246"/>
        <v>210</v>
      </c>
      <c r="D3804" t="str">
        <f>"10"</f>
        <v>10</v>
      </c>
      <c r="E3804" t="str">
        <f>"1-210-10"</f>
        <v>1-210-10</v>
      </c>
      <c r="F3804" t="s">
        <v>15</v>
      </c>
      <c r="G3804" t="s">
        <v>16</v>
      </c>
      <c r="H3804" t="s">
        <v>17</v>
      </c>
      <c r="I3804">
        <v>0</v>
      </c>
      <c r="J3804">
        <v>0</v>
      </c>
      <c r="K3804">
        <v>0</v>
      </c>
    </row>
    <row r="3805" spans="1:11" x14ac:dyDescent="0.25">
      <c r="A3805" t="str">
        <f>"4799"</f>
        <v>4799</v>
      </c>
      <c r="B3805" t="str">
        <f t="shared" si="245"/>
        <v>1</v>
      </c>
      <c r="C3805" t="str">
        <f t="shared" si="246"/>
        <v>210</v>
      </c>
      <c r="D3805" t="str">
        <f>"14"</f>
        <v>14</v>
      </c>
      <c r="E3805" t="str">
        <f>"1-210-14"</f>
        <v>1-210-14</v>
      </c>
      <c r="F3805" t="s">
        <v>15</v>
      </c>
      <c r="G3805" t="s">
        <v>16</v>
      </c>
      <c r="H3805" t="s">
        <v>17</v>
      </c>
      <c r="I3805">
        <v>0</v>
      </c>
      <c r="J3805">
        <v>0</v>
      </c>
      <c r="K3805">
        <v>0</v>
      </c>
    </row>
    <row r="3806" spans="1:11" x14ac:dyDescent="0.25">
      <c r="A3806" t="str">
        <f>"4805"</f>
        <v>4805</v>
      </c>
      <c r="B3806" t="str">
        <f t="shared" si="245"/>
        <v>1</v>
      </c>
      <c r="C3806" t="str">
        <f t="shared" ref="C3806:C3810" si="247">"211"</f>
        <v>211</v>
      </c>
      <c r="D3806" t="str">
        <f>"6"</f>
        <v>6</v>
      </c>
      <c r="E3806" t="str">
        <f>"1-211-6"</f>
        <v>1-211-6</v>
      </c>
      <c r="F3806" t="s">
        <v>15</v>
      </c>
      <c r="G3806" t="s">
        <v>16</v>
      </c>
      <c r="H3806" t="s">
        <v>17</v>
      </c>
      <c r="I3806">
        <v>0</v>
      </c>
      <c r="J3806">
        <v>1</v>
      </c>
      <c r="K3806">
        <v>0</v>
      </c>
    </row>
    <row r="3807" spans="1:11" x14ac:dyDescent="0.25">
      <c r="A3807" t="str">
        <f>"4806"</f>
        <v>4806</v>
      </c>
      <c r="B3807" t="str">
        <f t="shared" si="245"/>
        <v>1</v>
      </c>
      <c r="C3807" t="str">
        <f t="shared" si="247"/>
        <v>211</v>
      </c>
      <c r="D3807" t="str">
        <f>"7"</f>
        <v>7</v>
      </c>
      <c r="E3807" t="str">
        <f>"1-211-7"</f>
        <v>1-211-7</v>
      </c>
      <c r="F3807" t="s">
        <v>15</v>
      </c>
      <c r="G3807" t="s">
        <v>16</v>
      </c>
      <c r="H3807" t="s">
        <v>17</v>
      </c>
      <c r="I3807">
        <v>0</v>
      </c>
      <c r="J3807">
        <v>0</v>
      </c>
      <c r="K3807">
        <v>1</v>
      </c>
    </row>
    <row r="3808" spans="1:11" x14ac:dyDescent="0.25">
      <c r="A3808" t="str">
        <f>"4807"</f>
        <v>4807</v>
      </c>
      <c r="B3808" t="str">
        <f t="shared" si="245"/>
        <v>1</v>
      </c>
      <c r="C3808" t="str">
        <f t="shared" si="247"/>
        <v>211</v>
      </c>
      <c r="D3808" t="str">
        <f>"8"</f>
        <v>8</v>
      </c>
      <c r="E3808" t="str">
        <f>"1-211-8"</f>
        <v>1-211-8</v>
      </c>
      <c r="F3808" t="s">
        <v>15</v>
      </c>
      <c r="G3808" t="s">
        <v>16</v>
      </c>
      <c r="H3808" t="s">
        <v>17</v>
      </c>
      <c r="I3808">
        <v>0</v>
      </c>
      <c r="J3808">
        <v>0</v>
      </c>
      <c r="K3808">
        <v>1</v>
      </c>
    </row>
    <row r="3809" spans="1:11" x14ac:dyDescent="0.25">
      <c r="A3809" t="str">
        <f>"4808"</f>
        <v>4808</v>
      </c>
      <c r="B3809" t="str">
        <f t="shared" si="245"/>
        <v>1</v>
      </c>
      <c r="C3809" t="str">
        <f t="shared" si="247"/>
        <v>211</v>
      </c>
      <c r="D3809" t="str">
        <f>"10"</f>
        <v>10</v>
      </c>
      <c r="E3809" t="str">
        <f>"1-211-10"</f>
        <v>1-211-10</v>
      </c>
      <c r="F3809" t="s">
        <v>15</v>
      </c>
      <c r="G3809" t="s">
        <v>18</v>
      </c>
      <c r="H3809" t="s">
        <v>19</v>
      </c>
      <c r="I3809">
        <v>1</v>
      </c>
      <c r="J3809">
        <v>0</v>
      </c>
      <c r="K3809">
        <v>0</v>
      </c>
    </row>
    <row r="3810" spans="1:11" x14ac:dyDescent="0.25">
      <c r="A3810" t="str">
        <f>"4809"</f>
        <v>4809</v>
      </c>
      <c r="B3810" t="str">
        <f t="shared" si="245"/>
        <v>1</v>
      </c>
      <c r="C3810" t="str">
        <f t="shared" si="247"/>
        <v>211</v>
      </c>
      <c r="D3810" t="str">
        <f>"9"</f>
        <v>9</v>
      </c>
      <c r="E3810" t="str">
        <f>"1-211-9"</f>
        <v>1-211-9</v>
      </c>
      <c r="F3810" t="s">
        <v>15</v>
      </c>
      <c r="G3810" t="s">
        <v>18</v>
      </c>
      <c r="H3810" t="s">
        <v>19</v>
      </c>
      <c r="I3810">
        <v>0</v>
      </c>
      <c r="J3810">
        <v>0</v>
      </c>
      <c r="K3810">
        <v>0</v>
      </c>
    </row>
    <row r="3811" spans="1:11" x14ac:dyDescent="0.25">
      <c r="A3811" t="str">
        <f>"4810"</f>
        <v>4810</v>
      </c>
      <c r="B3811" t="str">
        <f t="shared" si="245"/>
        <v>1</v>
      </c>
      <c r="C3811" t="str">
        <f t="shared" ref="C3811:C3829" si="248">"212"</f>
        <v>212</v>
      </c>
      <c r="D3811" t="str">
        <f>"19"</f>
        <v>19</v>
      </c>
      <c r="E3811" t="str">
        <f>"1-212-19"</f>
        <v>1-212-19</v>
      </c>
      <c r="F3811" t="s">
        <v>15</v>
      </c>
      <c r="G3811" t="s">
        <v>18</v>
      </c>
      <c r="H3811" t="s">
        <v>19</v>
      </c>
      <c r="I3811">
        <v>1</v>
      </c>
      <c r="J3811">
        <v>0</v>
      </c>
      <c r="K3811">
        <v>0</v>
      </c>
    </row>
    <row r="3812" spans="1:11" x14ac:dyDescent="0.25">
      <c r="A3812" t="str">
        <f>"4811"</f>
        <v>4811</v>
      </c>
      <c r="B3812" t="str">
        <f t="shared" si="245"/>
        <v>1</v>
      </c>
      <c r="C3812" t="str">
        <f t="shared" si="248"/>
        <v>212</v>
      </c>
      <c r="D3812" t="str">
        <f>"15"</f>
        <v>15</v>
      </c>
      <c r="E3812" t="str">
        <f>"1-212-15"</f>
        <v>1-212-15</v>
      </c>
      <c r="F3812" t="s">
        <v>15</v>
      </c>
      <c r="G3812" t="s">
        <v>18</v>
      </c>
      <c r="H3812" t="s">
        <v>19</v>
      </c>
      <c r="I3812">
        <v>1</v>
      </c>
      <c r="J3812">
        <v>0</v>
      </c>
      <c r="K3812">
        <v>0</v>
      </c>
    </row>
    <row r="3813" spans="1:11" x14ac:dyDescent="0.25">
      <c r="A3813" t="str">
        <f>"4812"</f>
        <v>4812</v>
      </c>
      <c r="B3813" t="str">
        <f t="shared" si="245"/>
        <v>1</v>
      </c>
      <c r="C3813" t="str">
        <f t="shared" si="248"/>
        <v>212</v>
      </c>
      <c r="D3813" t="str">
        <f>"5"</f>
        <v>5</v>
      </c>
      <c r="E3813" t="str">
        <f>"1-212-5"</f>
        <v>1-212-5</v>
      </c>
      <c r="F3813" t="s">
        <v>15</v>
      </c>
      <c r="G3813" t="s">
        <v>16</v>
      </c>
      <c r="H3813" t="s">
        <v>17</v>
      </c>
      <c r="I3813">
        <v>0</v>
      </c>
      <c r="J3813">
        <v>0</v>
      </c>
      <c r="K3813">
        <v>1</v>
      </c>
    </row>
    <row r="3814" spans="1:11" x14ac:dyDescent="0.25">
      <c r="A3814" t="str">
        <f>"4813"</f>
        <v>4813</v>
      </c>
      <c r="B3814" t="str">
        <f t="shared" si="245"/>
        <v>1</v>
      </c>
      <c r="C3814" t="str">
        <f t="shared" si="248"/>
        <v>212</v>
      </c>
      <c r="D3814" t="str">
        <f>"17"</f>
        <v>17</v>
      </c>
      <c r="E3814" t="str">
        <f>"1-212-17"</f>
        <v>1-212-17</v>
      </c>
      <c r="F3814" t="s">
        <v>15</v>
      </c>
      <c r="G3814" t="s">
        <v>16</v>
      </c>
      <c r="H3814" t="s">
        <v>17</v>
      </c>
      <c r="I3814">
        <v>0</v>
      </c>
      <c r="J3814">
        <v>1</v>
      </c>
      <c r="K3814">
        <v>0</v>
      </c>
    </row>
    <row r="3815" spans="1:11" x14ac:dyDescent="0.25">
      <c r="A3815" t="str">
        <f>"4815"</f>
        <v>4815</v>
      </c>
      <c r="B3815" t="str">
        <f t="shared" si="245"/>
        <v>1</v>
      </c>
      <c r="C3815" t="str">
        <f t="shared" si="248"/>
        <v>212</v>
      </c>
      <c r="D3815" t="str">
        <f>"18"</f>
        <v>18</v>
      </c>
      <c r="E3815" t="str">
        <f>"1-212-18"</f>
        <v>1-212-18</v>
      </c>
      <c r="F3815" t="s">
        <v>15</v>
      </c>
      <c r="G3815" t="s">
        <v>16</v>
      </c>
      <c r="H3815" t="s">
        <v>17</v>
      </c>
      <c r="I3815">
        <v>0</v>
      </c>
      <c r="J3815">
        <v>1</v>
      </c>
      <c r="K3815">
        <v>0</v>
      </c>
    </row>
    <row r="3816" spans="1:11" x14ac:dyDescent="0.25">
      <c r="A3816" t="str">
        <f>"4817"</f>
        <v>4817</v>
      </c>
      <c r="B3816" t="str">
        <f t="shared" si="245"/>
        <v>1</v>
      </c>
      <c r="C3816" t="str">
        <f t="shared" si="248"/>
        <v>212</v>
      </c>
      <c r="D3816" t="str">
        <f>"20"</f>
        <v>20</v>
      </c>
      <c r="E3816" t="str">
        <f>"1-212-20"</f>
        <v>1-212-20</v>
      </c>
      <c r="F3816" t="s">
        <v>15</v>
      </c>
      <c r="G3816" t="s">
        <v>18</v>
      </c>
      <c r="H3816" t="s">
        <v>19</v>
      </c>
      <c r="I3816">
        <v>1</v>
      </c>
      <c r="J3816">
        <v>0</v>
      </c>
      <c r="K3816">
        <v>0</v>
      </c>
    </row>
    <row r="3817" spans="1:11" x14ac:dyDescent="0.25">
      <c r="A3817" t="str">
        <f>"4818"</f>
        <v>4818</v>
      </c>
      <c r="B3817" t="str">
        <f t="shared" si="245"/>
        <v>1</v>
      </c>
      <c r="C3817" t="str">
        <f t="shared" si="248"/>
        <v>212</v>
      </c>
      <c r="D3817" t="str">
        <f>"12"</f>
        <v>12</v>
      </c>
      <c r="E3817" t="str">
        <f>"1-212-12"</f>
        <v>1-212-12</v>
      </c>
      <c r="F3817" t="s">
        <v>15</v>
      </c>
      <c r="G3817" t="s">
        <v>20</v>
      </c>
      <c r="H3817" t="s">
        <v>21</v>
      </c>
      <c r="I3817">
        <v>0</v>
      </c>
      <c r="J3817">
        <v>1</v>
      </c>
      <c r="K3817">
        <v>0</v>
      </c>
    </row>
    <row r="3818" spans="1:11" x14ac:dyDescent="0.25">
      <c r="A3818" t="str">
        <f>"4820"</f>
        <v>4820</v>
      </c>
      <c r="B3818" t="str">
        <f t="shared" si="245"/>
        <v>1</v>
      </c>
      <c r="C3818" t="str">
        <f t="shared" si="248"/>
        <v>212</v>
      </c>
      <c r="D3818" t="str">
        <f>"14"</f>
        <v>14</v>
      </c>
      <c r="E3818" t="str">
        <f>"1-212-14"</f>
        <v>1-212-14</v>
      </c>
      <c r="F3818" t="s">
        <v>15</v>
      </c>
      <c r="G3818" t="s">
        <v>16</v>
      </c>
      <c r="H3818" t="s">
        <v>17</v>
      </c>
      <c r="I3818">
        <v>0</v>
      </c>
      <c r="J3818">
        <v>1</v>
      </c>
      <c r="K3818">
        <v>0</v>
      </c>
    </row>
    <row r="3819" spans="1:11" x14ac:dyDescent="0.25">
      <c r="A3819" t="str">
        <f>"4822"</f>
        <v>4822</v>
      </c>
      <c r="B3819" t="str">
        <f t="shared" si="245"/>
        <v>1</v>
      </c>
      <c r="C3819" t="str">
        <f t="shared" si="248"/>
        <v>212</v>
      </c>
      <c r="D3819" t="str">
        <f>"10"</f>
        <v>10</v>
      </c>
      <c r="E3819" t="str">
        <f>"1-212-10"</f>
        <v>1-212-10</v>
      </c>
      <c r="F3819" t="s">
        <v>15</v>
      </c>
      <c r="G3819" t="s">
        <v>16</v>
      </c>
      <c r="H3819" t="s">
        <v>17</v>
      </c>
      <c r="I3819">
        <v>0</v>
      </c>
      <c r="J3819">
        <v>1</v>
      </c>
      <c r="K3819">
        <v>0</v>
      </c>
    </row>
    <row r="3820" spans="1:11" x14ac:dyDescent="0.25">
      <c r="A3820" t="str">
        <f>"4823"</f>
        <v>4823</v>
      </c>
      <c r="B3820" t="str">
        <f t="shared" si="245"/>
        <v>1</v>
      </c>
      <c r="C3820" t="str">
        <f t="shared" si="248"/>
        <v>212</v>
      </c>
      <c r="D3820" t="str">
        <f>"23"</f>
        <v>23</v>
      </c>
      <c r="E3820" t="str">
        <f>"1-212-23"</f>
        <v>1-212-23</v>
      </c>
      <c r="F3820" t="s">
        <v>15</v>
      </c>
      <c r="G3820" t="s">
        <v>16</v>
      </c>
      <c r="H3820" t="s">
        <v>17</v>
      </c>
      <c r="I3820">
        <v>0</v>
      </c>
      <c r="J3820">
        <v>1</v>
      </c>
      <c r="K3820">
        <v>0</v>
      </c>
    </row>
    <row r="3821" spans="1:11" x14ac:dyDescent="0.25">
      <c r="A3821" t="str">
        <f>"4824"</f>
        <v>4824</v>
      </c>
      <c r="B3821" t="str">
        <f t="shared" si="245"/>
        <v>1</v>
      </c>
      <c r="C3821" t="str">
        <f t="shared" si="248"/>
        <v>212</v>
      </c>
      <c r="D3821" t="str">
        <f>"7"</f>
        <v>7</v>
      </c>
      <c r="E3821" t="str">
        <f>"1-212-7"</f>
        <v>1-212-7</v>
      </c>
      <c r="F3821" t="s">
        <v>15</v>
      </c>
      <c r="G3821" t="s">
        <v>16</v>
      </c>
      <c r="H3821" t="s">
        <v>17</v>
      </c>
      <c r="I3821">
        <v>0</v>
      </c>
      <c r="J3821">
        <v>0</v>
      </c>
      <c r="K3821">
        <v>1</v>
      </c>
    </row>
    <row r="3822" spans="1:11" x14ac:dyDescent="0.25">
      <c r="A3822" t="str">
        <f>"4825"</f>
        <v>4825</v>
      </c>
      <c r="B3822" t="str">
        <f t="shared" si="245"/>
        <v>1</v>
      </c>
      <c r="C3822" t="str">
        <f t="shared" si="248"/>
        <v>212</v>
      </c>
      <c r="D3822" t="str">
        <f>"8"</f>
        <v>8</v>
      </c>
      <c r="E3822" t="str">
        <f>"1-212-8"</f>
        <v>1-212-8</v>
      </c>
      <c r="F3822" t="s">
        <v>15</v>
      </c>
      <c r="G3822" t="s">
        <v>16</v>
      </c>
      <c r="H3822" t="s">
        <v>17</v>
      </c>
      <c r="I3822">
        <v>1</v>
      </c>
      <c r="J3822">
        <v>0</v>
      </c>
      <c r="K3822">
        <v>0</v>
      </c>
    </row>
    <row r="3823" spans="1:11" x14ac:dyDescent="0.25">
      <c r="A3823" t="str">
        <f>"4826"</f>
        <v>4826</v>
      </c>
      <c r="B3823" t="str">
        <f t="shared" ref="B3823:B3867" si="249">"1"</f>
        <v>1</v>
      </c>
      <c r="C3823" t="str">
        <f t="shared" si="248"/>
        <v>212</v>
      </c>
      <c r="D3823" t="str">
        <f>"2"</f>
        <v>2</v>
      </c>
      <c r="E3823" t="str">
        <f>"1-212-2"</f>
        <v>1-212-2</v>
      </c>
      <c r="F3823" t="s">
        <v>15</v>
      </c>
      <c r="G3823" t="s">
        <v>16</v>
      </c>
      <c r="H3823" t="s">
        <v>17</v>
      </c>
      <c r="I3823">
        <v>0</v>
      </c>
      <c r="J3823">
        <v>1</v>
      </c>
      <c r="K3823">
        <v>0</v>
      </c>
    </row>
    <row r="3824" spans="1:11" x14ac:dyDescent="0.25">
      <c r="A3824" t="str">
        <f>"4827"</f>
        <v>4827</v>
      </c>
      <c r="B3824" t="str">
        <f t="shared" si="249"/>
        <v>1</v>
      </c>
      <c r="C3824" t="str">
        <f t="shared" si="248"/>
        <v>212</v>
      </c>
      <c r="D3824" t="str">
        <f>"6"</f>
        <v>6</v>
      </c>
      <c r="E3824" t="str">
        <f>"1-212-6"</f>
        <v>1-212-6</v>
      </c>
      <c r="F3824" t="s">
        <v>15</v>
      </c>
      <c r="G3824" t="s">
        <v>16</v>
      </c>
      <c r="H3824" t="s">
        <v>17</v>
      </c>
      <c r="I3824">
        <v>0</v>
      </c>
      <c r="J3824">
        <v>0</v>
      </c>
      <c r="K3824">
        <v>1</v>
      </c>
    </row>
    <row r="3825" spans="1:11" x14ac:dyDescent="0.25">
      <c r="A3825" t="str">
        <f>"4828"</f>
        <v>4828</v>
      </c>
      <c r="B3825" t="str">
        <f t="shared" si="249"/>
        <v>1</v>
      </c>
      <c r="C3825" t="str">
        <f t="shared" si="248"/>
        <v>212</v>
      </c>
      <c r="D3825" t="str">
        <f>"11"</f>
        <v>11</v>
      </c>
      <c r="E3825" t="str">
        <f>"1-212-11"</f>
        <v>1-212-11</v>
      </c>
      <c r="F3825" t="s">
        <v>15</v>
      </c>
      <c r="G3825" t="s">
        <v>16</v>
      </c>
      <c r="H3825" t="s">
        <v>17</v>
      </c>
      <c r="I3825">
        <v>0</v>
      </c>
      <c r="J3825">
        <v>1</v>
      </c>
      <c r="K3825">
        <v>0</v>
      </c>
    </row>
    <row r="3826" spans="1:11" x14ac:dyDescent="0.25">
      <c r="A3826" t="str">
        <f>"4829"</f>
        <v>4829</v>
      </c>
      <c r="B3826" t="str">
        <f t="shared" si="249"/>
        <v>1</v>
      </c>
      <c r="C3826" t="str">
        <f t="shared" si="248"/>
        <v>212</v>
      </c>
      <c r="D3826" t="str">
        <f>"4"</f>
        <v>4</v>
      </c>
      <c r="E3826" t="str">
        <f>"1-212-4"</f>
        <v>1-212-4</v>
      </c>
      <c r="F3826" t="s">
        <v>15</v>
      </c>
      <c r="G3826" t="s">
        <v>16</v>
      </c>
      <c r="H3826" t="s">
        <v>17</v>
      </c>
      <c r="I3826">
        <v>0</v>
      </c>
      <c r="J3826">
        <v>1</v>
      </c>
      <c r="K3826">
        <v>0</v>
      </c>
    </row>
    <row r="3827" spans="1:11" x14ac:dyDescent="0.25">
      <c r="A3827" t="str">
        <f>"4830"</f>
        <v>4830</v>
      </c>
      <c r="B3827" t="str">
        <f t="shared" si="249"/>
        <v>1</v>
      </c>
      <c r="C3827" t="str">
        <f t="shared" si="248"/>
        <v>212</v>
      </c>
      <c r="D3827" t="str">
        <f>"9"</f>
        <v>9</v>
      </c>
      <c r="E3827" t="str">
        <f>"1-212-9"</f>
        <v>1-212-9</v>
      </c>
      <c r="F3827" t="s">
        <v>15</v>
      </c>
      <c r="G3827" t="s">
        <v>16</v>
      </c>
      <c r="H3827" t="s">
        <v>17</v>
      </c>
      <c r="I3827">
        <v>0</v>
      </c>
      <c r="J3827">
        <v>1</v>
      </c>
      <c r="K3827">
        <v>0</v>
      </c>
    </row>
    <row r="3828" spans="1:11" x14ac:dyDescent="0.25">
      <c r="A3828" t="str">
        <f>"4831"</f>
        <v>4831</v>
      </c>
      <c r="B3828" t="str">
        <f t="shared" si="249"/>
        <v>1</v>
      </c>
      <c r="C3828" t="str">
        <f t="shared" si="248"/>
        <v>212</v>
      </c>
      <c r="D3828" t="str">
        <f>"1"</f>
        <v>1</v>
      </c>
      <c r="E3828" t="str">
        <f>"1-212-1"</f>
        <v>1-212-1</v>
      </c>
      <c r="F3828" t="s">
        <v>15</v>
      </c>
      <c r="G3828" t="s">
        <v>18</v>
      </c>
      <c r="H3828" t="s">
        <v>19</v>
      </c>
      <c r="I3828">
        <v>0</v>
      </c>
      <c r="J3828">
        <v>0</v>
      </c>
      <c r="K3828">
        <v>0</v>
      </c>
    </row>
    <row r="3829" spans="1:11" x14ac:dyDescent="0.25">
      <c r="A3829" t="str">
        <f>"4832"</f>
        <v>4832</v>
      </c>
      <c r="B3829" t="str">
        <f t="shared" si="249"/>
        <v>1</v>
      </c>
      <c r="C3829" t="str">
        <f t="shared" si="248"/>
        <v>212</v>
      </c>
      <c r="D3829" t="str">
        <f>"16"</f>
        <v>16</v>
      </c>
      <c r="E3829" t="str">
        <f>"1-212-16"</f>
        <v>1-212-16</v>
      </c>
      <c r="F3829" t="s">
        <v>15</v>
      </c>
      <c r="G3829" t="s">
        <v>16</v>
      </c>
      <c r="H3829" t="s">
        <v>17</v>
      </c>
      <c r="I3829">
        <v>0</v>
      </c>
      <c r="J3829">
        <v>0</v>
      </c>
      <c r="K3829">
        <v>0</v>
      </c>
    </row>
    <row r="3830" spans="1:11" x14ac:dyDescent="0.25">
      <c r="A3830" t="str">
        <f>"4833"</f>
        <v>4833</v>
      </c>
      <c r="B3830" t="str">
        <f t="shared" si="249"/>
        <v>1</v>
      </c>
      <c r="C3830" t="str">
        <f t="shared" ref="C3830:C3850" si="250">"213"</f>
        <v>213</v>
      </c>
      <c r="D3830" t="str">
        <f>"6"</f>
        <v>6</v>
      </c>
      <c r="E3830" t="str">
        <f>"1-213-6"</f>
        <v>1-213-6</v>
      </c>
      <c r="F3830" t="s">
        <v>15</v>
      </c>
      <c r="G3830" t="s">
        <v>20</v>
      </c>
      <c r="H3830" t="s">
        <v>21</v>
      </c>
      <c r="I3830">
        <v>0</v>
      </c>
      <c r="J3830">
        <v>0</v>
      </c>
      <c r="K3830">
        <v>1</v>
      </c>
    </row>
    <row r="3831" spans="1:11" x14ac:dyDescent="0.25">
      <c r="A3831" t="str">
        <f>"4834"</f>
        <v>4834</v>
      </c>
      <c r="B3831" t="str">
        <f t="shared" si="249"/>
        <v>1</v>
      </c>
      <c r="C3831" t="str">
        <f t="shared" si="250"/>
        <v>213</v>
      </c>
      <c r="D3831" t="str">
        <f>"21"</f>
        <v>21</v>
      </c>
      <c r="E3831" t="str">
        <f>"1-213-21"</f>
        <v>1-213-21</v>
      </c>
      <c r="F3831" t="s">
        <v>15</v>
      </c>
      <c r="G3831" t="s">
        <v>20</v>
      </c>
      <c r="H3831" t="s">
        <v>21</v>
      </c>
      <c r="I3831">
        <v>0</v>
      </c>
      <c r="J3831">
        <v>1</v>
      </c>
      <c r="K3831">
        <v>0</v>
      </c>
    </row>
    <row r="3832" spans="1:11" x14ac:dyDescent="0.25">
      <c r="A3832" t="str">
        <f>"4835"</f>
        <v>4835</v>
      </c>
      <c r="B3832" t="str">
        <f t="shared" si="249"/>
        <v>1</v>
      </c>
      <c r="C3832" t="str">
        <f t="shared" si="250"/>
        <v>213</v>
      </c>
      <c r="D3832" t="str">
        <f>"3"</f>
        <v>3</v>
      </c>
      <c r="E3832" t="str">
        <f>"1-213-3"</f>
        <v>1-213-3</v>
      </c>
      <c r="F3832" t="s">
        <v>15</v>
      </c>
      <c r="G3832" t="s">
        <v>20</v>
      </c>
      <c r="H3832" t="s">
        <v>21</v>
      </c>
      <c r="I3832">
        <v>0</v>
      </c>
      <c r="J3832">
        <v>0</v>
      </c>
      <c r="K3832">
        <v>1</v>
      </c>
    </row>
    <row r="3833" spans="1:11" x14ac:dyDescent="0.25">
      <c r="A3833" t="str">
        <f>"4836"</f>
        <v>4836</v>
      </c>
      <c r="B3833" t="str">
        <f t="shared" si="249"/>
        <v>1</v>
      </c>
      <c r="C3833" t="str">
        <f t="shared" si="250"/>
        <v>213</v>
      </c>
      <c r="D3833" t="str">
        <f>"17"</f>
        <v>17</v>
      </c>
      <c r="E3833" t="str">
        <f>"1-213-17"</f>
        <v>1-213-17</v>
      </c>
      <c r="F3833" t="s">
        <v>15</v>
      </c>
      <c r="G3833" t="s">
        <v>20</v>
      </c>
      <c r="H3833" t="s">
        <v>21</v>
      </c>
      <c r="I3833">
        <v>0</v>
      </c>
      <c r="J3833">
        <v>1</v>
      </c>
      <c r="K3833">
        <v>0</v>
      </c>
    </row>
    <row r="3834" spans="1:11" x14ac:dyDescent="0.25">
      <c r="A3834" t="str">
        <f>"4837"</f>
        <v>4837</v>
      </c>
      <c r="B3834" t="str">
        <f t="shared" si="249"/>
        <v>1</v>
      </c>
      <c r="C3834" t="str">
        <f t="shared" si="250"/>
        <v>213</v>
      </c>
      <c r="D3834" t="str">
        <f>"1"</f>
        <v>1</v>
      </c>
      <c r="E3834" t="str">
        <f>"1-213-1"</f>
        <v>1-213-1</v>
      </c>
      <c r="F3834" t="s">
        <v>15</v>
      </c>
      <c r="G3834" t="s">
        <v>20</v>
      </c>
      <c r="H3834" t="s">
        <v>21</v>
      </c>
      <c r="I3834">
        <v>0</v>
      </c>
      <c r="J3834">
        <v>0</v>
      </c>
      <c r="K3834">
        <v>1</v>
      </c>
    </row>
    <row r="3835" spans="1:11" x14ac:dyDescent="0.25">
      <c r="A3835" t="str">
        <f>"4838"</f>
        <v>4838</v>
      </c>
      <c r="B3835" t="str">
        <f t="shared" si="249"/>
        <v>1</v>
      </c>
      <c r="C3835" t="str">
        <f t="shared" si="250"/>
        <v>213</v>
      </c>
      <c r="D3835" t="str">
        <f>"18"</f>
        <v>18</v>
      </c>
      <c r="E3835" t="str">
        <f>"1-213-18"</f>
        <v>1-213-18</v>
      </c>
      <c r="F3835" t="s">
        <v>15</v>
      </c>
      <c r="G3835" t="s">
        <v>20</v>
      </c>
      <c r="H3835" t="s">
        <v>21</v>
      </c>
      <c r="I3835">
        <v>0</v>
      </c>
      <c r="J3835">
        <v>0</v>
      </c>
      <c r="K3835">
        <v>1</v>
      </c>
    </row>
    <row r="3836" spans="1:11" x14ac:dyDescent="0.25">
      <c r="A3836" t="str">
        <f>"4839"</f>
        <v>4839</v>
      </c>
      <c r="B3836" t="str">
        <f t="shared" si="249"/>
        <v>1</v>
      </c>
      <c r="C3836" t="str">
        <f t="shared" si="250"/>
        <v>213</v>
      </c>
      <c r="D3836" t="str">
        <f>"13"</f>
        <v>13</v>
      </c>
      <c r="E3836" t="str">
        <f>"1-213-13"</f>
        <v>1-213-13</v>
      </c>
      <c r="F3836" t="s">
        <v>15</v>
      </c>
      <c r="G3836" t="s">
        <v>20</v>
      </c>
      <c r="H3836" t="s">
        <v>21</v>
      </c>
      <c r="I3836">
        <v>0</v>
      </c>
      <c r="J3836">
        <v>1</v>
      </c>
      <c r="K3836">
        <v>0</v>
      </c>
    </row>
    <row r="3837" spans="1:11" x14ac:dyDescent="0.25">
      <c r="A3837" t="str">
        <f>"4841"</f>
        <v>4841</v>
      </c>
      <c r="B3837" t="str">
        <f t="shared" si="249"/>
        <v>1</v>
      </c>
      <c r="C3837" t="str">
        <f t="shared" si="250"/>
        <v>213</v>
      </c>
      <c r="D3837" t="str">
        <f>"20"</f>
        <v>20</v>
      </c>
      <c r="E3837" t="str">
        <f>"1-213-20"</f>
        <v>1-213-20</v>
      </c>
      <c r="F3837" t="s">
        <v>15</v>
      </c>
      <c r="G3837" t="s">
        <v>20</v>
      </c>
      <c r="H3837" t="s">
        <v>21</v>
      </c>
      <c r="I3837">
        <v>0</v>
      </c>
      <c r="J3837">
        <v>0</v>
      </c>
      <c r="K3837">
        <v>1</v>
      </c>
    </row>
    <row r="3838" spans="1:11" x14ac:dyDescent="0.25">
      <c r="A3838" t="str">
        <f>"4843"</f>
        <v>4843</v>
      </c>
      <c r="B3838" t="str">
        <f t="shared" si="249"/>
        <v>1</v>
      </c>
      <c r="C3838" t="str">
        <f t="shared" si="250"/>
        <v>213</v>
      </c>
      <c r="D3838" t="str">
        <f>"22"</f>
        <v>22</v>
      </c>
      <c r="E3838" t="str">
        <f>"1-213-22"</f>
        <v>1-213-22</v>
      </c>
      <c r="F3838" t="s">
        <v>15</v>
      </c>
      <c r="G3838" t="s">
        <v>20</v>
      </c>
      <c r="H3838" t="s">
        <v>21</v>
      </c>
      <c r="I3838">
        <v>0</v>
      </c>
      <c r="J3838">
        <v>1</v>
      </c>
      <c r="K3838">
        <v>0</v>
      </c>
    </row>
    <row r="3839" spans="1:11" x14ac:dyDescent="0.25">
      <c r="A3839" t="str">
        <f>"4844"</f>
        <v>4844</v>
      </c>
      <c r="B3839" t="str">
        <f t="shared" si="249"/>
        <v>1</v>
      </c>
      <c r="C3839" t="str">
        <f t="shared" si="250"/>
        <v>213</v>
      </c>
      <c r="D3839" t="str">
        <f>"14"</f>
        <v>14</v>
      </c>
      <c r="E3839" t="str">
        <f>"1-213-14"</f>
        <v>1-213-14</v>
      </c>
      <c r="F3839" t="s">
        <v>15</v>
      </c>
      <c r="G3839" t="s">
        <v>20</v>
      </c>
      <c r="H3839" t="s">
        <v>21</v>
      </c>
      <c r="I3839">
        <v>0</v>
      </c>
      <c r="J3839">
        <v>0</v>
      </c>
      <c r="K3839">
        <v>1</v>
      </c>
    </row>
    <row r="3840" spans="1:11" x14ac:dyDescent="0.25">
      <c r="A3840" t="str">
        <f>"4845"</f>
        <v>4845</v>
      </c>
      <c r="B3840" t="str">
        <f t="shared" si="249"/>
        <v>1</v>
      </c>
      <c r="C3840" t="str">
        <f t="shared" si="250"/>
        <v>213</v>
      </c>
      <c r="D3840" t="str">
        <f>"23"</f>
        <v>23</v>
      </c>
      <c r="E3840" t="str">
        <f>"1-213-23"</f>
        <v>1-213-23</v>
      </c>
      <c r="F3840" t="s">
        <v>15</v>
      </c>
      <c r="G3840" t="s">
        <v>20</v>
      </c>
      <c r="H3840" t="s">
        <v>21</v>
      </c>
      <c r="I3840">
        <v>0</v>
      </c>
      <c r="J3840">
        <v>0</v>
      </c>
      <c r="K3840">
        <v>1</v>
      </c>
    </row>
    <row r="3841" spans="1:11" x14ac:dyDescent="0.25">
      <c r="A3841" t="str">
        <f>"4846"</f>
        <v>4846</v>
      </c>
      <c r="B3841" t="str">
        <f t="shared" si="249"/>
        <v>1</v>
      </c>
      <c r="C3841" t="str">
        <f t="shared" si="250"/>
        <v>213</v>
      </c>
      <c r="D3841" t="str">
        <f>"12"</f>
        <v>12</v>
      </c>
      <c r="E3841" t="str">
        <f>"1-213-12"</f>
        <v>1-213-12</v>
      </c>
      <c r="F3841" t="s">
        <v>15</v>
      </c>
      <c r="G3841" t="s">
        <v>20</v>
      </c>
      <c r="H3841" t="s">
        <v>21</v>
      </c>
      <c r="I3841">
        <v>1</v>
      </c>
      <c r="J3841">
        <v>0</v>
      </c>
      <c r="K3841">
        <v>0</v>
      </c>
    </row>
    <row r="3842" spans="1:11" x14ac:dyDescent="0.25">
      <c r="A3842" t="str">
        <f>"4848"</f>
        <v>4848</v>
      </c>
      <c r="B3842" t="str">
        <f t="shared" si="249"/>
        <v>1</v>
      </c>
      <c r="C3842" t="str">
        <f t="shared" si="250"/>
        <v>213</v>
      </c>
      <c r="D3842" t="str">
        <f>"7"</f>
        <v>7</v>
      </c>
      <c r="E3842" t="str">
        <f>"1-213-7"</f>
        <v>1-213-7</v>
      </c>
      <c r="F3842" t="s">
        <v>15</v>
      </c>
      <c r="G3842" t="s">
        <v>20</v>
      </c>
      <c r="H3842" t="s">
        <v>21</v>
      </c>
      <c r="I3842">
        <v>0</v>
      </c>
      <c r="J3842">
        <v>0</v>
      </c>
      <c r="K3842">
        <v>1</v>
      </c>
    </row>
    <row r="3843" spans="1:11" x14ac:dyDescent="0.25">
      <c r="A3843" t="str">
        <f>"4849"</f>
        <v>4849</v>
      </c>
      <c r="B3843" t="str">
        <f t="shared" si="249"/>
        <v>1</v>
      </c>
      <c r="C3843" t="str">
        <f t="shared" si="250"/>
        <v>213</v>
      </c>
      <c r="D3843" t="str">
        <f>"4"</f>
        <v>4</v>
      </c>
      <c r="E3843" t="str">
        <f>"1-213-4"</f>
        <v>1-213-4</v>
      </c>
      <c r="F3843" t="s">
        <v>15</v>
      </c>
      <c r="G3843" t="s">
        <v>20</v>
      </c>
      <c r="H3843" t="s">
        <v>21</v>
      </c>
      <c r="I3843">
        <v>0</v>
      </c>
      <c r="J3843">
        <v>0</v>
      </c>
      <c r="K3843">
        <v>1</v>
      </c>
    </row>
    <row r="3844" spans="1:11" x14ac:dyDescent="0.25">
      <c r="A3844" t="str">
        <f>"4850"</f>
        <v>4850</v>
      </c>
      <c r="B3844" t="str">
        <f t="shared" si="249"/>
        <v>1</v>
      </c>
      <c r="C3844" t="str">
        <f t="shared" si="250"/>
        <v>213</v>
      </c>
      <c r="D3844" t="str">
        <f>"8"</f>
        <v>8</v>
      </c>
      <c r="E3844" t="str">
        <f>"1-213-8"</f>
        <v>1-213-8</v>
      </c>
      <c r="F3844" t="s">
        <v>15</v>
      </c>
      <c r="G3844" t="s">
        <v>18</v>
      </c>
      <c r="H3844" t="s">
        <v>19</v>
      </c>
      <c r="I3844">
        <v>0</v>
      </c>
      <c r="J3844">
        <v>1</v>
      </c>
      <c r="K3844">
        <v>0</v>
      </c>
    </row>
    <row r="3845" spans="1:11" x14ac:dyDescent="0.25">
      <c r="A3845" t="str">
        <f>"4851"</f>
        <v>4851</v>
      </c>
      <c r="B3845" t="str">
        <f t="shared" si="249"/>
        <v>1</v>
      </c>
      <c r="C3845" t="str">
        <f t="shared" si="250"/>
        <v>213</v>
      </c>
      <c r="D3845" t="str">
        <f>"11"</f>
        <v>11</v>
      </c>
      <c r="E3845" t="str">
        <f>"1-213-11"</f>
        <v>1-213-11</v>
      </c>
      <c r="F3845" t="s">
        <v>15</v>
      </c>
      <c r="G3845" t="s">
        <v>20</v>
      </c>
      <c r="H3845" t="s">
        <v>21</v>
      </c>
      <c r="I3845">
        <v>0</v>
      </c>
      <c r="J3845">
        <v>0</v>
      </c>
      <c r="K3845">
        <v>1</v>
      </c>
    </row>
    <row r="3846" spans="1:11" x14ac:dyDescent="0.25">
      <c r="A3846" t="str">
        <f>"4852"</f>
        <v>4852</v>
      </c>
      <c r="B3846" t="str">
        <f t="shared" si="249"/>
        <v>1</v>
      </c>
      <c r="C3846" t="str">
        <f t="shared" si="250"/>
        <v>213</v>
      </c>
      <c r="D3846" t="str">
        <f>"5"</f>
        <v>5</v>
      </c>
      <c r="E3846" t="str">
        <f>"1-213-5"</f>
        <v>1-213-5</v>
      </c>
      <c r="F3846" t="s">
        <v>15</v>
      </c>
      <c r="G3846" t="s">
        <v>20</v>
      </c>
      <c r="H3846" t="s">
        <v>21</v>
      </c>
      <c r="I3846">
        <v>0</v>
      </c>
      <c r="J3846">
        <v>0</v>
      </c>
      <c r="K3846">
        <v>1</v>
      </c>
    </row>
    <row r="3847" spans="1:11" x14ac:dyDescent="0.25">
      <c r="A3847" t="str">
        <f>"4853"</f>
        <v>4853</v>
      </c>
      <c r="B3847" t="str">
        <f t="shared" si="249"/>
        <v>1</v>
      </c>
      <c r="C3847" t="str">
        <f t="shared" si="250"/>
        <v>213</v>
      </c>
      <c r="D3847" t="str">
        <f>"9"</f>
        <v>9</v>
      </c>
      <c r="E3847" t="str">
        <f>"1-213-9"</f>
        <v>1-213-9</v>
      </c>
      <c r="F3847" t="s">
        <v>15</v>
      </c>
      <c r="G3847" t="s">
        <v>20</v>
      </c>
      <c r="H3847" t="s">
        <v>21</v>
      </c>
      <c r="I3847">
        <v>0</v>
      </c>
      <c r="J3847">
        <v>1</v>
      </c>
      <c r="K3847">
        <v>0</v>
      </c>
    </row>
    <row r="3848" spans="1:11" x14ac:dyDescent="0.25">
      <c r="A3848" t="str">
        <f>"4854"</f>
        <v>4854</v>
      </c>
      <c r="B3848" t="str">
        <f t="shared" si="249"/>
        <v>1</v>
      </c>
      <c r="C3848" t="str">
        <f t="shared" si="250"/>
        <v>213</v>
      </c>
      <c r="D3848" t="str">
        <f>"15"</f>
        <v>15</v>
      </c>
      <c r="E3848" t="str">
        <f>"1-213-15"</f>
        <v>1-213-15</v>
      </c>
      <c r="F3848" t="s">
        <v>15</v>
      </c>
      <c r="G3848" t="s">
        <v>20</v>
      </c>
      <c r="H3848" t="s">
        <v>21</v>
      </c>
      <c r="I3848">
        <v>0</v>
      </c>
      <c r="J3848">
        <v>0</v>
      </c>
      <c r="K3848">
        <v>0</v>
      </c>
    </row>
    <row r="3849" spans="1:11" x14ac:dyDescent="0.25">
      <c r="A3849" t="str">
        <f>"4855"</f>
        <v>4855</v>
      </c>
      <c r="B3849" t="str">
        <f t="shared" si="249"/>
        <v>1</v>
      </c>
      <c r="C3849" t="str">
        <f t="shared" si="250"/>
        <v>213</v>
      </c>
      <c r="D3849" t="str">
        <f>"19"</f>
        <v>19</v>
      </c>
      <c r="E3849" t="str">
        <f>"1-213-19"</f>
        <v>1-213-19</v>
      </c>
      <c r="F3849" t="s">
        <v>15</v>
      </c>
      <c r="G3849" t="s">
        <v>20</v>
      </c>
      <c r="H3849" t="s">
        <v>21</v>
      </c>
      <c r="I3849">
        <v>0</v>
      </c>
      <c r="J3849">
        <v>0</v>
      </c>
      <c r="K3849">
        <v>0</v>
      </c>
    </row>
    <row r="3850" spans="1:11" x14ac:dyDescent="0.25">
      <c r="A3850" t="str">
        <f>"4856"</f>
        <v>4856</v>
      </c>
      <c r="B3850" t="str">
        <f t="shared" si="249"/>
        <v>1</v>
      </c>
      <c r="C3850" t="str">
        <f t="shared" si="250"/>
        <v>213</v>
      </c>
      <c r="D3850" t="str">
        <f>"16"</f>
        <v>16</v>
      </c>
      <c r="E3850" t="str">
        <f>"1-213-16"</f>
        <v>1-213-16</v>
      </c>
      <c r="F3850" t="s">
        <v>15</v>
      </c>
      <c r="G3850" t="s">
        <v>20</v>
      </c>
      <c r="H3850" t="s">
        <v>21</v>
      </c>
      <c r="I3850">
        <v>0</v>
      </c>
      <c r="J3850">
        <v>0</v>
      </c>
      <c r="K3850">
        <v>0</v>
      </c>
    </row>
    <row r="3851" spans="1:11" x14ac:dyDescent="0.25">
      <c r="A3851" t="str">
        <f>"4857"</f>
        <v>4857</v>
      </c>
      <c r="B3851" t="str">
        <f t="shared" si="249"/>
        <v>1</v>
      </c>
      <c r="C3851" t="str">
        <f t="shared" ref="C3851:C3867" si="251">"214"</f>
        <v>214</v>
      </c>
      <c r="D3851" t="str">
        <f>"20"</f>
        <v>20</v>
      </c>
      <c r="E3851" t="str">
        <f>"1-214-20"</f>
        <v>1-214-20</v>
      </c>
      <c r="F3851" t="s">
        <v>15</v>
      </c>
      <c r="G3851" t="s">
        <v>18</v>
      </c>
      <c r="H3851" t="s">
        <v>19</v>
      </c>
      <c r="I3851">
        <v>0</v>
      </c>
      <c r="J3851">
        <v>1</v>
      </c>
      <c r="K3851">
        <v>0</v>
      </c>
    </row>
    <row r="3852" spans="1:11" x14ac:dyDescent="0.25">
      <c r="A3852" t="str">
        <f>"4860"</f>
        <v>4860</v>
      </c>
      <c r="B3852" t="str">
        <f t="shared" si="249"/>
        <v>1</v>
      </c>
      <c r="C3852" t="str">
        <f t="shared" si="251"/>
        <v>214</v>
      </c>
      <c r="D3852" t="str">
        <f>"21"</f>
        <v>21</v>
      </c>
      <c r="E3852" t="str">
        <f>"1-214-21"</f>
        <v>1-214-21</v>
      </c>
      <c r="F3852" t="s">
        <v>15</v>
      </c>
      <c r="G3852" t="s">
        <v>16</v>
      </c>
      <c r="H3852" t="s">
        <v>17</v>
      </c>
      <c r="I3852">
        <v>0</v>
      </c>
      <c r="J3852">
        <v>1</v>
      </c>
      <c r="K3852">
        <v>0</v>
      </c>
    </row>
    <row r="3853" spans="1:11" x14ac:dyDescent="0.25">
      <c r="A3853" t="str">
        <f>"4862"</f>
        <v>4862</v>
      </c>
      <c r="B3853" t="str">
        <f t="shared" si="249"/>
        <v>1</v>
      </c>
      <c r="C3853" t="str">
        <f t="shared" si="251"/>
        <v>214</v>
      </c>
      <c r="D3853" t="str">
        <f>"8"</f>
        <v>8</v>
      </c>
      <c r="E3853" t="str">
        <f>"1-214-8"</f>
        <v>1-214-8</v>
      </c>
      <c r="F3853" t="s">
        <v>15</v>
      </c>
      <c r="G3853" t="s">
        <v>16</v>
      </c>
      <c r="H3853" t="s">
        <v>17</v>
      </c>
      <c r="I3853">
        <v>0</v>
      </c>
      <c r="J3853">
        <v>0</v>
      </c>
      <c r="K3853">
        <v>1</v>
      </c>
    </row>
    <row r="3854" spans="1:11" x14ac:dyDescent="0.25">
      <c r="A3854" t="str">
        <f>"4863"</f>
        <v>4863</v>
      </c>
      <c r="B3854" t="str">
        <f t="shared" si="249"/>
        <v>1</v>
      </c>
      <c r="C3854" t="str">
        <f t="shared" si="251"/>
        <v>214</v>
      </c>
      <c r="D3854" t="str">
        <f>"17"</f>
        <v>17</v>
      </c>
      <c r="E3854" t="str">
        <f>"1-214-17"</f>
        <v>1-214-17</v>
      </c>
      <c r="F3854" t="s">
        <v>15</v>
      </c>
      <c r="G3854" t="s">
        <v>18</v>
      </c>
      <c r="H3854" t="s">
        <v>19</v>
      </c>
      <c r="I3854">
        <v>1</v>
      </c>
      <c r="J3854">
        <v>0</v>
      </c>
      <c r="K3854">
        <v>0</v>
      </c>
    </row>
    <row r="3855" spans="1:11" x14ac:dyDescent="0.25">
      <c r="A3855" t="str">
        <f>"4864"</f>
        <v>4864</v>
      </c>
      <c r="B3855" t="str">
        <f t="shared" si="249"/>
        <v>1</v>
      </c>
      <c r="C3855" t="str">
        <f t="shared" si="251"/>
        <v>214</v>
      </c>
      <c r="D3855" t="str">
        <f>"1"</f>
        <v>1</v>
      </c>
      <c r="E3855" t="str">
        <f>"1-214-1"</f>
        <v>1-214-1</v>
      </c>
      <c r="F3855" t="s">
        <v>15</v>
      </c>
      <c r="G3855" t="s">
        <v>16</v>
      </c>
      <c r="H3855" t="s">
        <v>17</v>
      </c>
      <c r="I3855">
        <v>0</v>
      </c>
      <c r="J3855">
        <v>1</v>
      </c>
      <c r="K3855">
        <v>0</v>
      </c>
    </row>
    <row r="3856" spans="1:11" x14ac:dyDescent="0.25">
      <c r="A3856" t="str">
        <f>"4865"</f>
        <v>4865</v>
      </c>
      <c r="B3856" t="str">
        <f t="shared" si="249"/>
        <v>1</v>
      </c>
      <c r="C3856" t="str">
        <f t="shared" si="251"/>
        <v>214</v>
      </c>
      <c r="D3856" t="str">
        <f>"18"</f>
        <v>18</v>
      </c>
      <c r="E3856" t="str">
        <f>"1-214-18"</f>
        <v>1-214-18</v>
      </c>
      <c r="F3856" t="s">
        <v>15</v>
      </c>
      <c r="G3856" t="s">
        <v>16</v>
      </c>
      <c r="H3856" t="s">
        <v>17</v>
      </c>
      <c r="I3856">
        <v>1</v>
      </c>
      <c r="J3856">
        <v>0</v>
      </c>
      <c r="K3856">
        <v>0</v>
      </c>
    </row>
    <row r="3857" spans="1:11" x14ac:dyDescent="0.25">
      <c r="A3857" t="str">
        <f>"4866"</f>
        <v>4866</v>
      </c>
      <c r="B3857" t="str">
        <f t="shared" si="249"/>
        <v>1</v>
      </c>
      <c r="C3857" t="str">
        <f t="shared" si="251"/>
        <v>214</v>
      </c>
      <c r="D3857" t="str">
        <f>"13"</f>
        <v>13</v>
      </c>
      <c r="E3857" t="str">
        <f>"1-214-13"</f>
        <v>1-214-13</v>
      </c>
      <c r="F3857" t="s">
        <v>15</v>
      </c>
      <c r="G3857" t="s">
        <v>16</v>
      </c>
      <c r="H3857" t="s">
        <v>17</v>
      </c>
      <c r="I3857">
        <v>0</v>
      </c>
      <c r="J3857">
        <v>1</v>
      </c>
      <c r="K3857">
        <v>0</v>
      </c>
    </row>
    <row r="3858" spans="1:11" x14ac:dyDescent="0.25">
      <c r="A3858" t="str">
        <f>"4867"</f>
        <v>4867</v>
      </c>
      <c r="B3858" t="str">
        <f t="shared" si="249"/>
        <v>1</v>
      </c>
      <c r="C3858" t="str">
        <f t="shared" si="251"/>
        <v>214</v>
      </c>
      <c r="D3858" t="str">
        <f>"19"</f>
        <v>19</v>
      </c>
      <c r="E3858" t="str">
        <f>"1-214-19"</f>
        <v>1-214-19</v>
      </c>
      <c r="F3858" t="s">
        <v>15</v>
      </c>
      <c r="G3858" t="s">
        <v>18</v>
      </c>
      <c r="H3858" t="s">
        <v>19</v>
      </c>
      <c r="I3858">
        <v>0</v>
      </c>
      <c r="J3858">
        <v>1</v>
      </c>
      <c r="K3858">
        <v>0</v>
      </c>
    </row>
    <row r="3859" spans="1:11" x14ac:dyDescent="0.25">
      <c r="A3859" t="str">
        <f>"4869"</f>
        <v>4869</v>
      </c>
      <c r="B3859" t="str">
        <f t="shared" si="249"/>
        <v>1</v>
      </c>
      <c r="C3859" t="str">
        <f t="shared" si="251"/>
        <v>214</v>
      </c>
      <c r="D3859" t="str">
        <f>"14"</f>
        <v>14</v>
      </c>
      <c r="E3859" t="str">
        <f>"1-214-14"</f>
        <v>1-214-14</v>
      </c>
      <c r="F3859" t="s">
        <v>15</v>
      </c>
      <c r="G3859" t="s">
        <v>16</v>
      </c>
      <c r="H3859" t="s">
        <v>17</v>
      </c>
      <c r="I3859">
        <v>0</v>
      </c>
      <c r="J3859">
        <v>1</v>
      </c>
      <c r="K3859">
        <v>0</v>
      </c>
    </row>
    <row r="3860" spans="1:11" x14ac:dyDescent="0.25">
      <c r="A3860" t="str">
        <f>"4870"</f>
        <v>4870</v>
      </c>
      <c r="B3860" t="str">
        <f t="shared" si="249"/>
        <v>1</v>
      </c>
      <c r="C3860" t="str">
        <f t="shared" si="251"/>
        <v>214</v>
      </c>
      <c r="D3860" t="str">
        <f>"9"</f>
        <v>9</v>
      </c>
      <c r="E3860" t="str">
        <f>"1-214-9"</f>
        <v>1-214-9</v>
      </c>
      <c r="F3860" t="s">
        <v>15</v>
      </c>
      <c r="G3860" t="s">
        <v>16</v>
      </c>
      <c r="H3860" t="s">
        <v>17</v>
      </c>
      <c r="I3860">
        <v>0</v>
      </c>
      <c r="J3860">
        <v>0</v>
      </c>
      <c r="K3860">
        <v>1</v>
      </c>
    </row>
    <row r="3861" spans="1:11" x14ac:dyDescent="0.25">
      <c r="A3861" t="str">
        <f>"4871"</f>
        <v>4871</v>
      </c>
      <c r="B3861" t="str">
        <f t="shared" si="249"/>
        <v>1</v>
      </c>
      <c r="C3861" t="str">
        <f t="shared" si="251"/>
        <v>214</v>
      </c>
      <c r="D3861" t="str">
        <f>"2"</f>
        <v>2</v>
      </c>
      <c r="E3861" t="str">
        <f>"1-214-2"</f>
        <v>1-214-2</v>
      </c>
      <c r="F3861" t="s">
        <v>15</v>
      </c>
      <c r="G3861" t="s">
        <v>16</v>
      </c>
      <c r="H3861" t="s">
        <v>17</v>
      </c>
      <c r="I3861">
        <v>1</v>
      </c>
      <c r="J3861">
        <v>0</v>
      </c>
      <c r="K3861">
        <v>0</v>
      </c>
    </row>
    <row r="3862" spans="1:11" x14ac:dyDescent="0.25">
      <c r="A3862" t="str">
        <f>"4872"</f>
        <v>4872</v>
      </c>
      <c r="B3862" t="str">
        <f t="shared" si="249"/>
        <v>1</v>
      </c>
      <c r="C3862" t="str">
        <f t="shared" si="251"/>
        <v>214</v>
      </c>
      <c r="D3862" t="str">
        <f>"12"</f>
        <v>12</v>
      </c>
      <c r="E3862" t="str">
        <f>"1-214-12"</f>
        <v>1-214-12</v>
      </c>
      <c r="F3862" t="s">
        <v>15</v>
      </c>
      <c r="G3862" t="s">
        <v>16</v>
      </c>
      <c r="H3862" t="s">
        <v>17</v>
      </c>
      <c r="I3862">
        <v>1</v>
      </c>
      <c r="J3862">
        <v>0</v>
      </c>
      <c r="K3862">
        <v>0</v>
      </c>
    </row>
    <row r="3863" spans="1:11" x14ac:dyDescent="0.25">
      <c r="A3863" t="str">
        <f>"4873"</f>
        <v>4873</v>
      </c>
      <c r="B3863" t="str">
        <f t="shared" si="249"/>
        <v>1</v>
      </c>
      <c r="C3863" t="str">
        <f t="shared" si="251"/>
        <v>214</v>
      </c>
      <c r="D3863" t="str">
        <f>"11"</f>
        <v>11</v>
      </c>
      <c r="E3863" t="str">
        <f>"1-214-11"</f>
        <v>1-214-11</v>
      </c>
      <c r="F3863" t="s">
        <v>15</v>
      </c>
      <c r="G3863" t="s">
        <v>16</v>
      </c>
      <c r="H3863" t="s">
        <v>17</v>
      </c>
      <c r="I3863">
        <v>0</v>
      </c>
      <c r="J3863">
        <v>1</v>
      </c>
      <c r="K3863">
        <v>0</v>
      </c>
    </row>
    <row r="3864" spans="1:11" x14ac:dyDescent="0.25">
      <c r="A3864" t="str">
        <f>"4874"</f>
        <v>4874</v>
      </c>
      <c r="B3864" t="str">
        <f t="shared" si="249"/>
        <v>1</v>
      </c>
      <c r="C3864" t="str">
        <f t="shared" si="251"/>
        <v>214</v>
      </c>
      <c r="D3864" t="str">
        <f>"10"</f>
        <v>10</v>
      </c>
      <c r="E3864" t="str">
        <f>"1-214-10"</f>
        <v>1-214-10</v>
      </c>
      <c r="F3864" t="s">
        <v>15</v>
      </c>
      <c r="G3864" t="s">
        <v>16</v>
      </c>
      <c r="H3864" t="s">
        <v>17</v>
      </c>
      <c r="I3864">
        <v>0</v>
      </c>
      <c r="J3864">
        <v>1</v>
      </c>
      <c r="K3864">
        <v>0</v>
      </c>
    </row>
    <row r="3865" spans="1:11" x14ac:dyDescent="0.25">
      <c r="A3865" t="str">
        <f>"4875"</f>
        <v>4875</v>
      </c>
      <c r="B3865" t="str">
        <f t="shared" si="249"/>
        <v>1</v>
      </c>
      <c r="C3865" t="str">
        <f t="shared" si="251"/>
        <v>214</v>
      </c>
      <c r="D3865" t="str">
        <f>"3"</f>
        <v>3</v>
      </c>
      <c r="E3865" t="str">
        <f>"1-214-3"</f>
        <v>1-214-3</v>
      </c>
      <c r="F3865" t="s">
        <v>15</v>
      </c>
      <c r="G3865" t="s">
        <v>16</v>
      </c>
      <c r="H3865" t="s">
        <v>17</v>
      </c>
      <c r="I3865">
        <v>0</v>
      </c>
      <c r="J3865">
        <v>0</v>
      </c>
      <c r="K3865">
        <v>1</v>
      </c>
    </row>
    <row r="3866" spans="1:11" x14ac:dyDescent="0.25">
      <c r="A3866" t="str">
        <f>"4876"</f>
        <v>4876</v>
      </c>
      <c r="B3866" t="str">
        <f t="shared" si="249"/>
        <v>1</v>
      </c>
      <c r="C3866" t="str">
        <f t="shared" si="251"/>
        <v>214</v>
      </c>
      <c r="D3866" t="str">
        <f>"4"</f>
        <v>4</v>
      </c>
      <c r="E3866" t="str">
        <f>"1-214-4"</f>
        <v>1-214-4</v>
      </c>
      <c r="F3866" t="s">
        <v>15</v>
      </c>
      <c r="G3866" t="s">
        <v>16</v>
      </c>
      <c r="H3866" t="s">
        <v>17</v>
      </c>
      <c r="I3866">
        <v>0</v>
      </c>
      <c r="J3866">
        <v>1</v>
      </c>
      <c r="K3866">
        <v>0</v>
      </c>
    </row>
    <row r="3867" spans="1:11" x14ac:dyDescent="0.25">
      <c r="A3867" t="str">
        <f>"4877"</f>
        <v>4877</v>
      </c>
      <c r="B3867" t="str">
        <f t="shared" si="249"/>
        <v>1</v>
      </c>
      <c r="C3867" t="str">
        <f t="shared" si="251"/>
        <v>214</v>
      </c>
      <c r="D3867" t="str">
        <f>"7"</f>
        <v>7</v>
      </c>
      <c r="E3867" t="str">
        <f>"1-214-7"</f>
        <v>1-214-7</v>
      </c>
      <c r="F3867" t="s">
        <v>15</v>
      </c>
      <c r="G3867" t="s">
        <v>16</v>
      </c>
      <c r="H3867" t="s">
        <v>17</v>
      </c>
      <c r="I3867">
        <v>0</v>
      </c>
      <c r="J3867">
        <v>1</v>
      </c>
      <c r="K3867">
        <v>0</v>
      </c>
    </row>
    <row r="3868" spans="1:11" x14ac:dyDescent="0.25">
      <c r="A3868" t="str">
        <f>"4904"</f>
        <v>4904</v>
      </c>
      <c r="B3868" t="str">
        <f t="shared" ref="B3868:B3915" si="252">"1"</f>
        <v>1</v>
      </c>
      <c r="C3868" t="str">
        <f t="shared" ref="C3868:C3892" si="253">"216"</f>
        <v>216</v>
      </c>
      <c r="D3868" t="str">
        <f>"21"</f>
        <v>21</v>
      </c>
      <c r="E3868" t="str">
        <f>"1-216-21"</f>
        <v>1-216-21</v>
      </c>
      <c r="F3868" t="s">
        <v>15</v>
      </c>
      <c r="G3868" t="s">
        <v>16</v>
      </c>
      <c r="H3868" t="s">
        <v>17</v>
      </c>
      <c r="I3868">
        <v>1</v>
      </c>
      <c r="J3868">
        <v>0</v>
      </c>
      <c r="K3868">
        <v>0</v>
      </c>
    </row>
    <row r="3869" spans="1:11" x14ac:dyDescent="0.25">
      <c r="A3869" t="str">
        <f>"4905"</f>
        <v>4905</v>
      </c>
      <c r="B3869" t="str">
        <f t="shared" si="252"/>
        <v>1</v>
      </c>
      <c r="C3869" t="str">
        <f t="shared" si="253"/>
        <v>216</v>
      </c>
      <c r="D3869" t="str">
        <f>"20"</f>
        <v>20</v>
      </c>
      <c r="E3869" t="str">
        <f>"1-216-20"</f>
        <v>1-216-20</v>
      </c>
      <c r="F3869" t="s">
        <v>15</v>
      </c>
      <c r="G3869" t="s">
        <v>20</v>
      </c>
      <c r="H3869" t="s">
        <v>21</v>
      </c>
      <c r="I3869">
        <v>1</v>
      </c>
      <c r="J3869">
        <v>0</v>
      </c>
      <c r="K3869">
        <v>0</v>
      </c>
    </row>
    <row r="3870" spans="1:11" x14ac:dyDescent="0.25">
      <c r="A3870" t="str">
        <f>"4906"</f>
        <v>4906</v>
      </c>
      <c r="B3870" t="str">
        <f t="shared" si="252"/>
        <v>1</v>
      </c>
      <c r="C3870" t="str">
        <f t="shared" si="253"/>
        <v>216</v>
      </c>
      <c r="D3870" t="str">
        <f>"17"</f>
        <v>17</v>
      </c>
      <c r="E3870" t="str">
        <f>"1-216-17"</f>
        <v>1-216-17</v>
      </c>
      <c r="F3870" t="s">
        <v>15</v>
      </c>
      <c r="G3870" t="s">
        <v>16</v>
      </c>
      <c r="H3870" t="s">
        <v>17</v>
      </c>
      <c r="I3870">
        <v>1</v>
      </c>
      <c r="J3870">
        <v>0</v>
      </c>
      <c r="K3870">
        <v>0</v>
      </c>
    </row>
    <row r="3871" spans="1:11" x14ac:dyDescent="0.25">
      <c r="A3871" t="str">
        <f>"4907"</f>
        <v>4907</v>
      </c>
      <c r="B3871" t="str">
        <f t="shared" si="252"/>
        <v>1</v>
      </c>
      <c r="C3871" t="str">
        <f t="shared" si="253"/>
        <v>216</v>
      </c>
      <c r="D3871" t="str">
        <f>"15"</f>
        <v>15</v>
      </c>
      <c r="E3871" t="str">
        <f>"1-216-15"</f>
        <v>1-216-15</v>
      </c>
      <c r="F3871" t="s">
        <v>15</v>
      </c>
      <c r="G3871" t="s">
        <v>16</v>
      </c>
      <c r="H3871" t="s">
        <v>17</v>
      </c>
      <c r="I3871">
        <v>0</v>
      </c>
      <c r="J3871">
        <v>1</v>
      </c>
      <c r="K3871">
        <v>0</v>
      </c>
    </row>
    <row r="3872" spans="1:11" x14ac:dyDescent="0.25">
      <c r="A3872" t="str">
        <f>"4908"</f>
        <v>4908</v>
      </c>
      <c r="B3872" t="str">
        <f t="shared" si="252"/>
        <v>1</v>
      </c>
      <c r="C3872" t="str">
        <f t="shared" si="253"/>
        <v>216</v>
      </c>
      <c r="D3872" t="str">
        <f>"1"</f>
        <v>1</v>
      </c>
      <c r="E3872" t="str">
        <f>"1-216-1"</f>
        <v>1-216-1</v>
      </c>
      <c r="F3872" t="s">
        <v>15</v>
      </c>
      <c r="G3872" t="s">
        <v>16</v>
      </c>
      <c r="H3872" t="s">
        <v>17</v>
      </c>
      <c r="I3872">
        <v>0</v>
      </c>
      <c r="J3872">
        <v>1</v>
      </c>
      <c r="K3872">
        <v>0</v>
      </c>
    </row>
    <row r="3873" spans="1:11" x14ac:dyDescent="0.25">
      <c r="A3873" t="str">
        <f>"4909"</f>
        <v>4909</v>
      </c>
      <c r="B3873" t="str">
        <f t="shared" si="252"/>
        <v>1</v>
      </c>
      <c r="C3873" t="str">
        <f t="shared" si="253"/>
        <v>216</v>
      </c>
      <c r="D3873" t="str">
        <f>"22"</f>
        <v>22</v>
      </c>
      <c r="E3873" t="str">
        <f>"1-216-22"</f>
        <v>1-216-22</v>
      </c>
      <c r="F3873" t="s">
        <v>15</v>
      </c>
      <c r="G3873" t="s">
        <v>16</v>
      </c>
      <c r="H3873" t="s">
        <v>17</v>
      </c>
      <c r="I3873">
        <v>0</v>
      </c>
      <c r="J3873">
        <v>0</v>
      </c>
      <c r="K3873">
        <v>1</v>
      </c>
    </row>
    <row r="3874" spans="1:11" x14ac:dyDescent="0.25">
      <c r="A3874" t="str">
        <f>"4910"</f>
        <v>4910</v>
      </c>
      <c r="B3874" t="str">
        <f t="shared" si="252"/>
        <v>1</v>
      </c>
      <c r="C3874" t="str">
        <f t="shared" si="253"/>
        <v>216</v>
      </c>
      <c r="D3874" t="str">
        <f>"16"</f>
        <v>16</v>
      </c>
      <c r="E3874" t="str">
        <f>"1-216-16"</f>
        <v>1-216-16</v>
      </c>
      <c r="F3874" t="s">
        <v>15</v>
      </c>
      <c r="G3874" t="s">
        <v>16</v>
      </c>
      <c r="H3874" t="s">
        <v>17</v>
      </c>
      <c r="I3874">
        <v>0</v>
      </c>
      <c r="J3874">
        <v>1</v>
      </c>
      <c r="K3874">
        <v>0</v>
      </c>
    </row>
    <row r="3875" spans="1:11" x14ac:dyDescent="0.25">
      <c r="A3875" t="str">
        <f>"4911"</f>
        <v>4911</v>
      </c>
      <c r="B3875" t="str">
        <f t="shared" si="252"/>
        <v>1</v>
      </c>
      <c r="C3875" t="str">
        <f t="shared" si="253"/>
        <v>216</v>
      </c>
      <c r="D3875" t="str">
        <f>"3"</f>
        <v>3</v>
      </c>
      <c r="E3875" t="str">
        <f>"1-216-3"</f>
        <v>1-216-3</v>
      </c>
      <c r="F3875" t="s">
        <v>15</v>
      </c>
      <c r="G3875" t="s">
        <v>18</v>
      </c>
      <c r="H3875" t="s">
        <v>19</v>
      </c>
      <c r="I3875">
        <v>1</v>
      </c>
      <c r="J3875">
        <v>0</v>
      </c>
      <c r="K3875">
        <v>0</v>
      </c>
    </row>
    <row r="3876" spans="1:11" x14ac:dyDescent="0.25">
      <c r="A3876" t="str">
        <f>"4912"</f>
        <v>4912</v>
      </c>
      <c r="B3876" t="str">
        <f t="shared" si="252"/>
        <v>1</v>
      </c>
      <c r="C3876" t="str">
        <f t="shared" si="253"/>
        <v>216</v>
      </c>
      <c r="D3876" t="str">
        <f>"18"</f>
        <v>18</v>
      </c>
      <c r="E3876" t="str">
        <f>"1-216-18"</f>
        <v>1-216-18</v>
      </c>
      <c r="F3876" t="s">
        <v>15</v>
      </c>
      <c r="G3876" t="s">
        <v>16</v>
      </c>
      <c r="H3876" t="s">
        <v>17</v>
      </c>
      <c r="I3876">
        <v>0</v>
      </c>
      <c r="J3876">
        <v>0</v>
      </c>
      <c r="K3876">
        <v>1</v>
      </c>
    </row>
    <row r="3877" spans="1:11" x14ac:dyDescent="0.25">
      <c r="A3877" t="str">
        <f>"4913"</f>
        <v>4913</v>
      </c>
      <c r="B3877" t="str">
        <f t="shared" si="252"/>
        <v>1</v>
      </c>
      <c r="C3877" t="str">
        <f t="shared" si="253"/>
        <v>216</v>
      </c>
      <c r="D3877" t="str">
        <f>"12"</f>
        <v>12</v>
      </c>
      <c r="E3877" t="str">
        <f>"1-216-12"</f>
        <v>1-216-12</v>
      </c>
      <c r="F3877" t="s">
        <v>15</v>
      </c>
      <c r="G3877" t="s">
        <v>16</v>
      </c>
      <c r="H3877" t="s">
        <v>17</v>
      </c>
      <c r="I3877">
        <v>1</v>
      </c>
      <c r="J3877">
        <v>0</v>
      </c>
      <c r="K3877">
        <v>0</v>
      </c>
    </row>
    <row r="3878" spans="1:11" x14ac:dyDescent="0.25">
      <c r="A3878" t="str">
        <f>"4914"</f>
        <v>4914</v>
      </c>
      <c r="B3878" t="str">
        <f t="shared" si="252"/>
        <v>1</v>
      </c>
      <c r="C3878" t="str">
        <f t="shared" si="253"/>
        <v>216</v>
      </c>
      <c r="D3878" t="str">
        <f>"19"</f>
        <v>19</v>
      </c>
      <c r="E3878" t="str">
        <f>"1-216-19"</f>
        <v>1-216-19</v>
      </c>
      <c r="F3878" t="s">
        <v>15</v>
      </c>
      <c r="G3878" t="s">
        <v>16</v>
      </c>
      <c r="H3878" t="s">
        <v>17</v>
      </c>
      <c r="I3878">
        <v>0</v>
      </c>
      <c r="J3878">
        <v>0</v>
      </c>
      <c r="K3878">
        <v>1</v>
      </c>
    </row>
    <row r="3879" spans="1:11" x14ac:dyDescent="0.25">
      <c r="A3879" t="str">
        <f>"4915"</f>
        <v>4915</v>
      </c>
      <c r="B3879" t="str">
        <f t="shared" si="252"/>
        <v>1</v>
      </c>
      <c r="C3879" t="str">
        <f t="shared" si="253"/>
        <v>216</v>
      </c>
      <c r="D3879" t="str">
        <f>"5"</f>
        <v>5</v>
      </c>
      <c r="E3879" t="str">
        <f>"1-216-5"</f>
        <v>1-216-5</v>
      </c>
      <c r="F3879" t="s">
        <v>15</v>
      </c>
      <c r="G3879" t="s">
        <v>16</v>
      </c>
      <c r="H3879" t="s">
        <v>17</v>
      </c>
      <c r="I3879">
        <v>0</v>
      </c>
      <c r="J3879">
        <v>1</v>
      </c>
      <c r="K3879">
        <v>0</v>
      </c>
    </row>
    <row r="3880" spans="1:11" x14ac:dyDescent="0.25">
      <c r="A3880" t="str">
        <f>"4916"</f>
        <v>4916</v>
      </c>
      <c r="B3880" t="str">
        <f t="shared" si="252"/>
        <v>1</v>
      </c>
      <c r="C3880" t="str">
        <f t="shared" si="253"/>
        <v>216</v>
      </c>
      <c r="D3880" t="str">
        <f>"23"</f>
        <v>23</v>
      </c>
      <c r="E3880" t="str">
        <f>"1-216-23"</f>
        <v>1-216-23</v>
      </c>
      <c r="F3880" t="s">
        <v>15</v>
      </c>
      <c r="G3880" t="s">
        <v>16</v>
      </c>
      <c r="H3880" t="s">
        <v>17</v>
      </c>
      <c r="I3880">
        <v>1</v>
      </c>
      <c r="J3880">
        <v>0</v>
      </c>
      <c r="K3880">
        <v>0</v>
      </c>
    </row>
    <row r="3881" spans="1:11" x14ac:dyDescent="0.25">
      <c r="A3881" t="str">
        <f>"4917"</f>
        <v>4917</v>
      </c>
      <c r="B3881" t="str">
        <f t="shared" si="252"/>
        <v>1</v>
      </c>
      <c r="C3881" t="str">
        <f t="shared" si="253"/>
        <v>216</v>
      </c>
      <c r="D3881" t="str">
        <f>"2"</f>
        <v>2</v>
      </c>
      <c r="E3881" t="str">
        <f>"1-216-2"</f>
        <v>1-216-2</v>
      </c>
      <c r="F3881" t="s">
        <v>15</v>
      </c>
      <c r="G3881" t="s">
        <v>16</v>
      </c>
      <c r="H3881" t="s">
        <v>17</v>
      </c>
      <c r="I3881">
        <v>1</v>
      </c>
      <c r="J3881">
        <v>0</v>
      </c>
      <c r="K3881">
        <v>0</v>
      </c>
    </row>
    <row r="3882" spans="1:11" x14ac:dyDescent="0.25">
      <c r="A3882" t="str">
        <f>"4918"</f>
        <v>4918</v>
      </c>
      <c r="B3882" t="str">
        <f t="shared" si="252"/>
        <v>1</v>
      </c>
      <c r="C3882" t="str">
        <f t="shared" si="253"/>
        <v>216</v>
      </c>
      <c r="D3882" t="str">
        <f>"24"</f>
        <v>24</v>
      </c>
      <c r="E3882" t="str">
        <f>"1-216-24"</f>
        <v>1-216-24</v>
      </c>
      <c r="F3882" t="s">
        <v>15</v>
      </c>
      <c r="G3882" t="s">
        <v>16</v>
      </c>
      <c r="H3882" t="s">
        <v>17</v>
      </c>
      <c r="I3882">
        <v>1</v>
      </c>
      <c r="J3882">
        <v>0</v>
      </c>
      <c r="K3882">
        <v>0</v>
      </c>
    </row>
    <row r="3883" spans="1:11" x14ac:dyDescent="0.25">
      <c r="A3883" t="str">
        <f>"4919"</f>
        <v>4919</v>
      </c>
      <c r="B3883" t="str">
        <f t="shared" si="252"/>
        <v>1</v>
      </c>
      <c r="C3883" t="str">
        <f t="shared" si="253"/>
        <v>216</v>
      </c>
      <c r="D3883" t="str">
        <f>"9"</f>
        <v>9</v>
      </c>
      <c r="E3883" t="str">
        <f>"1-216-9"</f>
        <v>1-216-9</v>
      </c>
      <c r="F3883" t="s">
        <v>15</v>
      </c>
      <c r="G3883" t="s">
        <v>18</v>
      </c>
      <c r="H3883" t="s">
        <v>19</v>
      </c>
      <c r="I3883">
        <v>1</v>
      </c>
      <c r="J3883">
        <v>0</v>
      </c>
      <c r="K3883">
        <v>0</v>
      </c>
    </row>
    <row r="3884" spans="1:11" x14ac:dyDescent="0.25">
      <c r="A3884" t="str">
        <f>"4920"</f>
        <v>4920</v>
      </c>
      <c r="B3884" t="str">
        <f t="shared" si="252"/>
        <v>1</v>
      </c>
      <c r="C3884" t="str">
        <f t="shared" si="253"/>
        <v>216</v>
      </c>
      <c r="D3884" t="str">
        <f>"25"</f>
        <v>25</v>
      </c>
      <c r="E3884" t="str">
        <f>"1-216-25"</f>
        <v>1-216-25</v>
      </c>
      <c r="F3884" t="s">
        <v>15</v>
      </c>
      <c r="G3884" t="s">
        <v>16</v>
      </c>
      <c r="H3884" t="s">
        <v>17</v>
      </c>
      <c r="I3884">
        <v>1</v>
      </c>
      <c r="J3884">
        <v>0</v>
      </c>
      <c r="K3884">
        <v>0</v>
      </c>
    </row>
    <row r="3885" spans="1:11" x14ac:dyDescent="0.25">
      <c r="A3885" t="str">
        <f>"4921"</f>
        <v>4921</v>
      </c>
      <c r="B3885" t="str">
        <f t="shared" si="252"/>
        <v>1</v>
      </c>
      <c r="C3885" t="str">
        <f t="shared" si="253"/>
        <v>216</v>
      </c>
      <c r="D3885" t="str">
        <f>"14"</f>
        <v>14</v>
      </c>
      <c r="E3885" t="str">
        <f>"1-216-14"</f>
        <v>1-216-14</v>
      </c>
      <c r="F3885" t="s">
        <v>15</v>
      </c>
      <c r="G3885" t="s">
        <v>16</v>
      </c>
      <c r="H3885" t="s">
        <v>17</v>
      </c>
      <c r="I3885">
        <v>1</v>
      </c>
      <c r="J3885">
        <v>0</v>
      </c>
      <c r="K3885">
        <v>0</v>
      </c>
    </row>
    <row r="3886" spans="1:11" x14ac:dyDescent="0.25">
      <c r="A3886" t="str">
        <f>"4922"</f>
        <v>4922</v>
      </c>
      <c r="B3886" t="str">
        <f t="shared" si="252"/>
        <v>1</v>
      </c>
      <c r="C3886" t="str">
        <f t="shared" si="253"/>
        <v>216</v>
      </c>
      <c r="D3886" t="str">
        <f>"10"</f>
        <v>10</v>
      </c>
      <c r="E3886" t="str">
        <f>"1-216-10"</f>
        <v>1-216-10</v>
      </c>
      <c r="F3886" t="s">
        <v>15</v>
      </c>
      <c r="G3886" t="s">
        <v>16</v>
      </c>
      <c r="H3886" t="s">
        <v>17</v>
      </c>
      <c r="I3886">
        <v>1</v>
      </c>
      <c r="J3886">
        <v>0</v>
      </c>
      <c r="K3886">
        <v>0</v>
      </c>
    </row>
    <row r="3887" spans="1:11" x14ac:dyDescent="0.25">
      <c r="A3887" t="str">
        <f>"4923"</f>
        <v>4923</v>
      </c>
      <c r="B3887" t="str">
        <f t="shared" si="252"/>
        <v>1</v>
      </c>
      <c r="C3887" t="str">
        <f t="shared" si="253"/>
        <v>216</v>
      </c>
      <c r="D3887" t="str">
        <f>"7"</f>
        <v>7</v>
      </c>
      <c r="E3887" t="str">
        <f>"1-216-7"</f>
        <v>1-216-7</v>
      </c>
      <c r="F3887" t="s">
        <v>15</v>
      </c>
      <c r="G3887" t="s">
        <v>18</v>
      </c>
      <c r="H3887" t="s">
        <v>19</v>
      </c>
      <c r="I3887">
        <v>0</v>
      </c>
      <c r="J3887">
        <v>1</v>
      </c>
      <c r="K3887">
        <v>0</v>
      </c>
    </row>
    <row r="3888" spans="1:11" x14ac:dyDescent="0.25">
      <c r="A3888" t="str">
        <f>"4924"</f>
        <v>4924</v>
      </c>
      <c r="B3888" t="str">
        <f t="shared" si="252"/>
        <v>1</v>
      </c>
      <c r="C3888" t="str">
        <f t="shared" si="253"/>
        <v>216</v>
      </c>
      <c r="D3888" t="str">
        <f>"11"</f>
        <v>11</v>
      </c>
      <c r="E3888" t="str">
        <f>"1-216-11"</f>
        <v>1-216-11</v>
      </c>
      <c r="F3888" t="s">
        <v>15</v>
      </c>
      <c r="G3888" t="s">
        <v>16</v>
      </c>
      <c r="H3888" t="s">
        <v>17</v>
      </c>
      <c r="I3888">
        <v>0</v>
      </c>
      <c r="J3888">
        <v>1</v>
      </c>
      <c r="K3888">
        <v>0</v>
      </c>
    </row>
    <row r="3889" spans="1:11" x14ac:dyDescent="0.25">
      <c r="A3889" t="str">
        <f>"4925"</f>
        <v>4925</v>
      </c>
      <c r="B3889" t="str">
        <f t="shared" si="252"/>
        <v>1</v>
      </c>
      <c r="C3889" t="str">
        <f t="shared" si="253"/>
        <v>216</v>
      </c>
      <c r="D3889" t="str">
        <f>"8"</f>
        <v>8</v>
      </c>
      <c r="E3889" t="str">
        <f>"1-216-8"</f>
        <v>1-216-8</v>
      </c>
      <c r="F3889" t="s">
        <v>15</v>
      </c>
      <c r="G3889" t="s">
        <v>18</v>
      </c>
      <c r="H3889" t="s">
        <v>19</v>
      </c>
      <c r="I3889">
        <v>0</v>
      </c>
      <c r="J3889">
        <v>1</v>
      </c>
      <c r="K3889">
        <v>0</v>
      </c>
    </row>
    <row r="3890" spans="1:11" x14ac:dyDescent="0.25">
      <c r="A3890" t="str">
        <f>"4926"</f>
        <v>4926</v>
      </c>
      <c r="B3890" t="str">
        <f t="shared" si="252"/>
        <v>1</v>
      </c>
      <c r="C3890" t="str">
        <f t="shared" si="253"/>
        <v>216</v>
      </c>
      <c r="D3890" t="str">
        <f>"4"</f>
        <v>4</v>
      </c>
      <c r="E3890" t="str">
        <f>"1-216-4"</f>
        <v>1-216-4</v>
      </c>
      <c r="F3890" t="s">
        <v>15</v>
      </c>
      <c r="G3890" t="s">
        <v>18</v>
      </c>
      <c r="H3890" t="s">
        <v>19</v>
      </c>
      <c r="I3890">
        <v>0</v>
      </c>
      <c r="J3890">
        <v>0</v>
      </c>
      <c r="K3890">
        <v>0</v>
      </c>
    </row>
    <row r="3891" spans="1:11" x14ac:dyDescent="0.25">
      <c r="A3891" t="str">
        <f>"4927"</f>
        <v>4927</v>
      </c>
      <c r="B3891" t="str">
        <f t="shared" si="252"/>
        <v>1</v>
      </c>
      <c r="C3891" t="str">
        <f t="shared" si="253"/>
        <v>216</v>
      </c>
      <c r="D3891" t="str">
        <f>"6"</f>
        <v>6</v>
      </c>
      <c r="E3891" t="str">
        <f>"1-216-6"</f>
        <v>1-216-6</v>
      </c>
      <c r="F3891" t="s">
        <v>15</v>
      </c>
      <c r="G3891" t="s">
        <v>16</v>
      </c>
      <c r="H3891" t="s">
        <v>17</v>
      </c>
      <c r="I3891">
        <v>0</v>
      </c>
      <c r="J3891">
        <v>0</v>
      </c>
      <c r="K3891">
        <v>0</v>
      </c>
    </row>
    <row r="3892" spans="1:11" x14ac:dyDescent="0.25">
      <c r="A3892" t="str">
        <f>"4928"</f>
        <v>4928</v>
      </c>
      <c r="B3892" t="str">
        <f t="shared" si="252"/>
        <v>1</v>
      </c>
      <c r="C3892" t="str">
        <f t="shared" si="253"/>
        <v>216</v>
      </c>
      <c r="D3892" t="str">
        <f>"13"</f>
        <v>13</v>
      </c>
      <c r="E3892" t="str">
        <f>"1-216-13"</f>
        <v>1-216-13</v>
      </c>
      <c r="F3892" t="s">
        <v>15</v>
      </c>
      <c r="G3892" t="s">
        <v>16</v>
      </c>
      <c r="H3892" t="s">
        <v>17</v>
      </c>
      <c r="I3892">
        <v>0</v>
      </c>
      <c r="J3892">
        <v>0</v>
      </c>
      <c r="K3892">
        <v>0</v>
      </c>
    </row>
    <row r="3893" spans="1:11" x14ac:dyDescent="0.25">
      <c r="A3893" t="str">
        <f>"4929"</f>
        <v>4929</v>
      </c>
      <c r="B3893" t="str">
        <f t="shared" si="252"/>
        <v>1</v>
      </c>
      <c r="C3893" t="str">
        <f t="shared" ref="C3893:C3901" si="254">"217"</f>
        <v>217</v>
      </c>
      <c r="D3893" t="str">
        <f>"1"</f>
        <v>1</v>
      </c>
      <c r="E3893" t="str">
        <f>"1-217-1"</f>
        <v>1-217-1</v>
      </c>
      <c r="F3893" t="s">
        <v>15</v>
      </c>
      <c r="G3893" t="s">
        <v>20</v>
      </c>
      <c r="H3893" t="s">
        <v>21</v>
      </c>
      <c r="I3893">
        <v>0</v>
      </c>
      <c r="J3893">
        <v>0</v>
      </c>
      <c r="K3893">
        <v>1</v>
      </c>
    </row>
    <row r="3894" spans="1:11" x14ac:dyDescent="0.25">
      <c r="A3894" t="str">
        <f>"4931"</f>
        <v>4931</v>
      </c>
      <c r="B3894" t="str">
        <f t="shared" si="252"/>
        <v>1</v>
      </c>
      <c r="C3894" t="str">
        <f t="shared" si="254"/>
        <v>217</v>
      </c>
      <c r="D3894" t="str">
        <f>"2"</f>
        <v>2</v>
      </c>
      <c r="E3894" t="str">
        <f>"1-217-2"</f>
        <v>1-217-2</v>
      </c>
      <c r="F3894" t="s">
        <v>15</v>
      </c>
      <c r="G3894" t="s">
        <v>16</v>
      </c>
      <c r="H3894" t="s">
        <v>17</v>
      </c>
      <c r="I3894">
        <v>0</v>
      </c>
      <c r="J3894">
        <v>0</v>
      </c>
      <c r="K3894">
        <v>1</v>
      </c>
    </row>
    <row r="3895" spans="1:11" x14ac:dyDescent="0.25">
      <c r="A3895" t="str">
        <f>"4932"</f>
        <v>4932</v>
      </c>
      <c r="B3895" t="str">
        <f t="shared" si="252"/>
        <v>1</v>
      </c>
      <c r="C3895" t="str">
        <f t="shared" si="254"/>
        <v>217</v>
      </c>
      <c r="D3895" t="str">
        <f>"6"</f>
        <v>6</v>
      </c>
      <c r="E3895" t="str">
        <f>"1-217-6"</f>
        <v>1-217-6</v>
      </c>
      <c r="F3895" t="s">
        <v>15</v>
      </c>
      <c r="G3895" t="s">
        <v>16</v>
      </c>
      <c r="H3895" t="s">
        <v>17</v>
      </c>
      <c r="I3895">
        <v>1</v>
      </c>
      <c r="J3895">
        <v>0</v>
      </c>
      <c r="K3895">
        <v>0</v>
      </c>
    </row>
    <row r="3896" spans="1:11" x14ac:dyDescent="0.25">
      <c r="A3896" t="str">
        <f>"4933"</f>
        <v>4933</v>
      </c>
      <c r="B3896" t="str">
        <f t="shared" si="252"/>
        <v>1</v>
      </c>
      <c r="C3896" t="str">
        <f t="shared" si="254"/>
        <v>217</v>
      </c>
      <c r="D3896" t="str">
        <f>"5"</f>
        <v>5</v>
      </c>
      <c r="E3896" t="str">
        <f>"1-217-5"</f>
        <v>1-217-5</v>
      </c>
      <c r="F3896" t="s">
        <v>15</v>
      </c>
      <c r="G3896" t="s">
        <v>16</v>
      </c>
      <c r="H3896" t="s">
        <v>17</v>
      </c>
      <c r="I3896">
        <v>1</v>
      </c>
      <c r="J3896">
        <v>0</v>
      </c>
      <c r="K3896">
        <v>0</v>
      </c>
    </row>
    <row r="3897" spans="1:11" x14ac:dyDescent="0.25">
      <c r="A3897" t="str">
        <f>"4935"</f>
        <v>4935</v>
      </c>
      <c r="B3897" t="str">
        <f t="shared" si="252"/>
        <v>1</v>
      </c>
      <c r="C3897" t="str">
        <f t="shared" si="254"/>
        <v>217</v>
      </c>
      <c r="D3897" t="str">
        <f>"7"</f>
        <v>7</v>
      </c>
      <c r="E3897" t="str">
        <f>"1-217-7"</f>
        <v>1-217-7</v>
      </c>
      <c r="F3897" t="s">
        <v>15</v>
      </c>
      <c r="G3897" t="s">
        <v>16</v>
      </c>
      <c r="H3897" t="s">
        <v>17</v>
      </c>
      <c r="I3897">
        <v>1</v>
      </c>
      <c r="J3897">
        <v>0</v>
      </c>
      <c r="K3897">
        <v>0</v>
      </c>
    </row>
    <row r="3898" spans="1:11" x14ac:dyDescent="0.25">
      <c r="A3898" t="str">
        <f>"4936"</f>
        <v>4936</v>
      </c>
      <c r="B3898" t="str">
        <f t="shared" si="252"/>
        <v>1</v>
      </c>
      <c r="C3898" t="str">
        <f t="shared" si="254"/>
        <v>217</v>
      </c>
      <c r="D3898" t="str">
        <f>"3"</f>
        <v>3</v>
      </c>
      <c r="E3898" t="str">
        <f>"1-217-3"</f>
        <v>1-217-3</v>
      </c>
      <c r="F3898" t="s">
        <v>15</v>
      </c>
      <c r="G3898" t="s">
        <v>18</v>
      </c>
      <c r="H3898" t="s">
        <v>19</v>
      </c>
      <c r="I3898">
        <v>1</v>
      </c>
      <c r="J3898">
        <v>0</v>
      </c>
      <c r="K3898">
        <v>0</v>
      </c>
    </row>
    <row r="3899" spans="1:11" x14ac:dyDescent="0.25">
      <c r="A3899" t="str">
        <f>"4937"</f>
        <v>4937</v>
      </c>
      <c r="B3899" t="str">
        <f t="shared" si="252"/>
        <v>1</v>
      </c>
      <c r="C3899" t="str">
        <f t="shared" si="254"/>
        <v>217</v>
      </c>
      <c r="D3899" t="str">
        <f>"11"</f>
        <v>11</v>
      </c>
      <c r="E3899" t="str">
        <f>"1-217-11"</f>
        <v>1-217-11</v>
      </c>
      <c r="F3899" t="s">
        <v>15</v>
      </c>
      <c r="G3899" t="s">
        <v>16</v>
      </c>
      <c r="H3899" t="s">
        <v>17</v>
      </c>
      <c r="I3899">
        <v>0</v>
      </c>
      <c r="J3899">
        <v>0</v>
      </c>
      <c r="K3899">
        <v>1</v>
      </c>
    </row>
    <row r="3900" spans="1:11" x14ac:dyDescent="0.25">
      <c r="A3900" t="str">
        <f>"4938"</f>
        <v>4938</v>
      </c>
      <c r="B3900" t="str">
        <f t="shared" si="252"/>
        <v>1</v>
      </c>
      <c r="C3900" t="str">
        <f t="shared" si="254"/>
        <v>217</v>
      </c>
      <c r="D3900" t="str">
        <f>"4"</f>
        <v>4</v>
      </c>
      <c r="E3900" t="str">
        <f>"1-217-4"</f>
        <v>1-217-4</v>
      </c>
      <c r="F3900" t="s">
        <v>15</v>
      </c>
      <c r="G3900" t="s">
        <v>18</v>
      </c>
      <c r="H3900" t="s">
        <v>19</v>
      </c>
      <c r="I3900">
        <v>1</v>
      </c>
      <c r="J3900">
        <v>0</v>
      </c>
      <c r="K3900">
        <v>0</v>
      </c>
    </row>
    <row r="3901" spans="1:11" x14ac:dyDescent="0.25">
      <c r="A3901" t="str">
        <f>"4939"</f>
        <v>4939</v>
      </c>
      <c r="B3901" t="str">
        <f t="shared" si="252"/>
        <v>1</v>
      </c>
      <c r="C3901" t="str">
        <f t="shared" si="254"/>
        <v>217</v>
      </c>
      <c r="D3901" t="str">
        <f>"8"</f>
        <v>8</v>
      </c>
      <c r="E3901" t="str">
        <f>"1-217-8"</f>
        <v>1-217-8</v>
      </c>
      <c r="F3901" t="s">
        <v>15</v>
      </c>
      <c r="G3901" t="s">
        <v>20</v>
      </c>
      <c r="H3901" t="s">
        <v>21</v>
      </c>
      <c r="I3901">
        <v>1</v>
      </c>
      <c r="J3901">
        <v>0</v>
      </c>
      <c r="K3901">
        <v>0</v>
      </c>
    </row>
    <row r="3902" spans="1:11" x14ac:dyDescent="0.25">
      <c r="A3902" t="str">
        <f>"4940"</f>
        <v>4940</v>
      </c>
      <c r="B3902" t="str">
        <f t="shared" si="252"/>
        <v>1</v>
      </c>
      <c r="C3902" t="str">
        <f t="shared" ref="C3902:C3926" si="255">"218"</f>
        <v>218</v>
      </c>
      <c r="D3902" t="str">
        <f>"15"</f>
        <v>15</v>
      </c>
      <c r="E3902" t="str">
        <f>"1-218-15"</f>
        <v>1-218-15</v>
      </c>
      <c r="F3902" t="s">
        <v>15</v>
      </c>
      <c r="G3902" t="s">
        <v>20</v>
      </c>
      <c r="H3902" t="s">
        <v>21</v>
      </c>
      <c r="I3902">
        <v>0</v>
      </c>
      <c r="J3902">
        <v>1</v>
      </c>
      <c r="K3902">
        <v>0</v>
      </c>
    </row>
    <row r="3903" spans="1:11" x14ac:dyDescent="0.25">
      <c r="A3903" t="str">
        <f>"4941"</f>
        <v>4941</v>
      </c>
      <c r="B3903" t="str">
        <f t="shared" si="252"/>
        <v>1</v>
      </c>
      <c r="C3903" t="str">
        <f t="shared" si="255"/>
        <v>218</v>
      </c>
      <c r="D3903" t="str">
        <f>"1"</f>
        <v>1</v>
      </c>
      <c r="E3903" t="str">
        <f>"1-218-1"</f>
        <v>1-218-1</v>
      </c>
      <c r="F3903" t="s">
        <v>15</v>
      </c>
      <c r="G3903" t="s">
        <v>20</v>
      </c>
      <c r="H3903" t="s">
        <v>21</v>
      </c>
      <c r="I3903">
        <v>1</v>
      </c>
      <c r="J3903">
        <v>0</v>
      </c>
      <c r="K3903">
        <v>0</v>
      </c>
    </row>
    <row r="3904" spans="1:11" x14ac:dyDescent="0.25">
      <c r="A3904" t="str">
        <f>"4942"</f>
        <v>4942</v>
      </c>
      <c r="B3904" t="str">
        <f t="shared" si="252"/>
        <v>1</v>
      </c>
      <c r="C3904" t="str">
        <f t="shared" si="255"/>
        <v>218</v>
      </c>
      <c r="D3904" t="str">
        <f>"21"</f>
        <v>21</v>
      </c>
      <c r="E3904" t="str">
        <f>"1-218-21"</f>
        <v>1-218-21</v>
      </c>
      <c r="F3904" t="s">
        <v>15</v>
      </c>
      <c r="G3904" t="s">
        <v>20</v>
      </c>
      <c r="H3904" t="s">
        <v>21</v>
      </c>
      <c r="I3904">
        <v>1</v>
      </c>
      <c r="J3904">
        <v>0</v>
      </c>
      <c r="K3904">
        <v>0</v>
      </c>
    </row>
    <row r="3905" spans="1:11" x14ac:dyDescent="0.25">
      <c r="A3905" t="str">
        <f>"4943"</f>
        <v>4943</v>
      </c>
      <c r="B3905" t="str">
        <f t="shared" si="252"/>
        <v>1</v>
      </c>
      <c r="C3905" t="str">
        <f t="shared" si="255"/>
        <v>218</v>
      </c>
      <c r="D3905" t="str">
        <f>"16"</f>
        <v>16</v>
      </c>
      <c r="E3905" t="str">
        <f>"1-218-16"</f>
        <v>1-218-16</v>
      </c>
      <c r="F3905" t="s">
        <v>15</v>
      </c>
      <c r="G3905" t="s">
        <v>20</v>
      </c>
      <c r="H3905" t="s">
        <v>21</v>
      </c>
      <c r="I3905">
        <v>0</v>
      </c>
      <c r="J3905">
        <v>0</v>
      </c>
      <c r="K3905">
        <v>1</v>
      </c>
    </row>
    <row r="3906" spans="1:11" x14ac:dyDescent="0.25">
      <c r="A3906" t="str">
        <f>"4944"</f>
        <v>4944</v>
      </c>
      <c r="B3906" t="str">
        <f t="shared" si="252"/>
        <v>1</v>
      </c>
      <c r="C3906" t="str">
        <f t="shared" si="255"/>
        <v>218</v>
      </c>
      <c r="D3906" t="str">
        <f>"3"</f>
        <v>3</v>
      </c>
      <c r="E3906" t="str">
        <f>"1-218-3"</f>
        <v>1-218-3</v>
      </c>
      <c r="F3906" t="s">
        <v>15</v>
      </c>
      <c r="G3906" t="s">
        <v>18</v>
      </c>
      <c r="H3906" t="s">
        <v>19</v>
      </c>
      <c r="I3906">
        <v>0</v>
      </c>
      <c r="J3906">
        <v>1</v>
      </c>
      <c r="K3906">
        <v>0</v>
      </c>
    </row>
    <row r="3907" spans="1:11" x14ac:dyDescent="0.25">
      <c r="A3907" t="str">
        <f>"4945"</f>
        <v>4945</v>
      </c>
      <c r="B3907" t="str">
        <f t="shared" si="252"/>
        <v>1</v>
      </c>
      <c r="C3907" t="str">
        <f t="shared" si="255"/>
        <v>218</v>
      </c>
      <c r="D3907" t="str">
        <f>"17"</f>
        <v>17</v>
      </c>
      <c r="E3907" t="str">
        <f>"1-218-17"</f>
        <v>1-218-17</v>
      </c>
      <c r="F3907" t="s">
        <v>15</v>
      </c>
      <c r="G3907" t="s">
        <v>20</v>
      </c>
      <c r="H3907" t="s">
        <v>21</v>
      </c>
      <c r="I3907">
        <v>0</v>
      </c>
      <c r="J3907">
        <v>0</v>
      </c>
      <c r="K3907">
        <v>1</v>
      </c>
    </row>
    <row r="3908" spans="1:11" x14ac:dyDescent="0.25">
      <c r="A3908" t="str">
        <f>"4946"</f>
        <v>4946</v>
      </c>
      <c r="B3908" t="str">
        <f t="shared" si="252"/>
        <v>1</v>
      </c>
      <c r="C3908" t="str">
        <f t="shared" si="255"/>
        <v>218</v>
      </c>
      <c r="D3908" t="str">
        <f>"9"</f>
        <v>9</v>
      </c>
      <c r="E3908" t="str">
        <f>"1-218-9"</f>
        <v>1-218-9</v>
      </c>
      <c r="F3908" t="s">
        <v>15</v>
      </c>
      <c r="G3908" t="s">
        <v>20</v>
      </c>
      <c r="H3908" t="s">
        <v>21</v>
      </c>
      <c r="I3908">
        <v>0</v>
      </c>
      <c r="J3908">
        <v>0</v>
      </c>
      <c r="K3908">
        <v>1</v>
      </c>
    </row>
    <row r="3909" spans="1:11" x14ac:dyDescent="0.25">
      <c r="A3909" t="str">
        <f>"4947"</f>
        <v>4947</v>
      </c>
      <c r="B3909" t="str">
        <f t="shared" si="252"/>
        <v>1</v>
      </c>
      <c r="C3909" t="str">
        <f t="shared" si="255"/>
        <v>218</v>
      </c>
      <c r="D3909" t="str">
        <f>"18"</f>
        <v>18</v>
      </c>
      <c r="E3909" t="str">
        <f>"1-218-18"</f>
        <v>1-218-18</v>
      </c>
      <c r="F3909" t="s">
        <v>15</v>
      </c>
      <c r="G3909" t="s">
        <v>20</v>
      </c>
      <c r="H3909" t="s">
        <v>21</v>
      </c>
      <c r="I3909">
        <v>0</v>
      </c>
      <c r="J3909">
        <v>0</v>
      </c>
      <c r="K3909">
        <v>1</v>
      </c>
    </row>
    <row r="3910" spans="1:11" x14ac:dyDescent="0.25">
      <c r="A3910" t="str">
        <f>"4948"</f>
        <v>4948</v>
      </c>
      <c r="B3910" t="str">
        <f t="shared" si="252"/>
        <v>1</v>
      </c>
      <c r="C3910" t="str">
        <f t="shared" si="255"/>
        <v>218</v>
      </c>
      <c r="D3910" t="str">
        <f>"19"</f>
        <v>19</v>
      </c>
      <c r="E3910" t="str">
        <f>"1-218-19"</f>
        <v>1-218-19</v>
      </c>
      <c r="F3910" t="s">
        <v>15</v>
      </c>
      <c r="G3910" t="s">
        <v>20</v>
      </c>
      <c r="H3910" t="s">
        <v>21</v>
      </c>
      <c r="I3910">
        <v>0</v>
      </c>
      <c r="J3910">
        <v>0</v>
      </c>
      <c r="K3910">
        <v>1</v>
      </c>
    </row>
    <row r="3911" spans="1:11" x14ac:dyDescent="0.25">
      <c r="A3911" t="str">
        <f>"4949"</f>
        <v>4949</v>
      </c>
      <c r="B3911" t="str">
        <f t="shared" si="252"/>
        <v>1</v>
      </c>
      <c r="C3911" t="str">
        <f t="shared" si="255"/>
        <v>218</v>
      </c>
      <c r="D3911" t="str">
        <f>"8"</f>
        <v>8</v>
      </c>
      <c r="E3911" t="str">
        <f>"1-218-8"</f>
        <v>1-218-8</v>
      </c>
      <c r="F3911" t="s">
        <v>15</v>
      </c>
      <c r="G3911" t="s">
        <v>20</v>
      </c>
      <c r="H3911" t="s">
        <v>21</v>
      </c>
      <c r="I3911">
        <v>0</v>
      </c>
      <c r="J3911">
        <v>1</v>
      </c>
      <c r="K3911">
        <v>0</v>
      </c>
    </row>
    <row r="3912" spans="1:11" x14ac:dyDescent="0.25">
      <c r="A3912" t="str">
        <f>"4950"</f>
        <v>4950</v>
      </c>
      <c r="B3912" t="str">
        <f t="shared" si="252"/>
        <v>1</v>
      </c>
      <c r="C3912" t="str">
        <f t="shared" si="255"/>
        <v>218</v>
      </c>
      <c r="D3912" t="str">
        <f>"20"</f>
        <v>20</v>
      </c>
      <c r="E3912" t="str">
        <f>"1-218-20"</f>
        <v>1-218-20</v>
      </c>
      <c r="F3912" t="s">
        <v>15</v>
      </c>
      <c r="G3912" t="s">
        <v>20</v>
      </c>
      <c r="H3912" t="s">
        <v>21</v>
      </c>
      <c r="I3912">
        <v>0</v>
      </c>
      <c r="J3912">
        <v>1</v>
      </c>
      <c r="K3912">
        <v>0</v>
      </c>
    </row>
    <row r="3913" spans="1:11" x14ac:dyDescent="0.25">
      <c r="A3913" t="str">
        <f>"4951"</f>
        <v>4951</v>
      </c>
      <c r="B3913" t="str">
        <f t="shared" si="252"/>
        <v>1</v>
      </c>
      <c r="C3913" t="str">
        <f t="shared" si="255"/>
        <v>218</v>
      </c>
      <c r="D3913" t="str">
        <f>"4"</f>
        <v>4</v>
      </c>
      <c r="E3913" t="str">
        <f>"1-218-4"</f>
        <v>1-218-4</v>
      </c>
      <c r="F3913" t="s">
        <v>15</v>
      </c>
      <c r="G3913" t="s">
        <v>20</v>
      </c>
      <c r="H3913" t="s">
        <v>21</v>
      </c>
      <c r="I3913">
        <v>1</v>
      </c>
      <c r="J3913">
        <v>0</v>
      </c>
      <c r="K3913">
        <v>0</v>
      </c>
    </row>
    <row r="3914" spans="1:11" x14ac:dyDescent="0.25">
      <c r="A3914" t="str">
        <f>"4952"</f>
        <v>4952</v>
      </c>
      <c r="B3914" t="str">
        <f t="shared" si="252"/>
        <v>1</v>
      </c>
      <c r="C3914" t="str">
        <f t="shared" si="255"/>
        <v>218</v>
      </c>
      <c r="D3914" t="str">
        <f>"22"</f>
        <v>22</v>
      </c>
      <c r="E3914" t="str">
        <f>"1-218-22"</f>
        <v>1-218-22</v>
      </c>
      <c r="F3914" t="s">
        <v>15</v>
      </c>
      <c r="G3914" t="s">
        <v>20</v>
      </c>
      <c r="H3914" t="s">
        <v>21</v>
      </c>
      <c r="I3914">
        <v>1</v>
      </c>
      <c r="J3914">
        <v>0</v>
      </c>
      <c r="K3914">
        <v>0</v>
      </c>
    </row>
    <row r="3915" spans="1:11" x14ac:dyDescent="0.25">
      <c r="A3915" t="str">
        <f>"4953"</f>
        <v>4953</v>
      </c>
      <c r="B3915" t="str">
        <f t="shared" si="252"/>
        <v>1</v>
      </c>
      <c r="C3915" t="str">
        <f t="shared" si="255"/>
        <v>218</v>
      </c>
      <c r="D3915" t="str">
        <f>"2"</f>
        <v>2</v>
      </c>
      <c r="E3915" t="str">
        <f>"1-218-2"</f>
        <v>1-218-2</v>
      </c>
      <c r="F3915" t="s">
        <v>15</v>
      </c>
      <c r="G3915" t="s">
        <v>18</v>
      </c>
      <c r="H3915" t="s">
        <v>19</v>
      </c>
      <c r="I3915">
        <v>0</v>
      </c>
      <c r="J3915">
        <v>1</v>
      </c>
      <c r="K3915">
        <v>0</v>
      </c>
    </row>
    <row r="3916" spans="1:11" x14ac:dyDescent="0.25">
      <c r="A3916" t="str">
        <f>"4954"</f>
        <v>4954</v>
      </c>
      <c r="B3916" t="str">
        <f t="shared" ref="B3916:B3970" si="256">"1"</f>
        <v>1</v>
      </c>
      <c r="C3916" t="str">
        <f t="shared" si="255"/>
        <v>218</v>
      </c>
      <c r="D3916" t="str">
        <f>"23"</f>
        <v>23</v>
      </c>
      <c r="E3916" t="str">
        <f>"1-218-23"</f>
        <v>1-218-23</v>
      </c>
      <c r="F3916" t="s">
        <v>15</v>
      </c>
      <c r="G3916" t="s">
        <v>20</v>
      </c>
      <c r="H3916" t="s">
        <v>21</v>
      </c>
      <c r="I3916">
        <v>0</v>
      </c>
      <c r="J3916">
        <v>1</v>
      </c>
      <c r="K3916">
        <v>0</v>
      </c>
    </row>
    <row r="3917" spans="1:11" x14ac:dyDescent="0.25">
      <c r="A3917" t="str">
        <f>"4955"</f>
        <v>4955</v>
      </c>
      <c r="B3917" t="str">
        <f t="shared" si="256"/>
        <v>1</v>
      </c>
      <c r="C3917" t="str">
        <f t="shared" si="255"/>
        <v>218</v>
      </c>
      <c r="D3917" t="str">
        <f>"10"</f>
        <v>10</v>
      </c>
      <c r="E3917" t="str">
        <f>"1-218-10"</f>
        <v>1-218-10</v>
      </c>
      <c r="F3917" t="s">
        <v>15</v>
      </c>
      <c r="G3917" t="s">
        <v>16</v>
      </c>
      <c r="H3917" t="s">
        <v>17</v>
      </c>
      <c r="I3917">
        <v>1</v>
      </c>
      <c r="J3917">
        <v>0</v>
      </c>
      <c r="K3917">
        <v>0</v>
      </c>
    </row>
    <row r="3918" spans="1:11" x14ac:dyDescent="0.25">
      <c r="A3918" t="str">
        <f>"4956"</f>
        <v>4956</v>
      </c>
      <c r="B3918" t="str">
        <f t="shared" si="256"/>
        <v>1</v>
      </c>
      <c r="C3918" t="str">
        <f t="shared" si="255"/>
        <v>218</v>
      </c>
      <c r="D3918" t="str">
        <f>"24"</f>
        <v>24</v>
      </c>
      <c r="E3918" t="str">
        <f>"1-218-24"</f>
        <v>1-218-24</v>
      </c>
      <c r="F3918" t="s">
        <v>15</v>
      </c>
      <c r="G3918" t="s">
        <v>20</v>
      </c>
      <c r="H3918" t="s">
        <v>21</v>
      </c>
      <c r="I3918">
        <v>1</v>
      </c>
      <c r="J3918">
        <v>0</v>
      </c>
      <c r="K3918">
        <v>0</v>
      </c>
    </row>
    <row r="3919" spans="1:11" x14ac:dyDescent="0.25">
      <c r="A3919" t="str">
        <f>"4957"</f>
        <v>4957</v>
      </c>
      <c r="B3919" t="str">
        <f t="shared" si="256"/>
        <v>1</v>
      </c>
      <c r="C3919" t="str">
        <f t="shared" si="255"/>
        <v>218</v>
      </c>
      <c r="D3919" t="str">
        <f>"7"</f>
        <v>7</v>
      </c>
      <c r="E3919" t="str">
        <f>"1-218-7"</f>
        <v>1-218-7</v>
      </c>
      <c r="F3919" t="s">
        <v>15</v>
      </c>
      <c r="G3919" t="s">
        <v>20</v>
      </c>
      <c r="H3919" t="s">
        <v>21</v>
      </c>
      <c r="I3919">
        <v>0</v>
      </c>
      <c r="J3919">
        <v>1</v>
      </c>
      <c r="K3919">
        <v>0</v>
      </c>
    </row>
    <row r="3920" spans="1:11" x14ac:dyDescent="0.25">
      <c r="A3920" t="str">
        <f>"4958"</f>
        <v>4958</v>
      </c>
      <c r="B3920" t="str">
        <f t="shared" si="256"/>
        <v>1</v>
      </c>
      <c r="C3920" t="str">
        <f t="shared" si="255"/>
        <v>218</v>
      </c>
      <c r="D3920" t="str">
        <f>"25"</f>
        <v>25</v>
      </c>
      <c r="E3920" t="str">
        <f>"1-218-25"</f>
        <v>1-218-25</v>
      </c>
      <c r="F3920" t="s">
        <v>15</v>
      </c>
      <c r="G3920" t="s">
        <v>20</v>
      </c>
      <c r="H3920" t="s">
        <v>21</v>
      </c>
      <c r="I3920">
        <v>1</v>
      </c>
      <c r="J3920">
        <v>0</v>
      </c>
      <c r="K3920">
        <v>0</v>
      </c>
    </row>
    <row r="3921" spans="1:11" x14ac:dyDescent="0.25">
      <c r="A3921" t="str">
        <f>"4959"</f>
        <v>4959</v>
      </c>
      <c r="B3921" t="str">
        <f t="shared" si="256"/>
        <v>1</v>
      </c>
      <c r="C3921" t="str">
        <f t="shared" si="255"/>
        <v>218</v>
      </c>
      <c r="D3921" t="str">
        <f>"11"</f>
        <v>11</v>
      </c>
      <c r="E3921" t="str">
        <f>"1-218-11"</f>
        <v>1-218-11</v>
      </c>
      <c r="F3921" t="s">
        <v>15</v>
      </c>
      <c r="G3921" t="s">
        <v>20</v>
      </c>
      <c r="H3921" t="s">
        <v>21</v>
      </c>
      <c r="I3921">
        <v>1</v>
      </c>
      <c r="J3921">
        <v>0</v>
      </c>
      <c r="K3921">
        <v>0</v>
      </c>
    </row>
    <row r="3922" spans="1:11" x14ac:dyDescent="0.25">
      <c r="A3922" t="str">
        <f>"4960"</f>
        <v>4960</v>
      </c>
      <c r="B3922" t="str">
        <f t="shared" si="256"/>
        <v>1</v>
      </c>
      <c r="C3922" t="str">
        <f t="shared" si="255"/>
        <v>218</v>
      </c>
      <c r="D3922" t="str">
        <f>"6"</f>
        <v>6</v>
      </c>
      <c r="E3922" t="str">
        <f>"1-218-6"</f>
        <v>1-218-6</v>
      </c>
      <c r="F3922" t="s">
        <v>15</v>
      </c>
      <c r="G3922" t="s">
        <v>20</v>
      </c>
      <c r="H3922" t="s">
        <v>21</v>
      </c>
      <c r="I3922">
        <v>0</v>
      </c>
      <c r="J3922">
        <v>0</v>
      </c>
      <c r="K3922">
        <v>1</v>
      </c>
    </row>
    <row r="3923" spans="1:11" x14ac:dyDescent="0.25">
      <c r="A3923" t="str">
        <f>"4961"</f>
        <v>4961</v>
      </c>
      <c r="B3923" t="str">
        <f t="shared" si="256"/>
        <v>1</v>
      </c>
      <c r="C3923" t="str">
        <f t="shared" si="255"/>
        <v>218</v>
      </c>
      <c r="D3923" t="str">
        <f>"5"</f>
        <v>5</v>
      </c>
      <c r="E3923" t="str">
        <f>"1-218-5"</f>
        <v>1-218-5</v>
      </c>
      <c r="F3923" t="s">
        <v>15</v>
      </c>
      <c r="G3923" t="s">
        <v>20</v>
      </c>
      <c r="H3923" t="s">
        <v>21</v>
      </c>
      <c r="I3923">
        <v>0</v>
      </c>
      <c r="J3923">
        <v>0</v>
      </c>
      <c r="K3923">
        <v>1</v>
      </c>
    </row>
    <row r="3924" spans="1:11" x14ac:dyDescent="0.25">
      <c r="A3924" t="str">
        <f>"4962"</f>
        <v>4962</v>
      </c>
      <c r="B3924" t="str">
        <f t="shared" si="256"/>
        <v>1</v>
      </c>
      <c r="C3924" t="str">
        <f t="shared" si="255"/>
        <v>218</v>
      </c>
      <c r="D3924" t="str">
        <f>"12"</f>
        <v>12</v>
      </c>
      <c r="E3924" t="str">
        <f>"1-218-12"</f>
        <v>1-218-12</v>
      </c>
      <c r="F3924" t="s">
        <v>15</v>
      </c>
      <c r="G3924" t="s">
        <v>20</v>
      </c>
      <c r="H3924" t="s">
        <v>21</v>
      </c>
      <c r="I3924">
        <v>0</v>
      </c>
      <c r="J3924">
        <v>0</v>
      </c>
      <c r="K3924">
        <v>0</v>
      </c>
    </row>
    <row r="3925" spans="1:11" x14ac:dyDescent="0.25">
      <c r="A3925" t="str">
        <f>"4963"</f>
        <v>4963</v>
      </c>
      <c r="B3925" t="str">
        <f t="shared" si="256"/>
        <v>1</v>
      </c>
      <c r="C3925" t="str">
        <f t="shared" si="255"/>
        <v>218</v>
      </c>
      <c r="D3925" t="str">
        <f>"13"</f>
        <v>13</v>
      </c>
      <c r="E3925" t="str">
        <f>"1-218-13"</f>
        <v>1-218-13</v>
      </c>
      <c r="F3925" t="s">
        <v>15</v>
      </c>
      <c r="G3925" t="s">
        <v>20</v>
      </c>
      <c r="H3925" t="s">
        <v>21</v>
      </c>
      <c r="I3925">
        <v>0</v>
      </c>
      <c r="J3925">
        <v>0</v>
      </c>
      <c r="K3925">
        <v>0</v>
      </c>
    </row>
    <row r="3926" spans="1:11" x14ac:dyDescent="0.25">
      <c r="A3926" t="str">
        <f>"4964"</f>
        <v>4964</v>
      </c>
      <c r="B3926" t="str">
        <f t="shared" si="256"/>
        <v>1</v>
      </c>
      <c r="C3926" t="str">
        <f t="shared" si="255"/>
        <v>218</v>
      </c>
      <c r="D3926" t="str">
        <f>"14"</f>
        <v>14</v>
      </c>
      <c r="E3926" t="str">
        <f>"1-218-14"</f>
        <v>1-218-14</v>
      </c>
      <c r="F3926" t="s">
        <v>15</v>
      </c>
      <c r="G3926" t="s">
        <v>20</v>
      </c>
      <c r="H3926" t="s">
        <v>21</v>
      </c>
      <c r="I3926">
        <v>0</v>
      </c>
      <c r="J3926">
        <v>0</v>
      </c>
      <c r="K3926">
        <v>0</v>
      </c>
    </row>
    <row r="3927" spans="1:11" x14ac:dyDescent="0.25">
      <c r="A3927" t="str">
        <f>"4965"</f>
        <v>4965</v>
      </c>
      <c r="B3927" t="str">
        <f t="shared" si="256"/>
        <v>1</v>
      </c>
      <c r="C3927" t="str">
        <f t="shared" ref="C3927:C3954" si="257">"219"</f>
        <v>219</v>
      </c>
      <c r="D3927" t="str">
        <f>"21"</f>
        <v>21</v>
      </c>
      <c r="E3927" t="str">
        <f>"1-219-21"</f>
        <v>1-219-21</v>
      </c>
      <c r="F3927" t="s">
        <v>15</v>
      </c>
      <c r="G3927" t="s">
        <v>16</v>
      </c>
      <c r="H3927" t="s">
        <v>17</v>
      </c>
      <c r="I3927">
        <v>0</v>
      </c>
      <c r="J3927">
        <v>1</v>
      </c>
      <c r="K3927">
        <v>0</v>
      </c>
    </row>
    <row r="3928" spans="1:11" x14ac:dyDescent="0.25">
      <c r="A3928" t="str">
        <f>"4966"</f>
        <v>4966</v>
      </c>
      <c r="B3928" t="str">
        <f t="shared" si="256"/>
        <v>1</v>
      </c>
      <c r="C3928" t="str">
        <f t="shared" si="257"/>
        <v>219</v>
      </c>
      <c r="D3928" t="str">
        <f>"15"</f>
        <v>15</v>
      </c>
      <c r="E3928" t="str">
        <f>"1-219-15"</f>
        <v>1-219-15</v>
      </c>
      <c r="F3928" t="s">
        <v>15</v>
      </c>
      <c r="G3928" t="s">
        <v>16</v>
      </c>
      <c r="H3928" t="s">
        <v>17</v>
      </c>
      <c r="I3928">
        <v>0</v>
      </c>
      <c r="J3928">
        <v>1</v>
      </c>
      <c r="K3928">
        <v>0</v>
      </c>
    </row>
    <row r="3929" spans="1:11" x14ac:dyDescent="0.25">
      <c r="A3929" t="str">
        <f>"4967"</f>
        <v>4967</v>
      </c>
      <c r="B3929" t="str">
        <f t="shared" si="256"/>
        <v>1</v>
      </c>
      <c r="C3929" t="str">
        <f t="shared" si="257"/>
        <v>219</v>
      </c>
      <c r="D3929" t="str">
        <f>"4"</f>
        <v>4</v>
      </c>
      <c r="E3929" t="str">
        <f>"1-219-4"</f>
        <v>1-219-4</v>
      </c>
      <c r="F3929" t="s">
        <v>15</v>
      </c>
      <c r="G3929" t="s">
        <v>16</v>
      </c>
      <c r="H3929" t="s">
        <v>17</v>
      </c>
      <c r="I3929">
        <v>0</v>
      </c>
      <c r="J3929">
        <v>1</v>
      </c>
      <c r="K3929">
        <v>0</v>
      </c>
    </row>
    <row r="3930" spans="1:11" x14ac:dyDescent="0.25">
      <c r="A3930" t="str">
        <f>"4968"</f>
        <v>4968</v>
      </c>
      <c r="B3930" t="str">
        <f t="shared" si="256"/>
        <v>1</v>
      </c>
      <c r="C3930" t="str">
        <f t="shared" si="257"/>
        <v>219</v>
      </c>
      <c r="D3930" t="str">
        <f>"16"</f>
        <v>16</v>
      </c>
      <c r="E3930" t="str">
        <f>"1-219-16"</f>
        <v>1-219-16</v>
      </c>
      <c r="F3930" t="s">
        <v>15</v>
      </c>
      <c r="G3930" t="s">
        <v>16</v>
      </c>
      <c r="H3930" t="s">
        <v>17</v>
      </c>
      <c r="I3930">
        <v>0</v>
      </c>
      <c r="J3930">
        <v>0</v>
      </c>
      <c r="K3930">
        <v>1</v>
      </c>
    </row>
    <row r="3931" spans="1:11" x14ac:dyDescent="0.25">
      <c r="A3931" t="str">
        <f>"4969"</f>
        <v>4969</v>
      </c>
      <c r="B3931" t="str">
        <f t="shared" si="256"/>
        <v>1</v>
      </c>
      <c r="C3931" t="str">
        <f t="shared" si="257"/>
        <v>219</v>
      </c>
      <c r="D3931" t="str">
        <f>"8"</f>
        <v>8</v>
      </c>
      <c r="E3931" t="str">
        <f>"1-219-8"</f>
        <v>1-219-8</v>
      </c>
      <c r="F3931" t="s">
        <v>15</v>
      </c>
      <c r="G3931" t="s">
        <v>16</v>
      </c>
      <c r="H3931" t="s">
        <v>17</v>
      </c>
      <c r="I3931">
        <v>1</v>
      </c>
      <c r="J3931">
        <v>0</v>
      </c>
      <c r="K3931">
        <v>0</v>
      </c>
    </row>
    <row r="3932" spans="1:11" x14ac:dyDescent="0.25">
      <c r="A3932" t="str">
        <f>"4970"</f>
        <v>4970</v>
      </c>
      <c r="B3932" t="str">
        <f t="shared" si="256"/>
        <v>1</v>
      </c>
      <c r="C3932" t="str">
        <f t="shared" si="257"/>
        <v>219</v>
      </c>
      <c r="D3932" t="str">
        <f>"24"</f>
        <v>24</v>
      </c>
      <c r="E3932" t="str">
        <f>"1-219-24"</f>
        <v>1-219-24</v>
      </c>
      <c r="F3932" t="s">
        <v>15</v>
      </c>
      <c r="G3932" t="s">
        <v>20</v>
      </c>
      <c r="H3932" t="s">
        <v>21</v>
      </c>
      <c r="I3932">
        <v>0</v>
      </c>
      <c r="J3932">
        <v>0</v>
      </c>
      <c r="K3932">
        <v>1</v>
      </c>
    </row>
    <row r="3933" spans="1:11" x14ac:dyDescent="0.25">
      <c r="A3933" t="str">
        <f>"4971"</f>
        <v>4971</v>
      </c>
      <c r="B3933" t="str">
        <f t="shared" si="256"/>
        <v>1</v>
      </c>
      <c r="C3933" t="str">
        <f t="shared" si="257"/>
        <v>219</v>
      </c>
      <c r="D3933" t="str">
        <f>"17"</f>
        <v>17</v>
      </c>
      <c r="E3933" t="str">
        <f>"1-219-17"</f>
        <v>1-219-17</v>
      </c>
      <c r="F3933" t="s">
        <v>15</v>
      </c>
      <c r="G3933" t="s">
        <v>16</v>
      </c>
      <c r="H3933" t="s">
        <v>17</v>
      </c>
      <c r="I3933">
        <v>0</v>
      </c>
      <c r="J3933">
        <v>0</v>
      </c>
      <c r="K3933">
        <v>1</v>
      </c>
    </row>
    <row r="3934" spans="1:11" x14ac:dyDescent="0.25">
      <c r="A3934" t="str">
        <f>"4972"</f>
        <v>4972</v>
      </c>
      <c r="B3934" t="str">
        <f t="shared" si="256"/>
        <v>1</v>
      </c>
      <c r="C3934" t="str">
        <f t="shared" si="257"/>
        <v>219</v>
      </c>
      <c r="D3934" t="str">
        <f>"2"</f>
        <v>2</v>
      </c>
      <c r="E3934" t="str">
        <f>"1-219-2"</f>
        <v>1-219-2</v>
      </c>
      <c r="F3934" t="s">
        <v>15</v>
      </c>
      <c r="G3934" t="s">
        <v>16</v>
      </c>
      <c r="H3934" t="s">
        <v>17</v>
      </c>
      <c r="I3934">
        <v>0</v>
      </c>
      <c r="J3934">
        <v>1</v>
      </c>
      <c r="K3934">
        <v>0</v>
      </c>
    </row>
    <row r="3935" spans="1:11" x14ac:dyDescent="0.25">
      <c r="A3935" t="str">
        <f>"4973"</f>
        <v>4973</v>
      </c>
      <c r="B3935" t="str">
        <f t="shared" si="256"/>
        <v>1</v>
      </c>
      <c r="C3935" t="str">
        <f t="shared" si="257"/>
        <v>219</v>
      </c>
      <c r="D3935" t="str">
        <f>"26"</f>
        <v>26</v>
      </c>
      <c r="E3935" t="str">
        <f>"1-219-26"</f>
        <v>1-219-26</v>
      </c>
      <c r="F3935" t="s">
        <v>15</v>
      </c>
      <c r="G3935" t="s">
        <v>16</v>
      </c>
      <c r="H3935" t="s">
        <v>17</v>
      </c>
      <c r="I3935">
        <v>0</v>
      </c>
      <c r="J3935">
        <v>0</v>
      </c>
      <c r="K3935">
        <v>1</v>
      </c>
    </row>
    <row r="3936" spans="1:11" x14ac:dyDescent="0.25">
      <c r="A3936" t="str">
        <f>"4974"</f>
        <v>4974</v>
      </c>
      <c r="B3936" t="str">
        <f t="shared" si="256"/>
        <v>1</v>
      </c>
      <c r="C3936" t="str">
        <f t="shared" si="257"/>
        <v>219</v>
      </c>
      <c r="D3936" t="str">
        <f>"18"</f>
        <v>18</v>
      </c>
      <c r="E3936" t="str">
        <f>"1-219-18"</f>
        <v>1-219-18</v>
      </c>
      <c r="F3936" t="s">
        <v>15</v>
      </c>
      <c r="G3936" t="s">
        <v>18</v>
      </c>
      <c r="H3936" t="s">
        <v>19</v>
      </c>
      <c r="I3936">
        <v>1</v>
      </c>
      <c r="J3936">
        <v>0</v>
      </c>
      <c r="K3936">
        <v>0</v>
      </c>
    </row>
    <row r="3937" spans="1:11" x14ac:dyDescent="0.25">
      <c r="A3937" t="str">
        <f>"4975"</f>
        <v>4975</v>
      </c>
      <c r="B3937" t="str">
        <f t="shared" si="256"/>
        <v>1</v>
      </c>
      <c r="C3937" t="str">
        <f t="shared" si="257"/>
        <v>219</v>
      </c>
      <c r="D3937" t="str">
        <f>"13"</f>
        <v>13</v>
      </c>
      <c r="E3937" t="str">
        <f>"1-219-13"</f>
        <v>1-219-13</v>
      </c>
      <c r="F3937" t="s">
        <v>15</v>
      </c>
      <c r="G3937" t="s">
        <v>16</v>
      </c>
      <c r="H3937" t="s">
        <v>17</v>
      </c>
      <c r="I3937">
        <v>1</v>
      </c>
      <c r="J3937">
        <v>0</v>
      </c>
      <c r="K3937">
        <v>0</v>
      </c>
    </row>
    <row r="3938" spans="1:11" x14ac:dyDescent="0.25">
      <c r="A3938" t="str">
        <f>"4976"</f>
        <v>4976</v>
      </c>
      <c r="B3938" t="str">
        <f t="shared" si="256"/>
        <v>1</v>
      </c>
      <c r="C3938" t="str">
        <f t="shared" si="257"/>
        <v>219</v>
      </c>
      <c r="D3938" t="str">
        <f>"19"</f>
        <v>19</v>
      </c>
      <c r="E3938" t="str">
        <f>"1-219-19"</f>
        <v>1-219-19</v>
      </c>
      <c r="F3938" t="s">
        <v>15</v>
      </c>
      <c r="G3938" t="s">
        <v>16</v>
      </c>
      <c r="H3938" t="s">
        <v>17</v>
      </c>
      <c r="I3938">
        <v>0</v>
      </c>
      <c r="J3938">
        <v>0</v>
      </c>
      <c r="K3938">
        <v>1</v>
      </c>
    </row>
    <row r="3939" spans="1:11" x14ac:dyDescent="0.25">
      <c r="A3939" t="str">
        <f>"4977"</f>
        <v>4977</v>
      </c>
      <c r="B3939" t="str">
        <f t="shared" si="256"/>
        <v>1</v>
      </c>
      <c r="C3939" t="str">
        <f t="shared" si="257"/>
        <v>219</v>
      </c>
      <c r="D3939" t="str">
        <f>"1"</f>
        <v>1</v>
      </c>
      <c r="E3939" t="str">
        <f>"1-219-1"</f>
        <v>1-219-1</v>
      </c>
      <c r="F3939" t="s">
        <v>15</v>
      </c>
      <c r="G3939" t="s">
        <v>16</v>
      </c>
      <c r="H3939" t="s">
        <v>17</v>
      </c>
      <c r="I3939">
        <v>1</v>
      </c>
      <c r="J3939">
        <v>0</v>
      </c>
      <c r="K3939">
        <v>0</v>
      </c>
    </row>
    <row r="3940" spans="1:11" x14ac:dyDescent="0.25">
      <c r="A3940" t="str">
        <f>"4978"</f>
        <v>4978</v>
      </c>
      <c r="B3940" t="str">
        <f t="shared" si="256"/>
        <v>1</v>
      </c>
      <c r="C3940" t="str">
        <f t="shared" si="257"/>
        <v>219</v>
      </c>
      <c r="D3940" t="str">
        <f>"20"</f>
        <v>20</v>
      </c>
      <c r="E3940" t="str">
        <f>"1-219-20"</f>
        <v>1-219-20</v>
      </c>
      <c r="F3940" t="s">
        <v>15</v>
      </c>
      <c r="G3940" t="s">
        <v>18</v>
      </c>
      <c r="H3940" t="s">
        <v>19</v>
      </c>
      <c r="I3940">
        <v>0</v>
      </c>
      <c r="J3940">
        <v>0</v>
      </c>
      <c r="K3940">
        <v>1</v>
      </c>
    </row>
    <row r="3941" spans="1:11" x14ac:dyDescent="0.25">
      <c r="A3941" t="str">
        <f>"4979"</f>
        <v>4979</v>
      </c>
      <c r="B3941" t="str">
        <f t="shared" si="256"/>
        <v>1</v>
      </c>
      <c r="C3941" t="str">
        <f t="shared" si="257"/>
        <v>219</v>
      </c>
      <c r="D3941" t="str">
        <f>"10"</f>
        <v>10</v>
      </c>
      <c r="E3941" t="str">
        <f>"1-219-10"</f>
        <v>1-219-10</v>
      </c>
      <c r="F3941" t="s">
        <v>15</v>
      </c>
      <c r="G3941" t="s">
        <v>16</v>
      </c>
      <c r="H3941" t="s">
        <v>17</v>
      </c>
      <c r="I3941">
        <v>1</v>
      </c>
      <c r="J3941">
        <v>0</v>
      </c>
      <c r="K3941">
        <v>0</v>
      </c>
    </row>
    <row r="3942" spans="1:11" x14ac:dyDescent="0.25">
      <c r="A3942" t="str">
        <f>"4980"</f>
        <v>4980</v>
      </c>
      <c r="B3942" t="str">
        <f t="shared" si="256"/>
        <v>1</v>
      </c>
      <c r="C3942" t="str">
        <f t="shared" si="257"/>
        <v>219</v>
      </c>
      <c r="D3942" t="str">
        <f>"22"</f>
        <v>22</v>
      </c>
      <c r="E3942" t="str">
        <f>"1-219-22"</f>
        <v>1-219-22</v>
      </c>
      <c r="F3942" t="s">
        <v>15</v>
      </c>
      <c r="G3942" t="s">
        <v>20</v>
      </c>
      <c r="H3942" t="s">
        <v>21</v>
      </c>
      <c r="I3942">
        <v>0</v>
      </c>
      <c r="J3942">
        <v>0</v>
      </c>
      <c r="K3942">
        <v>1</v>
      </c>
    </row>
    <row r="3943" spans="1:11" x14ac:dyDescent="0.25">
      <c r="A3943" t="str">
        <f>"4981"</f>
        <v>4981</v>
      </c>
      <c r="B3943" t="str">
        <f t="shared" si="256"/>
        <v>1</v>
      </c>
      <c r="C3943" t="str">
        <f t="shared" si="257"/>
        <v>219</v>
      </c>
      <c r="D3943" t="str">
        <f>"9"</f>
        <v>9</v>
      </c>
      <c r="E3943" t="str">
        <f>"1-219-9"</f>
        <v>1-219-9</v>
      </c>
      <c r="F3943" t="s">
        <v>15</v>
      </c>
      <c r="G3943" t="s">
        <v>16</v>
      </c>
      <c r="H3943" t="s">
        <v>17</v>
      </c>
      <c r="I3943">
        <v>1</v>
      </c>
      <c r="J3943">
        <v>0</v>
      </c>
      <c r="K3943">
        <v>0</v>
      </c>
    </row>
    <row r="3944" spans="1:11" x14ac:dyDescent="0.25">
      <c r="A3944" t="str">
        <f>"4982"</f>
        <v>4982</v>
      </c>
      <c r="B3944" t="str">
        <f t="shared" si="256"/>
        <v>1</v>
      </c>
      <c r="C3944" t="str">
        <f t="shared" si="257"/>
        <v>219</v>
      </c>
      <c r="D3944" t="str">
        <f>"23"</f>
        <v>23</v>
      </c>
      <c r="E3944" t="str">
        <f>"1-219-23"</f>
        <v>1-219-23</v>
      </c>
      <c r="F3944" t="s">
        <v>15</v>
      </c>
      <c r="G3944" t="s">
        <v>18</v>
      </c>
      <c r="H3944" t="s">
        <v>19</v>
      </c>
      <c r="I3944">
        <v>1</v>
      </c>
      <c r="J3944">
        <v>0</v>
      </c>
      <c r="K3944">
        <v>0</v>
      </c>
    </row>
    <row r="3945" spans="1:11" x14ac:dyDescent="0.25">
      <c r="A3945" t="str">
        <f>"4983"</f>
        <v>4983</v>
      </c>
      <c r="B3945" t="str">
        <f t="shared" si="256"/>
        <v>1</v>
      </c>
      <c r="C3945" t="str">
        <f t="shared" si="257"/>
        <v>219</v>
      </c>
      <c r="D3945" t="str">
        <f>"11"</f>
        <v>11</v>
      </c>
      <c r="E3945" t="str">
        <f>"1-219-11"</f>
        <v>1-219-11</v>
      </c>
      <c r="F3945" t="s">
        <v>15</v>
      </c>
      <c r="G3945" t="s">
        <v>16</v>
      </c>
      <c r="H3945" t="s">
        <v>17</v>
      </c>
      <c r="I3945">
        <v>0</v>
      </c>
      <c r="J3945">
        <v>0</v>
      </c>
      <c r="K3945">
        <v>1</v>
      </c>
    </row>
    <row r="3946" spans="1:11" x14ac:dyDescent="0.25">
      <c r="A3946" t="str">
        <f>"4984"</f>
        <v>4984</v>
      </c>
      <c r="B3946" t="str">
        <f t="shared" si="256"/>
        <v>1</v>
      </c>
      <c r="C3946" t="str">
        <f t="shared" si="257"/>
        <v>219</v>
      </c>
      <c r="D3946" t="str">
        <f>"25"</f>
        <v>25</v>
      </c>
      <c r="E3946" t="str">
        <f>"1-219-25"</f>
        <v>1-219-25</v>
      </c>
      <c r="F3946" t="s">
        <v>15</v>
      </c>
      <c r="G3946" t="s">
        <v>16</v>
      </c>
      <c r="H3946" t="s">
        <v>17</v>
      </c>
      <c r="I3946">
        <v>1</v>
      </c>
      <c r="J3946">
        <v>0</v>
      </c>
      <c r="K3946">
        <v>0</v>
      </c>
    </row>
    <row r="3947" spans="1:11" x14ac:dyDescent="0.25">
      <c r="A3947" t="str">
        <f>"4985"</f>
        <v>4985</v>
      </c>
      <c r="B3947" t="str">
        <f t="shared" si="256"/>
        <v>1</v>
      </c>
      <c r="C3947" t="str">
        <f t="shared" si="257"/>
        <v>219</v>
      </c>
      <c r="D3947" t="str">
        <f>"6"</f>
        <v>6</v>
      </c>
      <c r="E3947" t="str">
        <f>"1-219-6"</f>
        <v>1-219-6</v>
      </c>
      <c r="F3947" t="s">
        <v>15</v>
      </c>
      <c r="G3947" t="s">
        <v>16</v>
      </c>
      <c r="H3947" t="s">
        <v>17</v>
      </c>
      <c r="I3947">
        <v>0</v>
      </c>
      <c r="J3947">
        <v>1</v>
      </c>
      <c r="K3947">
        <v>0</v>
      </c>
    </row>
    <row r="3948" spans="1:11" x14ac:dyDescent="0.25">
      <c r="A3948" t="str">
        <f>"4986"</f>
        <v>4986</v>
      </c>
      <c r="B3948" t="str">
        <f t="shared" si="256"/>
        <v>1</v>
      </c>
      <c r="C3948" t="str">
        <f t="shared" si="257"/>
        <v>219</v>
      </c>
      <c r="D3948" t="str">
        <f>"27"</f>
        <v>27</v>
      </c>
      <c r="E3948" t="str">
        <f>"1-219-27"</f>
        <v>1-219-27</v>
      </c>
      <c r="F3948" t="s">
        <v>15</v>
      </c>
      <c r="G3948" t="s">
        <v>16</v>
      </c>
      <c r="H3948" t="s">
        <v>17</v>
      </c>
      <c r="I3948">
        <v>0</v>
      </c>
      <c r="J3948">
        <v>1</v>
      </c>
      <c r="K3948">
        <v>0</v>
      </c>
    </row>
    <row r="3949" spans="1:11" x14ac:dyDescent="0.25">
      <c r="A3949" t="str">
        <f>"4987"</f>
        <v>4987</v>
      </c>
      <c r="B3949" t="str">
        <f t="shared" si="256"/>
        <v>1</v>
      </c>
      <c r="C3949" t="str">
        <f t="shared" si="257"/>
        <v>219</v>
      </c>
      <c r="D3949" t="str">
        <f>"12"</f>
        <v>12</v>
      </c>
      <c r="E3949" t="str">
        <f>"1-219-12"</f>
        <v>1-219-12</v>
      </c>
      <c r="F3949" t="s">
        <v>15</v>
      </c>
      <c r="G3949" t="s">
        <v>16</v>
      </c>
      <c r="H3949" t="s">
        <v>17</v>
      </c>
      <c r="I3949">
        <v>1</v>
      </c>
      <c r="J3949">
        <v>0</v>
      </c>
      <c r="K3949">
        <v>0</v>
      </c>
    </row>
    <row r="3950" spans="1:11" x14ac:dyDescent="0.25">
      <c r="A3950" t="str">
        <f>"4988"</f>
        <v>4988</v>
      </c>
      <c r="B3950" t="str">
        <f t="shared" si="256"/>
        <v>1</v>
      </c>
      <c r="C3950" t="str">
        <f t="shared" si="257"/>
        <v>219</v>
      </c>
      <c r="D3950" t="str">
        <f>"28"</f>
        <v>28</v>
      </c>
      <c r="E3950" t="str">
        <f>"1-219-28"</f>
        <v>1-219-28</v>
      </c>
      <c r="F3950" t="s">
        <v>15</v>
      </c>
      <c r="G3950" t="s">
        <v>16</v>
      </c>
      <c r="H3950" t="s">
        <v>17</v>
      </c>
      <c r="I3950">
        <v>0</v>
      </c>
      <c r="J3950">
        <v>1</v>
      </c>
      <c r="K3950">
        <v>0</v>
      </c>
    </row>
    <row r="3951" spans="1:11" x14ac:dyDescent="0.25">
      <c r="A3951" t="str">
        <f>"4989"</f>
        <v>4989</v>
      </c>
      <c r="B3951" t="str">
        <f t="shared" si="256"/>
        <v>1</v>
      </c>
      <c r="C3951" t="str">
        <f t="shared" si="257"/>
        <v>219</v>
      </c>
      <c r="D3951" t="str">
        <f>"5"</f>
        <v>5</v>
      </c>
      <c r="E3951" t="str">
        <f>"1-219-5"</f>
        <v>1-219-5</v>
      </c>
      <c r="F3951" t="s">
        <v>15</v>
      </c>
      <c r="G3951" t="s">
        <v>16</v>
      </c>
      <c r="H3951" t="s">
        <v>17</v>
      </c>
      <c r="I3951">
        <v>0</v>
      </c>
      <c r="J3951">
        <v>1</v>
      </c>
      <c r="K3951">
        <v>0</v>
      </c>
    </row>
    <row r="3952" spans="1:11" x14ac:dyDescent="0.25">
      <c r="A3952" t="str">
        <f>"4990"</f>
        <v>4990</v>
      </c>
      <c r="B3952" t="str">
        <f t="shared" si="256"/>
        <v>1</v>
      </c>
      <c r="C3952" t="str">
        <f t="shared" si="257"/>
        <v>219</v>
      </c>
      <c r="D3952" t="str">
        <f>"14"</f>
        <v>14</v>
      </c>
      <c r="E3952" t="str">
        <f>"1-219-14"</f>
        <v>1-219-14</v>
      </c>
      <c r="F3952" t="s">
        <v>15</v>
      </c>
      <c r="G3952" t="s">
        <v>16</v>
      </c>
      <c r="H3952" t="s">
        <v>17</v>
      </c>
      <c r="I3952">
        <v>0</v>
      </c>
      <c r="J3952">
        <v>1</v>
      </c>
      <c r="K3952">
        <v>0</v>
      </c>
    </row>
    <row r="3953" spans="1:11" x14ac:dyDescent="0.25">
      <c r="A3953" t="str">
        <f>"4991"</f>
        <v>4991</v>
      </c>
      <c r="B3953" t="str">
        <f t="shared" si="256"/>
        <v>1</v>
      </c>
      <c r="C3953" t="str">
        <f t="shared" si="257"/>
        <v>219</v>
      </c>
      <c r="D3953" t="str">
        <f>"7"</f>
        <v>7</v>
      </c>
      <c r="E3953" t="str">
        <f>"1-219-7"</f>
        <v>1-219-7</v>
      </c>
      <c r="F3953" t="s">
        <v>15</v>
      </c>
      <c r="G3953" t="s">
        <v>16</v>
      </c>
      <c r="H3953" t="s">
        <v>17</v>
      </c>
      <c r="I3953">
        <v>0</v>
      </c>
      <c r="J3953">
        <v>1</v>
      </c>
      <c r="K3953">
        <v>0</v>
      </c>
    </row>
    <row r="3954" spans="1:11" x14ac:dyDescent="0.25">
      <c r="A3954" t="str">
        <f>"4992"</f>
        <v>4992</v>
      </c>
      <c r="B3954" t="str">
        <f t="shared" si="256"/>
        <v>1</v>
      </c>
      <c r="C3954" t="str">
        <f t="shared" si="257"/>
        <v>219</v>
      </c>
      <c r="D3954" t="str">
        <f>"3"</f>
        <v>3</v>
      </c>
      <c r="E3954" t="str">
        <f>"1-219-3"</f>
        <v>1-219-3</v>
      </c>
      <c r="F3954" t="s">
        <v>15</v>
      </c>
      <c r="G3954" t="s">
        <v>16</v>
      </c>
      <c r="H3954" t="s">
        <v>17</v>
      </c>
      <c r="I3954">
        <v>0</v>
      </c>
      <c r="J3954">
        <v>1</v>
      </c>
      <c r="K3954">
        <v>0</v>
      </c>
    </row>
    <row r="3955" spans="1:11" x14ac:dyDescent="0.25">
      <c r="A3955" t="str">
        <f>"4993"</f>
        <v>4993</v>
      </c>
      <c r="B3955" t="str">
        <f t="shared" si="256"/>
        <v>1</v>
      </c>
      <c r="C3955" t="str">
        <f t="shared" ref="C3955:C3974" si="258">"220"</f>
        <v>220</v>
      </c>
      <c r="D3955" t="str">
        <f>"19"</f>
        <v>19</v>
      </c>
      <c r="E3955" t="str">
        <f>"1-220-19"</f>
        <v>1-220-19</v>
      </c>
      <c r="F3955" t="s">
        <v>15</v>
      </c>
      <c r="G3955" t="s">
        <v>16</v>
      </c>
      <c r="H3955" t="s">
        <v>17</v>
      </c>
      <c r="I3955">
        <v>0</v>
      </c>
      <c r="J3955">
        <v>1</v>
      </c>
      <c r="K3955">
        <v>0</v>
      </c>
    </row>
    <row r="3956" spans="1:11" x14ac:dyDescent="0.25">
      <c r="A3956" t="str">
        <f>"4994"</f>
        <v>4994</v>
      </c>
      <c r="B3956" t="str">
        <f t="shared" si="256"/>
        <v>1</v>
      </c>
      <c r="C3956" t="str">
        <f t="shared" si="258"/>
        <v>220</v>
      </c>
      <c r="D3956" t="str">
        <f>"18"</f>
        <v>18</v>
      </c>
      <c r="E3956" t="str">
        <f>"1-220-18"</f>
        <v>1-220-18</v>
      </c>
      <c r="F3956" t="s">
        <v>15</v>
      </c>
      <c r="G3956" t="s">
        <v>16</v>
      </c>
      <c r="H3956" t="s">
        <v>17</v>
      </c>
      <c r="I3956">
        <v>1</v>
      </c>
      <c r="J3956">
        <v>0</v>
      </c>
      <c r="K3956">
        <v>0</v>
      </c>
    </row>
    <row r="3957" spans="1:11" x14ac:dyDescent="0.25">
      <c r="A3957" t="str">
        <f>"4995"</f>
        <v>4995</v>
      </c>
      <c r="B3957" t="str">
        <f t="shared" si="256"/>
        <v>1</v>
      </c>
      <c r="C3957" t="str">
        <f t="shared" si="258"/>
        <v>220</v>
      </c>
      <c r="D3957" t="str">
        <f>"17"</f>
        <v>17</v>
      </c>
      <c r="E3957" t="str">
        <f>"1-220-17"</f>
        <v>1-220-17</v>
      </c>
      <c r="F3957" t="s">
        <v>15</v>
      </c>
      <c r="G3957" t="s">
        <v>16</v>
      </c>
      <c r="H3957" t="s">
        <v>17</v>
      </c>
      <c r="I3957">
        <v>1</v>
      </c>
      <c r="J3957">
        <v>0</v>
      </c>
      <c r="K3957">
        <v>0</v>
      </c>
    </row>
    <row r="3958" spans="1:11" x14ac:dyDescent="0.25">
      <c r="A3958" t="str">
        <f>"4996"</f>
        <v>4996</v>
      </c>
      <c r="B3958" t="str">
        <f t="shared" si="256"/>
        <v>1</v>
      </c>
      <c r="C3958" t="str">
        <f t="shared" si="258"/>
        <v>220</v>
      </c>
      <c r="D3958" t="str">
        <f>"15"</f>
        <v>15</v>
      </c>
      <c r="E3958" t="str">
        <f>"1-220-15"</f>
        <v>1-220-15</v>
      </c>
      <c r="F3958" t="s">
        <v>15</v>
      </c>
      <c r="G3958" t="s">
        <v>18</v>
      </c>
      <c r="H3958" t="s">
        <v>19</v>
      </c>
      <c r="I3958">
        <v>0</v>
      </c>
      <c r="J3958">
        <v>1</v>
      </c>
      <c r="K3958">
        <v>0</v>
      </c>
    </row>
    <row r="3959" spans="1:11" x14ac:dyDescent="0.25">
      <c r="A3959" t="str">
        <f>"4997"</f>
        <v>4997</v>
      </c>
      <c r="B3959" t="str">
        <f t="shared" si="256"/>
        <v>1</v>
      </c>
      <c r="C3959" t="str">
        <f t="shared" si="258"/>
        <v>220</v>
      </c>
      <c r="D3959" t="str">
        <f>"5"</f>
        <v>5</v>
      </c>
      <c r="E3959" t="str">
        <f>"1-220-5"</f>
        <v>1-220-5</v>
      </c>
      <c r="F3959" t="s">
        <v>15</v>
      </c>
      <c r="G3959" t="s">
        <v>16</v>
      </c>
      <c r="H3959" t="s">
        <v>17</v>
      </c>
      <c r="I3959">
        <v>1</v>
      </c>
      <c r="J3959">
        <v>0</v>
      </c>
      <c r="K3959">
        <v>0</v>
      </c>
    </row>
    <row r="3960" spans="1:11" x14ac:dyDescent="0.25">
      <c r="A3960" t="str">
        <f>"4998"</f>
        <v>4998</v>
      </c>
      <c r="B3960" t="str">
        <f t="shared" si="256"/>
        <v>1</v>
      </c>
      <c r="C3960" t="str">
        <f t="shared" si="258"/>
        <v>220</v>
      </c>
      <c r="D3960" t="str">
        <f>"20"</f>
        <v>20</v>
      </c>
      <c r="E3960" t="str">
        <f>"1-220-20"</f>
        <v>1-220-20</v>
      </c>
      <c r="F3960" t="s">
        <v>15</v>
      </c>
      <c r="G3960" t="s">
        <v>18</v>
      </c>
      <c r="H3960" t="s">
        <v>19</v>
      </c>
      <c r="I3960">
        <v>0</v>
      </c>
      <c r="J3960">
        <v>1</v>
      </c>
      <c r="K3960">
        <v>0</v>
      </c>
    </row>
    <row r="3961" spans="1:11" x14ac:dyDescent="0.25">
      <c r="A3961" t="str">
        <f>"4999"</f>
        <v>4999</v>
      </c>
      <c r="B3961" t="str">
        <f t="shared" si="256"/>
        <v>1</v>
      </c>
      <c r="C3961" t="str">
        <f t="shared" si="258"/>
        <v>220</v>
      </c>
      <c r="D3961" t="str">
        <f>"16"</f>
        <v>16</v>
      </c>
      <c r="E3961" t="str">
        <f>"1-220-16"</f>
        <v>1-220-16</v>
      </c>
      <c r="F3961" t="s">
        <v>15</v>
      </c>
      <c r="G3961" t="s">
        <v>16</v>
      </c>
      <c r="H3961" t="s">
        <v>17</v>
      </c>
      <c r="I3961">
        <v>0</v>
      </c>
      <c r="J3961">
        <v>1</v>
      </c>
      <c r="K3961">
        <v>0</v>
      </c>
    </row>
    <row r="3962" spans="1:11" x14ac:dyDescent="0.25">
      <c r="A3962" t="str">
        <f>"5000"</f>
        <v>5000</v>
      </c>
      <c r="B3962" t="str">
        <f t="shared" si="256"/>
        <v>1</v>
      </c>
      <c r="C3962" t="str">
        <f t="shared" si="258"/>
        <v>220</v>
      </c>
      <c r="D3962" t="str">
        <f>"1"</f>
        <v>1</v>
      </c>
      <c r="E3962" t="str">
        <f>"1-220-1"</f>
        <v>1-220-1</v>
      </c>
      <c r="F3962" t="s">
        <v>15</v>
      </c>
      <c r="G3962" t="s">
        <v>16</v>
      </c>
      <c r="H3962" t="s">
        <v>17</v>
      </c>
      <c r="I3962">
        <v>1</v>
      </c>
      <c r="J3962">
        <v>0</v>
      </c>
      <c r="K3962">
        <v>0</v>
      </c>
    </row>
    <row r="3963" spans="1:11" x14ac:dyDescent="0.25">
      <c r="A3963" t="str">
        <f>"5002"</f>
        <v>5002</v>
      </c>
      <c r="B3963" t="str">
        <f t="shared" si="256"/>
        <v>1</v>
      </c>
      <c r="C3963" t="str">
        <f t="shared" si="258"/>
        <v>220</v>
      </c>
      <c r="D3963" t="str">
        <f>"11"</f>
        <v>11</v>
      </c>
      <c r="E3963" t="str">
        <f>"1-220-11"</f>
        <v>1-220-11</v>
      </c>
      <c r="F3963" t="s">
        <v>15</v>
      </c>
      <c r="G3963" t="s">
        <v>16</v>
      </c>
      <c r="H3963" t="s">
        <v>17</v>
      </c>
      <c r="I3963">
        <v>1</v>
      </c>
      <c r="J3963">
        <v>0</v>
      </c>
      <c r="K3963">
        <v>0</v>
      </c>
    </row>
    <row r="3964" spans="1:11" x14ac:dyDescent="0.25">
      <c r="A3964" t="str">
        <f>"5004"</f>
        <v>5004</v>
      </c>
      <c r="B3964" t="str">
        <f t="shared" si="256"/>
        <v>1</v>
      </c>
      <c r="C3964" t="str">
        <f t="shared" si="258"/>
        <v>220</v>
      </c>
      <c r="D3964" t="str">
        <f>"14"</f>
        <v>14</v>
      </c>
      <c r="E3964" t="str">
        <f>"1-220-14"</f>
        <v>1-220-14</v>
      </c>
      <c r="F3964" t="s">
        <v>15</v>
      </c>
      <c r="G3964" t="s">
        <v>16</v>
      </c>
      <c r="H3964" t="s">
        <v>17</v>
      </c>
      <c r="I3964">
        <v>1</v>
      </c>
      <c r="J3964">
        <v>0</v>
      </c>
      <c r="K3964">
        <v>0</v>
      </c>
    </row>
    <row r="3965" spans="1:11" x14ac:dyDescent="0.25">
      <c r="A3965" t="str">
        <f>"5006"</f>
        <v>5006</v>
      </c>
      <c r="B3965" t="str">
        <f t="shared" si="256"/>
        <v>1</v>
      </c>
      <c r="C3965" t="str">
        <f t="shared" si="258"/>
        <v>220</v>
      </c>
      <c r="D3965" t="str">
        <f>"2"</f>
        <v>2</v>
      </c>
      <c r="E3965" t="str">
        <f>"1-220-2"</f>
        <v>1-220-2</v>
      </c>
      <c r="F3965" t="s">
        <v>15</v>
      </c>
      <c r="G3965" t="s">
        <v>16</v>
      </c>
      <c r="H3965" t="s">
        <v>17</v>
      </c>
      <c r="I3965">
        <v>1</v>
      </c>
      <c r="J3965">
        <v>0</v>
      </c>
      <c r="K3965">
        <v>0</v>
      </c>
    </row>
    <row r="3966" spans="1:11" x14ac:dyDescent="0.25">
      <c r="A3966" t="str">
        <f>"5008"</f>
        <v>5008</v>
      </c>
      <c r="B3966" t="str">
        <f t="shared" si="256"/>
        <v>1</v>
      </c>
      <c r="C3966" t="str">
        <f t="shared" si="258"/>
        <v>220</v>
      </c>
      <c r="D3966" t="str">
        <f>"7"</f>
        <v>7</v>
      </c>
      <c r="E3966" t="str">
        <f>"1-220-7"</f>
        <v>1-220-7</v>
      </c>
      <c r="F3966" t="s">
        <v>15</v>
      </c>
      <c r="G3966" t="s">
        <v>20</v>
      </c>
      <c r="H3966" t="s">
        <v>21</v>
      </c>
      <c r="I3966">
        <v>0</v>
      </c>
      <c r="J3966">
        <v>1</v>
      </c>
      <c r="K3966">
        <v>0</v>
      </c>
    </row>
    <row r="3967" spans="1:11" x14ac:dyDescent="0.25">
      <c r="A3967" t="str">
        <f>"5010"</f>
        <v>5010</v>
      </c>
      <c r="B3967" t="str">
        <f t="shared" si="256"/>
        <v>1</v>
      </c>
      <c r="C3967" t="str">
        <f t="shared" si="258"/>
        <v>220</v>
      </c>
      <c r="D3967" t="str">
        <f>"12"</f>
        <v>12</v>
      </c>
      <c r="E3967" t="str">
        <f>"1-220-12"</f>
        <v>1-220-12</v>
      </c>
      <c r="F3967" t="s">
        <v>15</v>
      </c>
      <c r="G3967" t="s">
        <v>16</v>
      </c>
      <c r="H3967" t="s">
        <v>17</v>
      </c>
      <c r="I3967">
        <v>1</v>
      </c>
      <c r="J3967">
        <v>0</v>
      </c>
      <c r="K3967">
        <v>0</v>
      </c>
    </row>
    <row r="3968" spans="1:11" x14ac:dyDescent="0.25">
      <c r="A3968" t="str">
        <f>"5012"</f>
        <v>5012</v>
      </c>
      <c r="B3968" t="str">
        <f t="shared" si="256"/>
        <v>1</v>
      </c>
      <c r="C3968" t="str">
        <f t="shared" si="258"/>
        <v>220</v>
      </c>
      <c r="D3968" t="str">
        <f>"8"</f>
        <v>8</v>
      </c>
      <c r="E3968" t="str">
        <f>"1-220-8"</f>
        <v>1-220-8</v>
      </c>
      <c r="F3968" t="s">
        <v>15</v>
      </c>
      <c r="G3968" t="s">
        <v>16</v>
      </c>
      <c r="H3968" t="s">
        <v>17</v>
      </c>
      <c r="I3968">
        <v>1</v>
      </c>
      <c r="J3968">
        <v>0</v>
      </c>
      <c r="K3968">
        <v>0</v>
      </c>
    </row>
    <row r="3969" spans="1:11" x14ac:dyDescent="0.25">
      <c r="A3969" t="str">
        <f>"5014"</f>
        <v>5014</v>
      </c>
      <c r="B3969" t="str">
        <f t="shared" si="256"/>
        <v>1</v>
      </c>
      <c r="C3969" t="str">
        <f t="shared" si="258"/>
        <v>220</v>
      </c>
      <c r="D3969" t="str">
        <f>"4"</f>
        <v>4</v>
      </c>
      <c r="E3969" t="str">
        <f>"1-220-4"</f>
        <v>1-220-4</v>
      </c>
      <c r="F3969" t="s">
        <v>15</v>
      </c>
      <c r="G3969" t="s">
        <v>16</v>
      </c>
      <c r="H3969" t="s">
        <v>17</v>
      </c>
      <c r="I3969">
        <v>1</v>
      </c>
      <c r="J3969">
        <v>0</v>
      </c>
      <c r="K3969">
        <v>0</v>
      </c>
    </row>
    <row r="3970" spans="1:11" x14ac:dyDescent="0.25">
      <c r="A3970" t="str">
        <f>"5016"</f>
        <v>5016</v>
      </c>
      <c r="B3970" t="str">
        <f t="shared" si="256"/>
        <v>1</v>
      </c>
      <c r="C3970" t="str">
        <f t="shared" si="258"/>
        <v>220</v>
      </c>
      <c r="D3970" t="str">
        <f>"3"</f>
        <v>3</v>
      </c>
      <c r="E3970" t="str">
        <f>"1-220-3"</f>
        <v>1-220-3</v>
      </c>
      <c r="F3970" t="s">
        <v>15</v>
      </c>
      <c r="G3970" t="s">
        <v>16</v>
      </c>
      <c r="H3970" t="s">
        <v>17</v>
      </c>
      <c r="I3970">
        <v>1</v>
      </c>
      <c r="J3970">
        <v>0</v>
      </c>
      <c r="K3970">
        <v>0</v>
      </c>
    </row>
    <row r="3971" spans="1:11" x14ac:dyDescent="0.25">
      <c r="A3971" t="str">
        <f>"5018"</f>
        <v>5018</v>
      </c>
      <c r="B3971" t="str">
        <f t="shared" ref="B3971:B4008" si="259">"1"</f>
        <v>1</v>
      </c>
      <c r="C3971" t="str">
        <f t="shared" si="258"/>
        <v>220</v>
      </c>
      <c r="D3971" t="str">
        <f>"9"</f>
        <v>9</v>
      </c>
      <c r="E3971" t="str">
        <f>"1-220-9"</f>
        <v>1-220-9</v>
      </c>
      <c r="F3971" t="s">
        <v>15</v>
      </c>
      <c r="G3971" t="s">
        <v>16</v>
      </c>
      <c r="H3971" t="s">
        <v>17</v>
      </c>
      <c r="I3971">
        <v>0</v>
      </c>
      <c r="J3971">
        <v>0</v>
      </c>
      <c r="K3971">
        <v>1</v>
      </c>
    </row>
    <row r="3972" spans="1:11" x14ac:dyDescent="0.25">
      <c r="A3972" t="str">
        <f>"5020"</f>
        <v>5020</v>
      </c>
      <c r="B3972" t="str">
        <f t="shared" si="259"/>
        <v>1</v>
      </c>
      <c r="C3972" t="str">
        <f t="shared" si="258"/>
        <v>220</v>
      </c>
      <c r="D3972" t="str">
        <f>"13"</f>
        <v>13</v>
      </c>
      <c r="E3972" t="str">
        <f>"1-220-13"</f>
        <v>1-220-13</v>
      </c>
      <c r="F3972" t="s">
        <v>15</v>
      </c>
      <c r="G3972" t="s">
        <v>16</v>
      </c>
      <c r="H3972" t="s">
        <v>17</v>
      </c>
      <c r="I3972">
        <v>0</v>
      </c>
      <c r="J3972">
        <v>1</v>
      </c>
      <c r="K3972">
        <v>0</v>
      </c>
    </row>
    <row r="3973" spans="1:11" x14ac:dyDescent="0.25">
      <c r="A3973" t="str">
        <f>"5022"</f>
        <v>5022</v>
      </c>
      <c r="B3973" t="str">
        <f t="shared" si="259"/>
        <v>1</v>
      </c>
      <c r="C3973" t="str">
        <f t="shared" si="258"/>
        <v>220</v>
      </c>
      <c r="D3973" t="str">
        <f>"6"</f>
        <v>6</v>
      </c>
      <c r="E3973" t="str">
        <f>"1-220-6"</f>
        <v>1-220-6</v>
      </c>
      <c r="F3973" t="s">
        <v>15</v>
      </c>
      <c r="G3973" t="s">
        <v>20</v>
      </c>
      <c r="H3973" t="s">
        <v>21</v>
      </c>
      <c r="I3973">
        <v>0</v>
      </c>
      <c r="J3973">
        <v>1</v>
      </c>
      <c r="K3973">
        <v>0</v>
      </c>
    </row>
    <row r="3974" spans="1:11" x14ac:dyDescent="0.25">
      <c r="A3974" t="str">
        <f>"5024"</f>
        <v>5024</v>
      </c>
      <c r="B3974" t="str">
        <f t="shared" si="259"/>
        <v>1</v>
      </c>
      <c r="C3974" t="str">
        <f t="shared" si="258"/>
        <v>220</v>
      </c>
      <c r="D3974" t="str">
        <f>"10"</f>
        <v>10</v>
      </c>
      <c r="E3974" t="str">
        <f>"1-220-10"</f>
        <v>1-220-10</v>
      </c>
      <c r="F3974" t="s">
        <v>15</v>
      </c>
      <c r="G3974" t="s">
        <v>16</v>
      </c>
      <c r="H3974" t="s">
        <v>17</v>
      </c>
      <c r="I3974">
        <v>1</v>
      </c>
      <c r="J3974">
        <v>0</v>
      </c>
      <c r="K3974">
        <v>0</v>
      </c>
    </row>
    <row r="3975" spans="1:11" x14ac:dyDescent="0.25">
      <c r="A3975" t="str">
        <f>"5048"</f>
        <v>5048</v>
      </c>
      <c r="B3975" t="str">
        <f t="shared" si="259"/>
        <v>1</v>
      </c>
      <c r="C3975" t="str">
        <f t="shared" ref="C3975:C3999" si="260">"222"</f>
        <v>222</v>
      </c>
      <c r="D3975" t="str">
        <f>"19"</f>
        <v>19</v>
      </c>
      <c r="E3975" t="str">
        <f>"1-222-19"</f>
        <v>1-222-19</v>
      </c>
      <c r="F3975" t="s">
        <v>15</v>
      </c>
      <c r="G3975" t="s">
        <v>18</v>
      </c>
      <c r="H3975" t="s">
        <v>19</v>
      </c>
      <c r="I3975">
        <v>1</v>
      </c>
      <c r="J3975">
        <v>0</v>
      </c>
      <c r="K3975">
        <v>0</v>
      </c>
    </row>
    <row r="3976" spans="1:11" x14ac:dyDescent="0.25">
      <c r="A3976" t="str">
        <f>"5049"</f>
        <v>5049</v>
      </c>
      <c r="B3976" t="str">
        <f t="shared" si="259"/>
        <v>1</v>
      </c>
      <c r="C3976" t="str">
        <f t="shared" si="260"/>
        <v>222</v>
      </c>
      <c r="D3976" t="str">
        <f>"15"</f>
        <v>15</v>
      </c>
      <c r="E3976" t="str">
        <f>"1-222-15"</f>
        <v>1-222-15</v>
      </c>
      <c r="F3976" t="s">
        <v>15</v>
      </c>
      <c r="G3976" t="s">
        <v>16</v>
      </c>
      <c r="H3976" t="s">
        <v>17</v>
      </c>
      <c r="I3976">
        <v>0</v>
      </c>
      <c r="J3976">
        <v>1</v>
      </c>
      <c r="K3976">
        <v>0</v>
      </c>
    </row>
    <row r="3977" spans="1:11" x14ac:dyDescent="0.25">
      <c r="A3977" t="str">
        <f>"5050"</f>
        <v>5050</v>
      </c>
      <c r="B3977" t="str">
        <f t="shared" si="259"/>
        <v>1</v>
      </c>
      <c r="C3977" t="str">
        <f t="shared" si="260"/>
        <v>222</v>
      </c>
      <c r="D3977" t="str">
        <f>"1"</f>
        <v>1</v>
      </c>
      <c r="E3977" t="str">
        <f>"1-222-1"</f>
        <v>1-222-1</v>
      </c>
      <c r="F3977" t="s">
        <v>15</v>
      </c>
      <c r="G3977" t="s">
        <v>16</v>
      </c>
      <c r="H3977" t="s">
        <v>17</v>
      </c>
      <c r="I3977">
        <v>1</v>
      </c>
      <c r="J3977">
        <v>0</v>
      </c>
      <c r="K3977">
        <v>0</v>
      </c>
    </row>
    <row r="3978" spans="1:11" x14ac:dyDescent="0.25">
      <c r="A3978" t="str">
        <f>"5051"</f>
        <v>5051</v>
      </c>
      <c r="B3978" t="str">
        <f t="shared" si="259"/>
        <v>1</v>
      </c>
      <c r="C3978" t="str">
        <f t="shared" si="260"/>
        <v>222</v>
      </c>
      <c r="D3978" t="str">
        <f>"23"</f>
        <v>23</v>
      </c>
      <c r="E3978" t="str">
        <f>"1-222-23"</f>
        <v>1-222-23</v>
      </c>
      <c r="F3978" t="s">
        <v>15</v>
      </c>
      <c r="G3978" t="s">
        <v>16</v>
      </c>
      <c r="H3978" t="s">
        <v>17</v>
      </c>
      <c r="I3978">
        <v>1</v>
      </c>
      <c r="J3978">
        <v>0</v>
      </c>
      <c r="K3978">
        <v>0</v>
      </c>
    </row>
    <row r="3979" spans="1:11" x14ac:dyDescent="0.25">
      <c r="A3979" t="str">
        <f>"5052"</f>
        <v>5052</v>
      </c>
      <c r="B3979" t="str">
        <f t="shared" si="259"/>
        <v>1</v>
      </c>
      <c r="C3979" t="str">
        <f t="shared" si="260"/>
        <v>222</v>
      </c>
      <c r="D3979" t="str">
        <f>"16"</f>
        <v>16</v>
      </c>
      <c r="E3979" t="str">
        <f>"1-222-16"</f>
        <v>1-222-16</v>
      </c>
      <c r="F3979" t="s">
        <v>15</v>
      </c>
      <c r="G3979" t="s">
        <v>16</v>
      </c>
      <c r="H3979" t="s">
        <v>17</v>
      </c>
      <c r="I3979">
        <v>1</v>
      </c>
      <c r="J3979">
        <v>0</v>
      </c>
      <c r="K3979">
        <v>0</v>
      </c>
    </row>
    <row r="3980" spans="1:11" x14ac:dyDescent="0.25">
      <c r="A3980" t="str">
        <f>"5053"</f>
        <v>5053</v>
      </c>
      <c r="B3980" t="str">
        <f t="shared" si="259"/>
        <v>1</v>
      </c>
      <c r="C3980" t="str">
        <f t="shared" si="260"/>
        <v>222</v>
      </c>
      <c r="D3980" t="str">
        <f>"17"</f>
        <v>17</v>
      </c>
      <c r="E3980" t="str">
        <f>"1-222-17"</f>
        <v>1-222-17</v>
      </c>
      <c r="F3980" t="s">
        <v>15</v>
      </c>
      <c r="G3980" t="s">
        <v>16</v>
      </c>
      <c r="H3980" t="s">
        <v>17</v>
      </c>
      <c r="I3980">
        <v>1</v>
      </c>
      <c r="J3980">
        <v>0</v>
      </c>
      <c r="K3980">
        <v>0</v>
      </c>
    </row>
    <row r="3981" spans="1:11" x14ac:dyDescent="0.25">
      <c r="A3981" t="str">
        <f>"5054"</f>
        <v>5054</v>
      </c>
      <c r="B3981" t="str">
        <f t="shared" si="259"/>
        <v>1</v>
      </c>
      <c r="C3981" t="str">
        <f t="shared" si="260"/>
        <v>222</v>
      </c>
      <c r="D3981" t="str">
        <f>"4"</f>
        <v>4</v>
      </c>
      <c r="E3981" t="str">
        <f>"1-222-4"</f>
        <v>1-222-4</v>
      </c>
      <c r="F3981" t="s">
        <v>15</v>
      </c>
      <c r="G3981" t="s">
        <v>20</v>
      </c>
      <c r="H3981" t="s">
        <v>21</v>
      </c>
      <c r="I3981">
        <v>1</v>
      </c>
      <c r="J3981">
        <v>0</v>
      </c>
      <c r="K3981">
        <v>0</v>
      </c>
    </row>
    <row r="3982" spans="1:11" x14ac:dyDescent="0.25">
      <c r="A3982" t="str">
        <f>"5055"</f>
        <v>5055</v>
      </c>
      <c r="B3982" t="str">
        <f t="shared" si="259"/>
        <v>1</v>
      </c>
      <c r="C3982" t="str">
        <f t="shared" si="260"/>
        <v>222</v>
      </c>
      <c r="D3982" t="str">
        <f>"18"</f>
        <v>18</v>
      </c>
      <c r="E3982" t="str">
        <f>"1-222-18"</f>
        <v>1-222-18</v>
      </c>
      <c r="F3982" t="s">
        <v>15</v>
      </c>
      <c r="G3982" t="s">
        <v>16</v>
      </c>
      <c r="H3982" t="s">
        <v>17</v>
      </c>
      <c r="I3982">
        <v>0</v>
      </c>
      <c r="J3982">
        <v>1</v>
      </c>
      <c r="K3982">
        <v>0</v>
      </c>
    </row>
    <row r="3983" spans="1:11" x14ac:dyDescent="0.25">
      <c r="A3983" t="str">
        <f>"5056"</f>
        <v>5056</v>
      </c>
      <c r="B3983" t="str">
        <f t="shared" si="259"/>
        <v>1</v>
      </c>
      <c r="C3983" t="str">
        <f t="shared" si="260"/>
        <v>222</v>
      </c>
      <c r="D3983" t="str">
        <f>"14"</f>
        <v>14</v>
      </c>
      <c r="E3983" t="str">
        <f>"1-222-14"</f>
        <v>1-222-14</v>
      </c>
      <c r="F3983" t="s">
        <v>15</v>
      </c>
      <c r="G3983" t="s">
        <v>20</v>
      </c>
      <c r="H3983" t="s">
        <v>21</v>
      </c>
      <c r="I3983">
        <v>0</v>
      </c>
      <c r="J3983">
        <v>0</v>
      </c>
      <c r="K3983">
        <v>1</v>
      </c>
    </row>
    <row r="3984" spans="1:11" x14ac:dyDescent="0.25">
      <c r="A3984" t="str">
        <f>"5057"</f>
        <v>5057</v>
      </c>
      <c r="B3984" t="str">
        <f t="shared" si="259"/>
        <v>1</v>
      </c>
      <c r="C3984" t="str">
        <f t="shared" si="260"/>
        <v>222</v>
      </c>
      <c r="D3984" t="str">
        <f>"20"</f>
        <v>20</v>
      </c>
      <c r="E3984" t="str">
        <f>"1-222-20"</f>
        <v>1-222-20</v>
      </c>
      <c r="F3984" t="s">
        <v>15</v>
      </c>
      <c r="G3984" t="s">
        <v>16</v>
      </c>
      <c r="H3984" t="s">
        <v>17</v>
      </c>
      <c r="I3984">
        <v>1</v>
      </c>
      <c r="J3984">
        <v>0</v>
      </c>
      <c r="K3984">
        <v>0</v>
      </c>
    </row>
    <row r="3985" spans="1:11" x14ac:dyDescent="0.25">
      <c r="A3985" t="str">
        <f>"5058"</f>
        <v>5058</v>
      </c>
      <c r="B3985" t="str">
        <f t="shared" si="259"/>
        <v>1</v>
      </c>
      <c r="C3985" t="str">
        <f t="shared" si="260"/>
        <v>222</v>
      </c>
      <c r="D3985" t="str">
        <f>"9"</f>
        <v>9</v>
      </c>
      <c r="E3985" t="str">
        <f>"1-222-9"</f>
        <v>1-222-9</v>
      </c>
      <c r="F3985" t="s">
        <v>15</v>
      </c>
      <c r="G3985" t="s">
        <v>16</v>
      </c>
      <c r="H3985" t="s">
        <v>17</v>
      </c>
      <c r="I3985">
        <v>0</v>
      </c>
      <c r="J3985">
        <v>1</v>
      </c>
      <c r="K3985">
        <v>0</v>
      </c>
    </row>
    <row r="3986" spans="1:11" x14ac:dyDescent="0.25">
      <c r="A3986" t="str">
        <f>"5059"</f>
        <v>5059</v>
      </c>
      <c r="B3986" t="str">
        <f t="shared" si="259"/>
        <v>1</v>
      </c>
      <c r="C3986" t="str">
        <f t="shared" si="260"/>
        <v>222</v>
      </c>
      <c r="D3986" t="str">
        <f>"21"</f>
        <v>21</v>
      </c>
      <c r="E3986" t="str">
        <f>"1-222-21"</f>
        <v>1-222-21</v>
      </c>
      <c r="F3986" t="s">
        <v>15</v>
      </c>
      <c r="G3986" t="s">
        <v>16</v>
      </c>
      <c r="H3986" t="s">
        <v>17</v>
      </c>
      <c r="I3986">
        <v>0</v>
      </c>
      <c r="J3986">
        <v>1</v>
      </c>
      <c r="K3986">
        <v>0</v>
      </c>
    </row>
    <row r="3987" spans="1:11" x14ac:dyDescent="0.25">
      <c r="A3987" t="str">
        <f>"5060"</f>
        <v>5060</v>
      </c>
      <c r="B3987" t="str">
        <f t="shared" si="259"/>
        <v>1</v>
      </c>
      <c r="C3987" t="str">
        <f t="shared" si="260"/>
        <v>222</v>
      </c>
      <c r="D3987" t="str">
        <f>"3"</f>
        <v>3</v>
      </c>
      <c r="E3987" t="str">
        <f>"1-222-3"</f>
        <v>1-222-3</v>
      </c>
      <c r="F3987" t="s">
        <v>15</v>
      </c>
      <c r="G3987" t="s">
        <v>16</v>
      </c>
      <c r="H3987" t="s">
        <v>17</v>
      </c>
      <c r="I3987">
        <v>1</v>
      </c>
      <c r="J3987">
        <v>0</v>
      </c>
      <c r="K3987">
        <v>0</v>
      </c>
    </row>
    <row r="3988" spans="1:11" x14ac:dyDescent="0.25">
      <c r="A3988" t="str">
        <f>"5061"</f>
        <v>5061</v>
      </c>
      <c r="B3988" t="str">
        <f t="shared" si="259"/>
        <v>1</v>
      </c>
      <c r="C3988" t="str">
        <f t="shared" si="260"/>
        <v>222</v>
      </c>
      <c r="D3988" t="str">
        <f>"22"</f>
        <v>22</v>
      </c>
      <c r="E3988" t="str">
        <f>"1-222-22"</f>
        <v>1-222-22</v>
      </c>
      <c r="F3988" t="s">
        <v>15</v>
      </c>
      <c r="G3988" t="s">
        <v>16</v>
      </c>
      <c r="H3988" t="s">
        <v>17</v>
      </c>
      <c r="I3988">
        <v>1</v>
      </c>
      <c r="J3988">
        <v>0</v>
      </c>
      <c r="K3988">
        <v>0</v>
      </c>
    </row>
    <row r="3989" spans="1:11" x14ac:dyDescent="0.25">
      <c r="A3989" t="str">
        <f>"5062"</f>
        <v>5062</v>
      </c>
      <c r="B3989" t="str">
        <f t="shared" si="259"/>
        <v>1</v>
      </c>
      <c r="C3989" t="str">
        <f t="shared" si="260"/>
        <v>222</v>
      </c>
      <c r="D3989" t="str">
        <f>"12"</f>
        <v>12</v>
      </c>
      <c r="E3989" t="str">
        <f>"1-222-12"</f>
        <v>1-222-12</v>
      </c>
      <c r="F3989" t="s">
        <v>15</v>
      </c>
      <c r="G3989" t="s">
        <v>16</v>
      </c>
      <c r="H3989" t="s">
        <v>17</v>
      </c>
      <c r="I3989">
        <v>1</v>
      </c>
      <c r="J3989">
        <v>0</v>
      </c>
      <c r="K3989">
        <v>0</v>
      </c>
    </row>
    <row r="3990" spans="1:11" x14ac:dyDescent="0.25">
      <c r="A3990" t="str">
        <f>"5063"</f>
        <v>5063</v>
      </c>
      <c r="B3990" t="str">
        <f t="shared" si="259"/>
        <v>1</v>
      </c>
      <c r="C3990" t="str">
        <f t="shared" si="260"/>
        <v>222</v>
      </c>
      <c r="D3990" t="str">
        <f>"24"</f>
        <v>24</v>
      </c>
      <c r="E3990" t="str">
        <f>"1-222-24"</f>
        <v>1-222-24</v>
      </c>
      <c r="F3990" t="s">
        <v>15</v>
      </c>
      <c r="G3990" t="s">
        <v>16</v>
      </c>
      <c r="H3990" t="s">
        <v>17</v>
      </c>
      <c r="I3990">
        <v>1</v>
      </c>
      <c r="J3990">
        <v>0</v>
      </c>
      <c r="K3990">
        <v>0</v>
      </c>
    </row>
    <row r="3991" spans="1:11" x14ac:dyDescent="0.25">
      <c r="A3991" t="str">
        <f>"5064"</f>
        <v>5064</v>
      </c>
      <c r="B3991" t="str">
        <f t="shared" si="259"/>
        <v>1</v>
      </c>
      <c r="C3991" t="str">
        <f t="shared" si="260"/>
        <v>222</v>
      </c>
      <c r="D3991" t="str">
        <f>"5"</f>
        <v>5</v>
      </c>
      <c r="E3991" t="str">
        <f>"1-222-5"</f>
        <v>1-222-5</v>
      </c>
      <c r="F3991" t="s">
        <v>15</v>
      </c>
      <c r="G3991" t="s">
        <v>16</v>
      </c>
      <c r="H3991" t="s">
        <v>17</v>
      </c>
      <c r="I3991">
        <v>1</v>
      </c>
      <c r="J3991">
        <v>0</v>
      </c>
      <c r="K3991">
        <v>0</v>
      </c>
    </row>
    <row r="3992" spans="1:11" x14ac:dyDescent="0.25">
      <c r="A3992" t="str">
        <f>"5065"</f>
        <v>5065</v>
      </c>
      <c r="B3992" t="str">
        <f t="shared" si="259"/>
        <v>1</v>
      </c>
      <c r="C3992" t="str">
        <f t="shared" si="260"/>
        <v>222</v>
      </c>
      <c r="D3992" t="str">
        <f>"25"</f>
        <v>25</v>
      </c>
      <c r="E3992" t="str">
        <f>"1-222-25"</f>
        <v>1-222-25</v>
      </c>
      <c r="F3992" t="s">
        <v>15</v>
      </c>
      <c r="G3992" t="s">
        <v>16</v>
      </c>
      <c r="H3992" t="s">
        <v>17</v>
      </c>
      <c r="I3992">
        <v>0</v>
      </c>
      <c r="J3992">
        <v>1</v>
      </c>
      <c r="K3992">
        <v>0</v>
      </c>
    </row>
    <row r="3993" spans="1:11" x14ac:dyDescent="0.25">
      <c r="A3993" t="str">
        <f>"5066"</f>
        <v>5066</v>
      </c>
      <c r="B3993" t="str">
        <f t="shared" si="259"/>
        <v>1</v>
      </c>
      <c r="C3993" t="str">
        <f t="shared" si="260"/>
        <v>222</v>
      </c>
      <c r="D3993" t="str">
        <f>"7"</f>
        <v>7</v>
      </c>
      <c r="E3993" t="str">
        <f>"1-222-7"</f>
        <v>1-222-7</v>
      </c>
      <c r="F3993" t="s">
        <v>15</v>
      </c>
      <c r="G3993" t="s">
        <v>16</v>
      </c>
      <c r="H3993" t="s">
        <v>17</v>
      </c>
      <c r="I3993">
        <v>0</v>
      </c>
      <c r="J3993">
        <v>0</v>
      </c>
      <c r="K3993">
        <v>1</v>
      </c>
    </row>
    <row r="3994" spans="1:11" x14ac:dyDescent="0.25">
      <c r="A3994" t="str">
        <f>"5067"</f>
        <v>5067</v>
      </c>
      <c r="B3994" t="str">
        <f t="shared" si="259"/>
        <v>1</v>
      </c>
      <c r="C3994" t="str">
        <f t="shared" si="260"/>
        <v>222</v>
      </c>
      <c r="D3994" t="str">
        <f>"8"</f>
        <v>8</v>
      </c>
      <c r="E3994" t="str">
        <f>"1-222-8"</f>
        <v>1-222-8</v>
      </c>
      <c r="F3994" t="s">
        <v>15</v>
      </c>
      <c r="G3994" t="s">
        <v>16</v>
      </c>
      <c r="H3994" t="s">
        <v>17</v>
      </c>
      <c r="I3994">
        <v>0</v>
      </c>
      <c r="J3994">
        <v>1</v>
      </c>
      <c r="K3994">
        <v>0</v>
      </c>
    </row>
    <row r="3995" spans="1:11" x14ac:dyDescent="0.25">
      <c r="A3995" t="str">
        <f>"5068"</f>
        <v>5068</v>
      </c>
      <c r="B3995" t="str">
        <f t="shared" si="259"/>
        <v>1</v>
      </c>
      <c r="C3995" t="str">
        <f t="shared" si="260"/>
        <v>222</v>
      </c>
      <c r="D3995" t="str">
        <f>"2"</f>
        <v>2</v>
      </c>
      <c r="E3995" t="str">
        <f>"1-222-2"</f>
        <v>1-222-2</v>
      </c>
      <c r="F3995" t="s">
        <v>15</v>
      </c>
      <c r="G3995" t="s">
        <v>18</v>
      </c>
      <c r="H3995" t="s">
        <v>19</v>
      </c>
      <c r="I3995">
        <v>1</v>
      </c>
      <c r="J3995">
        <v>0</v>
      </c>
      <c r="K3995">
        <v>0</v>
      </c>
    </row>
    <row r="3996" spans="1:11" x14ac:dyDescent="0.25">
      <c r="A3996" t="str">
        <f>"5069"</f>
        <v>5069</v>
      </c>
      <c r="B3996" t="str">
        <f t="shared" si="259"/>
        <v>1</v>
      </c>
      <c r="C3996" t="str">
        <f t="shared" si="260"/>
        <v>222</v>
      </c>
      <c r="D3996" t="str">
        <f>"11"</f>
        <v>11</v>
      </c>
      <c r="E3996" t="str">
        <f>"1-222-11"</f>
        <v>1-222-11</v>
      </c>
      <c r="F3996" t="s">
        <v>15</v>
      </c>
      <c r="G3996" t="s">
        <v>16</v>
      </c>
      <c r="H3996" t="s">
        <v>17</v>
      </c>
      <c r="I3996">
        <v>0</v>
      </c>
      <c r="J3996">
        <v>1</v>
      </c>
      <c r="K3996">
        <v>0</v>
      </c>
    </row>
    <row r="3997" spans="1:11" x14ac:dyDescent="0.25">
      <c r="A3997" t="str">
        <f>"5070"</f>
        <v>5070</v>
      </c>
      <c r="B3997" t="str">
        <f t="shared" si="259"/>
        <v>1</v>
      </c>
      <c r="C3997" t="str">
        <f t="shared" si="260"/>
        <v>222</v>
      </c>
      <c r="D3997" t="str">
        <f>"13"</f>
        <v>13</v>
      </c>
      <c r="E3997" t="str">
        <f>"1-222-13"</f>
        <v>1-222-13</v>
      </c>
      <c r="F3997" t="s">
        <v>15</v>
      </c>
      <c r="G3997" t="s">
        <v>16</v>
      </c>
      <c r="H3997" t="s">
        <v>17</v>
      </c>
      <c r="I3997">
        <v>1</v>
      </c>
      <c r="J3997">
        <v>0</v>
      </c>
      <c r="K3997">
        <v>0</v>
      </c>
    </row>
    <row r="3998" spans="1:11" x14ac:dyDescent="0.25">
      <c r="A3998" t="str">
        <f>"5071"</f>
        <v>5071</v>
      </c>
      <c r="B3998" t="str">
        <f t="shared" si="259"/>
        <v>1</v>
      </c>
      <c r="C3998" t="str">
        <f t="shared" si="260"/>
        <v>222</v>
      </c>
      <c r="D3998" t="str">
        <f>"10"</f>
        <v>10</v>
      </c>
      <c r="E3998" t="str">
        <f>"1-222-10"</f>
        <v>1-222-10</v>
      </c>
      <c r="F3998" t="s">
        <v>15</v>
      </c>
      <c r="G3998" t="s">
        <v>16</v>
      </c>
      <c r="H3998" t="s">
        <v>17</v>
      </c>
      <c r="I3998">
        <v>0</v>
      </c>
      <c r="J3998">
        <v>0</v>
      </c>
      <c r="K3998">
        <v>1</v>
      </c>
    </row>
    <row r="3999" spans="1:11" x14ac:dyDescent="0.25">
      <c r="A3999" t="str">
        <f>"5072"</f>
        <v>5072</v>
      </c>
      <c r="B3999" t="str">
        <f t="shared" si="259"/>
        <v>1</v>
      </c>
      <c r="C3999" t="str">
        <f t="shared" si="260"/>
        <v>222</v>
      </c>
      <c r="D3999" t="str">
        <f>"6"</f>
        <v>6</v>
      </c>
      <c r="E3999" t="str">
        <f>"1-222-6"</f>
        <v>1-222-6</v>
      </c>
      <c r="F3999" t="s">
        <v>15</v>
      </c>
      <c r="G3999" t="s">
        <v>20</v>
      </c>
      <c r="H3999" t="s">
        <v>21</v>
      </c>
      <c r="I3999">
        <v>0</v>
      </c>
      <c r="J3999">
        <v>0</v>
      </c>
      <c r="K3999">
        <v>0</v>
      </c>
    </row>
    <row r="4000" spans="1:11" x14ac:dyDescent="0.25">
      <c r="A4000" t="str">
        <f>"5073"</f>
        <v>5073</v>
      </c>
      <c r="B4000" t="str">
        <f t="shared" si="259"/>
        <v>1</v>
      </c>
      <c r="C4000" t="str">
        <f t="shared" ref="C4000:C4023" si="261">"223"</f>
        <v>223</v>
      </c>
      <c r="D4000" t="str">
        <f>"19"</f>
        <v>19</v>
      </c>
      <c r="E4000" t="str">
        <f>"1-223-19"</f>
        <v>1-223-19</v>
      </c>
      <c r="F4000" t="s">
        <v>15</v>
      </c>
      <c r="G4000" t="s">
        <v>20</v>
      </c>
      <c r="H4000" t="s">
        <v>21</v>
      </c>
      <c r="I4000">
        <v>1</v>
      </c>
      <c r="J4000">
        <v>0</v>
      </c>
      <c r="K4000">
        <v>0</v>
      </c>
    </row>
    <row r="4001" spans="1:11" x14ac:dyDescent="0.25">
      <c r="A4001" t="str">
        <f>"5074"</f>
        <v>5074</v>
      </c>
      <c r="B4001" t="str">
        <f t="shared" si="259"/>
        <v>1</v>
      </c>
      <c r="C4001" t="str">
        <f t="shared" si="261"/>
        <v>223</v>
      </c>
      <c r="D4001" t="str">
        <f>"18"</f>
        <v>18</v>
      </c>
      <c r="E4001" t="str">
        <f>"1-223-18"</f>
        <v>1-223-18</v>
      </c>
      <c r="F4001" t="s">
        <v>15</v>
      </c>
      <c r="G4001" t="s">
        <v>20</v>
      </c>
      <c r="H4001" t="s">
        <v>21</v>
      </c>
      <c r="I4001">
        <v>1</v>
      </c>
      <c r="J4001">
        <v>0</v>
      </c>
      <c r="K4001">
        <v>0</v>
      </c>
    </row>
    <row r="4002" spans="1:11" x14ac:dyDescent="0.25">
      <c r="A4002" t="str">
        <f>"5075"</f>
        <v>5075</v>
      </c>
      <c r="B4002" t="str">
        <f t="shared" si="259"/>
        <v>1</v>
      </c>
      <c r="C4002" t="str">
        <f t="shared" si="261"/>
        <v>223</v>
      </c>
      <c r="D4002" t="str">
        <f>"17"</f>
        <v>17</v>
      </c>
      <c r="E4002" t="str">
        <f>"1-223-17"</f>
        <v>1-223-17</v>
      </c>
      <c r="F4002" t="s">
        <v>15</v>
      </c>
      <c r="G4002" t="s">
        <v>20</v>
      </c>
      <c r="H4002" t="s">
        <v>21</v>
      </c>
      <c r="I4002">
        <v>0</v>
      </c>
      <c r="J4002">
        <v>0</v>
      </c>
      <c r="K4002">
        <v>1</v>
      </c>
    </row>
    <row r="4003" spans="1:11" x14ac:dyDescent="0.25">
      <c r="A4003" t="str">
        <f>"5076"</f>
        <v>5076</v>
      </c>
      <c r="B4003" t="str">
        <f t="shared" si="259"/>
        <v>1</v>
      </c>
      <c r="C4003" t="str">
        <f t="shared" si="261"/>
        <v>223</v>
      </c>
      <c r="D4003" t="str">
        <f>"15"</f>
        <v>15</v>
      </c>
      <c r="E4003" t="str">
        <f>"1-223-15"</f>
        <v>1-223-15</v>
      </c>
      <c r="F4003" t="s">
        <v>15</v>
      </c>
      <c r="G4003" t="s">
        <v>20</v>
      </c>
      <c r="H4003" t="s">
        <v>21</v>
      </c>
      <c r="I4003">
        <v>1</v>
      </c>
      <c r="J4003">
        <v>0</v>
      </c>
      <c r="K4003">
        <v>0</v>
      </c>
    </row>
    <row r="4004" spans="1:11" x14ac:dyDescent="0.25">
      <c r="A4004" t="str">
        <f>"5077"</f>
        <v>5077</v>
      </c>
      <c r="B4004" t="str">
        <f t="shared" si="259"/>
        <v>1</v>
      </c>
      <c r="C4004" t="str">
        <f t="shared" si="261"/>
        <v>223</v>
      </c>
      <c r="D4004" t="str">
        <f>"3"</f>
        <v>3</v>
      </c>
      <c r="E4004" t="str">
        <f>"1-223-3"</f>
        <v>1-223-3</v>
      </c>
      <c r="F4004" t="s">
        <v>15</v>
      </c>
      <c r="G4004" t="s">
        <v>20</v>
      </c>
      <c r="H4004" t="s">
        <v>21</v>
      </c>
      <c r="I4004">
        <v>0</v>
      </c>
      <c r="J4004">
        <v>0</v>
      </c>
      <c r="K4004">
        <v>1</v>
      </c>
    </row>
    <row r="4005" spans="1:11" x14ac:dyDescent="0.25">
      <c r="A4005" t="str">
        <f>"5078"</f>
        <v>5078</v>
      </c>
      <c r="B4005" t="str">
        <f t="shared" si="259"/>
        <v>1</v>
      </c>
      <c r="C4005" t="str">
        <f t="shared" si="261"/>
        <v>223</v>
      </c>
      <c r="D4005" t="str">
        <f>"16"</f>
        <v>16</v>
      </c>
      <c r="E4005" t="str">
        <f>"1-223-16"</f>
        <v>1-223-16</v>
      </c>
      <c r="F4005" t="s">
        <v>15</v>
      </c>
      <c r="G4005" t="s">
        <v>20</v>
      </c>
      <c r="H4005" t="s">
        <v>21</v>
      </c>
      <c r="I4005">
        <v>0</v>
      </c>
      <c r="J4005">
        <v>0</v>
      </c>
      <c r="K4005">
        <v>1</v>
      </c>
    </row>
    <row r="4006" spans="1:11" x14ac:dyDescent="0.25">
      <c r="A4006" t="str">
        <f>"5079"</f>
        <v>5079</v>
      </c>
      <c r="B4006" t="str">
        <f t="shared" si="259"/>
        <v>1</v>
      </c>
      <c r="C4006" t="str">
        <f t="shared" si="261"/>
        <v>223</v>
      </c>
      <c r="D4006" t="str">
        <f>"1"</f>
        <v>1</v>
      </c>
      <c r="E4006" t="str">
        <f>"1-223-1"</f>
        <v>1-223-1</v>
      </c>
      <c r="F4006" t="s">
        <v>15</v>
      </c>
      <c r="G4006" t="s">
        <v>20</v>
      </c>
      <c r="H4006" t="s">
        <v>21</v>
      </c>
      <c r="I4006">
        <v>1</v>
      </c>
      <c r="J4006">
        <v>0</v>
      </c>
      <c r="K4006">
        <v>0</v>
      </c>
    </row>
    <row r="4007" spans="1:11" x14ac:dyDescent="0.25">
      <c r="A4007" t="str">
        <f>"5080"</f>
        <v>5080</v>
      </c>
      <c r="B4007" t="str">
        <f t="shared" si="259"/>
        <v>1</v>
      </c>
      <c r="C4007" t="str">
        <f t="shared" si="261"/>
        <v>223</v>
      </c>
      <c r="D4007" t="str">
        <f>"20"</f>
        <v>20</v>
      </c>
      <c r="E4007" t="str">
        <f>"1-223-20"</f>
        <v>1-223-20</v>
      </c>
      <c r="F4007" t="s">
        <v>15</v>
      </c>
      <c r="G4007" t="s">
        <v>20</v>
      </c>
      <c r="H4007" t="s">
        <v>21</v>
      </c>
      <c r="I4007">
        <v>1</v>
      </c>
      <c r="J4007">
        <v>0</v>
      </c>
      <c r="K4007">
        <v>0</v>
      </c>
    </row>
    <row r="4008" spans="1:11" x14ac:dyDescent="0.25">
      <c r="A4008" t="str">
        <f>"5081"</f>
        <v>5081</v>
      </c>
      <c r="B4008" t="str">
        <f t="shared" si="259"/>
        <v>1</v>
      </c>
      <c r="C4008" t="str">
        <f t="shared" si="261"/>
        <v>223</v>
      </c>
      <c r="D4008" t="str">
        <f>"14"</f>
        <v>14</v>
      </c>
      <c r="E4008" t="str">
        <f>"1-223-14"</f>
        <v>1-223-14</v>
      </c>
      <c r="F4008" t="s">
        <v>15</v>
      </c>
      <c r="G4008" t="s">
        <v>20</v>
      </c>
      <c r="H4008" t="s">
        <v>21</v>
      </c>
      <c r="I4008">
        <v>1</v>
      </c>
      <c r="J4008">
        <v>0</v>
      </c>
      <c r="K4008">
        <v>0</v>
      </c>
    </row>
    <row r="4009" spans="1:11" x14ac:dyDescent="0.25">
      <c r="A4009" t="str">
        <f>"5082"</f>
        <v>5082</v>
      </c>
      <c r="B4009" t="str">
        <f t="shared" ref="B4009:B4068" si="262">"1"</f>
        <v>1</v>
      </c>
      <c r="C4009" t="str">
        <f t="shared" si="261"/>
        <v>223</v>
      </c>
      <c r="D4009" t="str">
        <f>"21"</f>
        <v>21</v>
      </c>
      <c r="E4009" t="str">
        <f>"1-223-21"</f>
        <v>1-223-21</v>
      </c>
      <c r="F4009" t="s">
        <v>15</v>
      </c>
      <c r="G4009" t="s">
        <v>20</v>
      </c>
      <c r="H4009" t="s">
        <v>21</v>
      </c>
      <c r="I4009">
        <v>0</v>
      </c>
      <c r="J4009">
        <v>1</v>
      </c>
      <c r="K4009">
        <v>0</v>
      </c>
    </row>
    <row r="4010" spans="1:11" x14ac:dyDescent="0.25">
      <c r="A4010" t="str">
        <f>"5083"</f>
        <v>5083</v>
      </c>
      <c r="B4010" t="str">
        <f t="shared" si="262"/>
        <v>1</v>
      </c>
      <c r="C4010" t="str">
        <f t="shared" si="261"/>
        <v>223</v>
      </c>
      <c r="D4010" t="str">
        <f>"4"</f>
        <v>4</v>
      </c>
      <c r="E4010" t="str">
        <f>"1-223-4"</f>
        <v>1-223-4</v>
      </c>
      <c r="F4010" t="s">
        <v>15</v>
      </c>
      <c r="G4010" t="s">
        <v>20</v>
      </c>
      <c r="H4010" t="s">
        <v>21</v>
      </c>
      <c r="I4010">
        <v>0</v>
      </c>
      <c r="J4010">
        <v>1</v>
      </c>
      <c r="K4010">
        <v>0</v>
      </c>
    </row>
    <row r="4011" spans="1:11" x14ac:dyDescent="0.25">
      <c r="A4011" t="str">
        <f>"5084"</f>
        <v>5084</v>
      </c>
      <c r="B4011" t="str">
        <f t="shared" si="262"/>
        <v>1</v>
      </c>
      <c r="C4011" t="str">
        <f t="shared" si="261"/>
        <v>223</v>
      </c>
      <c r="D4011" t="str">
        <f>"22"</f>
        <v>22</v>
      </c>
      <c r="E4011" t="str">
        <f>"1-223-22"</f>
        <v>1-223-22</v>
      </c>
      <c r="F4011" t="s">
        <v>15</v>
      </c>
      <c r="G4011" t="s">
        <v>20</v>
      </c>
      <c r="H4011" t="s">
        <v>21</v>
      </c>
      <c r="I4011">
        <v>0</v>
      </c>
      <c r="J4011">
        <v>1</v>
      </c>
      <c r="K4011">
        <v>0</v>
      </c>
    </row>
    <row r="4012" spans="1:11" x14ac:dyDescent="0.25">
      <c r="A4012" t="str">
        <f>"5085"</f>
        <v>5085</v>
      </c>
      <c r="B4012" t="str">
        <f t="shared" si="262"/>
        <v>1</v>
      </c>
      <c r="C4012" t="str">
        <f t="shared" si="261"/>
        <v>223</v>
      </c>
      <c r="D4012" t="str">
        <f>"5"</f>
        <v>5</v>
      </c>
      <c r="E4012" t="str">
        <f>"1-223-5"</f>
        <v>1-223-5</v>
      </c>
      <c r="F4012" t="s">
        <v>15</v>
      </c>
      <c r="G4012" t="s">
        <v>20</v>
      </c>
      <c r="H4012" t="s">
        <v>21</v>
      </c>
      <c r="I4012">
        <v>1</v>
      </c>
      <c r="J4012">
        <v>0</v>
      </c>
      <c r="K4012">
        <v>0</v>
      </c>
    </row>
    <row r="4013" spans="1:11" x14ac:dyDescent="0.25">
      <c r="A4013" t="str">
        <f>"5086"</f>
        <v>5086</v>
      </c>
      <c r="B4013" t="str">
        <f t="shared" si="262"/>
        <v>1</v>
      </c>
      <c r="C4013" t="str">
        <f t="shared" si="261"/>
        <v>223</v>
      </c>
      <c r="D4013" t="str">
        <f>"23"</f>
        <v>23</v>
      </c>
      <c r="E4013" t="str">
        <f>"1-223-23"</f>
        <v>1-223-23</v>
      </c>
      <c r="F4013" t="s">
        <v>15</v>
      </c>
      <c r="G4013" t="s">
        <v>20</v>
      </c>
      <c r="H4013" t="s">
        <v>21</v>
      </c>
      <c r="I4013">
        <v>1</v>
      </c>
      <c r="J4013">
        <v>0</v>
      </c>
      <c r="K4013">
        <v>0</v>
      </c>
    </row>
    <row r="4014" spans="1:11" x14ac:dyDescent="0.25">
      <c r="A4014" t="str">
        <f>"5087"</f>
        <v>5087</v>
      </c>
      <c r="B4014" t="str">
        <f t="shared" si="262"/>
        <v>1</v>
      </c>
      <c r="C4014" t="str">
        <f t="shared" si="261"/>
        <v>223</v>
      </c>
      <c r="D4014" t="str">
        <f>"11"</f>
        <v>11</v>
      </c>
      <c r="E4014" t="str">
        <f>"1-223-11"</f>
        <v>1-223-11</v>
      </c>
      <c r="F4014" t="s">
        <v>15</v>
      </c>
      <c r="G4014" t="s">
        <v>20</v>
      </c>
      <c r="H4014" t="s">
        <v>21</v>
      </c>
      <c r="I4014">
        <v>1</v>
      </c>
      <c r="J4014">
        <v>0</v>
      </c>
      <c r="K4014">
        <v>0</v>
      </c>
    </row>
    <row r="4015" spans="1:11" x14ac:dyDescent="0.25">
      <c r="A4015" t="str">
        <f>"5088"</f>
        <v>5088</v>
      </c>
      <c r="B4015" t="str">
        <f t="shared" si="262"/>
        <v>1</v>
      </c>
      <c r="C4015" t="str">
        <f t="shared" si="261"/>
        <v>223</v>
      </c>
      <c r="D4015" t="str">
        <f>"24"</f>
        <v>24</v>
      </c>
      <c r="E4015" t="str">
        <f>"1-223-24"</f>
        <v>1-223-24</v>
      </c>
      <c r="F4015" t="s">
        <v>15</v>
      </c>
      <c r="G4015" t="s">
        <v>20</v>
      </c>
      <c r="H4015" t="s">
        <v>21</v>
      </c>
      <c r="I4015">
        <v>0</v>
      </c>
      <c r="J4015">
        <v>1</v>
      </c>
      <c r="K4015">
        <v>0</v>
      </c>
    </row>
    <row r="4016" spans="1:11" x14ac:dyDescent="0.25">
      <c r="A4016" t="str">
        <f>"5089"</f>
        <v>5089</v>
      </c>
      <c r="B4016" t="str">
        <f t="shared" si="262"/>
        <v>1</v>
      </c>
      <c r="C4016" t="str">
        <f t="shared" si="261"/>
        <v>223</v>
      </c>
      <c r="D4016" t="str">
        <f>"9"</f>
        <v>9</v>
      </c>
      <c r="E4016" t="str">
        <f>"1-223-9"</f>
        <v>1-223-9</v>
      </c>
      <c r="F4016" t="s">
        <v>15</v>
      </c>
      <c r="G4016" t="s">
        <v>20</v>
      </c>
      <c r="H4016" t="s">
        <v>21</v>
      </c>
      <c r="I4016">
        <v>0</v>
      </c>
      <c r="J4016">
        <v>0</v>
      </c>
      <c r="K4016">
        <v>1</v>
      </c>
    </row>
    <row r="4017" spans="1:11" x14ac:dyDescent="0.25">
      <c r="A4017" t="str">
        <f>"5090"</f>
        <v>5090</v>
      </c>
      <c r="B4017" t="str">
        <f t="shared" si="262"/>
        <v>1</v>
      </c>
      <c r="C4017" t="str">
        <f t="shared" si="261"/>
        <v>223</v>
      </c>
      <c r="D4017" t="str">
        <f>"8"</f>
        <v>8</v>
      </c>
      <c r="E4017" t="str">
        <f>"1-223-8"</f>
        <v>1-223-8</v>
      </c>
      <c r="F4017" t="s">
        <v>15</v>
      </c>
      <c r="G4017" t="s">
        <v>20</v>
      </c>
      <c r="H4017" t="s">
        <v>21</v>
      </c>
      <c r="I4017">
        <v>0</v>
      </c>
      <c r="J4017">
        <v>1</v>
      </c>
      <c r="K4017">
        <v>0</v>
      </c>
    </row>
    <row r="4018" spans="1:11" x14ac:dyDescent="0.25">
      <c r="A4018" t="str">
        <f>"5091"</f>
        <v>5091</v>
      </c>
      <c r="B4018" t="str">
        <f t="shared" si="262"/>
        <v>1</v>
      </c>
      <c r="C4018" t="str">
        <f t="shared" si="261"/>
        <v>223</v>
      </c>
      <c r="D4018" t="str">
        <f>"13"</f>
        <v>13</v>
      </c>
      <c r="E4018" t="str">
        <f>"1-223-13"</f>
        <v>1-223-13</v>
      </c>
      <c r="F4018" t="s">
        <v>15</v>
      </c>
      <c r="G4018" t="s">
        <v>20</v>
      </c>
      <c r="H4018" t="s">
        <v>21</v>
      </c>
      <c r="I4018">
        <v>1</v>
      </c>
      <c r="J4018">
        <v>0</v>
      </c>
      <c r="K4018">
        <v>0</v>
      </c>
    </row>
    <row r="4019" spans="1:11" x14ac:dyDescent="0.25">
      <c r="A4019" t="str">
        <f>"5092"</f>
        <v>5092</v>
      </c>
      <c r="B4019" t="str">
        <f t="shared" si="262"/>
        <v>1</v>
      </c>
      <c r="C4019" t="str">
        <f t="shared" si="261"/>
        <v>223</v>
      </c>
      <c r="D4019" t="str">
        <f>"10"</f>
        <v>10</v>
      </c>
      <c r="E4019" t="str">
        <f>"1-223-10"</f>
        <v>1-223-10</v>
      </c>
      <c r="F4019" t="s">
        <v>15</v>
      </c>
      <c r="G4019" t="s">
        <v>20</v>
      </c>
      <c r="H4019" t="s">
        <v>21</v>
      </c>
      <c r="I4019">
        <v>1</v>
      </c>
      <c r="J4019">
        <v>0</v>
      </c>
      <c r="K4019">
        <v>0</v>
      </c>
    </row>
    <row r="4020" spans="1:11" x14ac:dyDescent="0.25">
      <c r="A4020" t="str">
        <f>"5093"</f>
        <v>5093</v>
      </c>
      <c r="B4020" t="str">
        <f t="shared" si="262"/>
        <v>1</v>
      </c>
      <c r="C4020" t="str">
        <f t="shared" si="261"/>
        <v>223</v>
      </c>
      <c r="D4020" t="str">
        <f>"6"</f>
        <v>6</v>
      </c>
      <c r="E4020" t="str">
        <f>"1-223-6"</f>
        <v>1-223-6</v>
      </c>
      <c r="F4020" t="s">
        <v>15</v>
      </c>
      <c r="G4020" t="s">
        <v>20</v>
      </c>
      <c r="H4020" t="s">
        <v>21</v>
      </c>
      <c r="I4020">
        <v>0</v>
      </c>
      <c r="J4020">
        <v>1</v>
      </c>
      <c r="K4020">
        <v>0</v>
      </c>
    </row>
    <row r="4021" spans="1:11" x14ac:dyDescent="0.25">
      <c r="A4021" t="str">
        <f>"5094"</f>
        <v>5094</v>
      </c>
      <c r="B4021" t="str">
        <f t="shared" si="262"/>
        <v>1</v>
      </c>
      <c r="C4021" t="str">
        <f t="shared" si="261"/>
        <v>223</v>
      </c>
      <c r="D4021" t="str">
        <f>"7"</f>
        <v>7</v>
      </c>
      <c r="E4021" t="str">
        <f>"1-223-7"</f>
        <v>1-223-7</v>
      </c>
      <c r="F4021" t="s">
        <v>15</v>
      </c>
      <c r="G4021" t="s">
        <v>20</v>
      </c>
      <c r="H4021" t="s">
        <v>21</v>
      </c>
      <c r="I4021">
        <v>1</v>
      </c>
      <c r="J4021">
        <v>0</v>
      </c>
      <c r="K4021">
        <v>0</v>
      </c>
    </row>
    <row r="4022" spans="1:11" x14ac:dyDescent="0.25">
      <c r="A4022" t="str">
        <f>"5095"</f>
        <v>5095</v>
      </c>
      <c r="B4022" t="str">
        <f t="shared" si="262"/>
        <v>1</v>
      </c>
      <c r="C4022" t="str">
        <f t="shared" si="261"/>
        <v>223</v>
      </c>
      <c r="D4022" t="str">
        <f>"12"</f>
        <v>12</v>
      </c>
      <c r="E4022" t="str">
        <f>"1-223-12"</f>
        <v>1-223-12</v>
      </c>
      <c r="F4022" t="s">
        <v>15</v>
      </c>
      <c r="G4022" t="s">
        <v>20</v>
      </c>
      <c r="H4022" t="s">
        <v>21</v>
      </c>
      <c r="I4022">
        <v>1</v>
      </c>
      <c r="J4022">
        <v>0</v>
      </c>
      <c r="K4022">
        <v>0</v>
      </c>
    </row>
    <row r="4023" spans="1:11" x14ac:dyDescent="0.25">
      <c r="A4023" t="str">
        <f>"5096"</f>
        <v>5096</v>
      </c>
      <c r="B4023" t="str">
        <f t="shared" si="262"/>
        <v>1</v>
      </c>
      <c r="C4023" t="str">
        <f t="shared" si="261"/>
        <v>223</v>
      </c>
      <c r="D4023" t="str">
        <f>"2"</f>
        <v>2</v>
      </c>
      <c r="E4023" t="str">
        <f>"1-223-2"</f>
        <v>1-223-2</v>
      </c>
      <c r="F4023" t="s">
        <v>15</v>
      </c>
      <c r="G4023" t="s">
        <v>20</v>
      </c>
      <c r="H4023" t="s">
        <v>21</v>
      </c>
      <c r="I4023">
        <v>0</v>
      </c>
      <c r="J4023">
        <v>0</v>
      </c>
      <c r="K4023">
        <v>1</v>
      </c>
    </row>
    <row r="4024" spans="1:11" x14ac:dyDescent="0.25">
      <c r="A4024" t="str">
        <f>"5097"</f>
        <v>5097</v>
      </c>
      <c r="B4024" t="str">
        <f t="shared" si="262"/>
        <v>1</v>
      </c>
      <c r="C4024" t="str">
        <f t="shared" ref="C4024:C4051" si="263">"224"</f>
        <v>224</v>
      </c>
      <c r="D4024" t="str">
        <f>"25"</f>
        <v>25</v>
      </c>
      <c r="E4024" t="str">
        <f>"1-224-25"</f>
        <v>1-224-25</v>
      </c>
      <c r="F4024" t="s">
        <v>15</v>
      </c>
      <c r="G4024" t="s">
        <v>16</v>
      </c>
      <c r="H4024" t="s">
        <v>17</v>
      </c>
      <c r="I4024">
        <v>0</v>
      </c>
      <c r="J4024">
        <v>0</v>
      </c>
      <c r="K4024">
        <v>1</v>
      </c>
    </row>
    <row r="4025" spans="1:11" x14ac:dyDescent="0.25">
      <c r="A4025" t="str">
        <f>"5098"</f>
        <v>5098</v>
      </c>
      <c r="B4025" t="str">
        <f t="shared" si="262"/>
        <v>1</v>
      </c>
      <c r="C4025" t="str">
        <f t="shared" si="263"/>
        <v>224</v>
      </c>
      <c r="D4025" t="str">
        <f>"15"</f>
        <v>15</v>
      </c>
      <c r="E4025" t="str">
        <f>"1-224-15"</f>
        <v>1-224-15</v>
      </c>
      <c r="F4025" t="s">
        <v>15</v>
      </c>
      <c r="G4025" t="s">
        <v>16</v>
      </c>
      <c r="H4025" t="s">
        <v>17</v>
      </c>
      <c r="I4025">
        <v>0</v>
      </c>
      <c r="J4025">
        <v>1</v>
      </c>
      <c r="K4025">
        <v>0</v>
      </c>
    </row>
    <row r="4026" spans="1:11" x14ac:dyDescent="0.25">
      <c r="A4026" t="str">
        <f>"5099"</f>
        <v>5099</v>
      </c>
      <c r="B4026" t="str">
        <f t="shared" si="262"/>
        <v>1</v>
      </c>
      <c r="C4026" t="str">
        <f t="shared" si="263"/>
        <v>224</v>
      </c>
      <c r="D4026" t="str">
        <f>"1"</f>
        <v>1</v>
      </c>
      <c r="E4026" t="str">
        <f>"1-224-1"</f>
        <v>1-224-1</v>
      </c>
      <c r="F4026" t="s">
        <v>15</v>
      </c>
      <c r="G4026" t="s">
        <v>16</v>
      </c>
      <c r="H4026" t="s">
        <v>17</v>
      </c>
      <c r="I4026">
        <v>0</v>
      </c>
      <c r="J4026">
        <v>0</v>
      </c>
      <c r="K4026">
        <v>1</v>
      </c>
    </row>
    <row r="4027" spans="1:11" x14ac:dyDescent="0.25">
      <c r="A4027" t="str">
        <f>"5100"</f>
        <v>5100</v>
      </c>
      <c r="B4027" t="str">
        <f t="shared" si="262"/>
        <v>1</v>
      </c>
      <c r="C4027" t="str">
        <f t="shared" si="263"/>
        <v>224</v>
      </c>
      <c r="D4027" t="str">
        <f>"21"</f>
        <v>21</v>
      </c>
      <c r="E4027" t="str">
        <f>"1-224-21"</f>
        <v>1-224-21</v>
      </c>
      <c r="F4027" t="s">
        <v>15</v>
      </c>
      <c r="G4027" t="s">
        <v>16</v>
      </c>
      <c r="H4027" t="s">
        <v>17</v>
      </c>
      <c r="I4027">
        <v>0</v>
      </c>
      <c r="J4027">
        <v>0</v>
      </c>
      <c r="K4027">
        <v>1</v>
      </c>
    </row>
    <row r="4028" spans="1:11" x14ac:dyDescent="0.25">
      <c r="A4028" t="str">
        <f>"5101"</f>
        <v>5101</v>
      </c>
      <c r="B4028" t="str">
        <f t="shared" si="262"/>
        <v>1</v>
      </c>
      <c r="C4028" t="str">
        <f t="shared" si="263"/>
        <v>224</v>
      </c>
      <c r="D4028" t="str">
        <f>"16"</f>
        <v>16</v>
      </c>
      <c r="E4028" t="str">
        <f>"1-224-16"</f>
        <v>1-224-16</v>
      </c>
      <c r="F4028" t="s">
        <v>15</v>
      </c>
      <c r="G4028" t="s">
        <v>18</v>
      </c>
      <c r="H4028" t="s">
        <v>19</v>
      </c>
      <c r="I4028">
        <v>0</v>
      </c>
      <c r="J4028">
        <v>1</v>
      </c>
      <c r="K4028">
        <v>0</v>
      </c>
    </row>
    <row r="4029" spans="1:11" x14ac:dyDescent="0.25">
      <c r="A4029" t="str">
        <f>"5102"</f>
        <v>5102</v>
      </c>
      <c r="B4029" t="str">
        <f t="shared" si="262"/>
        <v>1</v>
      </c>
      <c r="C4029" t="str">
        <f t="shared" si="263"/>
        <v>224</v>
      </c>
      <c r="D4029" t="str">
        <f>"11"</f>
        <v>11</v>
      </c>
      <c r="E4029" t="str">
        <f>"1-224-11"</f>
        <v>1-224-11</v>
      </c>
      <c r="F4029" t="s">
        <v>15</v>
      </c>
      <c r="G4029" t="s">
        <v>20</v>
      </c>
      <c r="H4029" t="s">
        <v>21</v>
      </c>
      <c r="I4029">
        <v>0</v>
      </c>
      <c r="J4029">
        <v>0</v>
      </c>
      <c r="K4029">
        <v>1</v>
      </c>
    </row>
    <row r="4030" spans="1:11" x14ac:dyDescent="0.25">
      <c r="A4030" t="str">
        <f>"5103"</f>
        <v>5103</v>
      </c>
      <c r="B4030" t="str">
        <f t="shared" si="262"/>
        <v>1</v>
      </c>
      <c r="C4030" t="str">
        <f t="shared" si="263"/>
        <v>224</v>
      </c>
      <c r="D4030" t="str">
        <f>"3"</f>
        <v>3</v>
      </c>
      <c r="E4030" t="str">
        <f>"1-224-3"</f>
        <v>1-224-3</v>
      </c>
      <c r="F4030" t="s">
        <v>15</v>
      </c>
      <c r="G4030" t="s">
        <v>20</v>
      </c>
      <c r="H4030" t="s">
        <v>21</v>
      </c>
      <c r="I4030">
        <v>0</v>
      </c>
      <c r="J4030">
        <v>1</v>
      </c>
      <c r="K4030">
        <v>0</v>
      </c>
    </row>
    <row r="4031" spans="1:11" x14ac:dyDescent="0.25">
      <c r="A4031" t="str">
        <f>"5104"</f>
        <v>5104</v>
      </c>
      <c r="B4031" t="str">
        <f t="shared" si="262"/>
        <v>1</v>
      </c>
      <c r="C4031" t="str">
        <f t="shared" si="263"/>
        <v>224</v>
      </c>
      <c r="D4031" t="str">
        <f>"18"</f>
        <v>18</v>
      </c>
      <c r="E4031" t="str">
        <f>"1-224-18"</f>
        <v>1-224-18</v>
      </c>
      <c r="F4031" t="s">
        <v>15</v>
      </c>
      <c r="G4031" t="s">
        <v>16</v>
      </c>
      <c r="H4031" t="s">
        <v>17</v>
      </c>
      <c r="I4031">
        <v>1</v>
      </c>
      <c r="J4031">
        <v>0</v>
      </c>
      <c r="K4031">
        <v>0</v>
      </c>
    </row>
    <row r="4032" spans="1:11" x14ac:dyDescent="0.25">
      <c r="A4032" t="str">
        <f>"5105"</f>
        <v>5105</v>
      </c>
      <c r="B4032" t="str">
        <f t="shared" si="262"/>
        <v>1</v>
      </c>
      <c r="C4032" t="str">
        <f t="shared" si="263"/>
        <v>224</v>
      </c>
      <c r="D4032" t="str">
        <f>"12"</f>
        <v>12</v>
      </c>
      <c r="E4032" t="str">
        <f>"1-224-12"</f>
        <v>1-224-12</v>
      </c>
      <c r="F4032" t="s">
        <v>15</v>
      </c>
      <c r="G4032" t="s">
        <v>16</v>
      </c>
      <c r="H4032" t="s">
        <v>17</v>
      </c>
      <c r="I4032">
        <v>0</v>
      </c>
      <c r="J4032">
        <v>1</v>
      </c>
      <c r="K4032">
        <v>0</v>
      </c>
    </row>
    <row r="4033" spans="1:11" x14ac:dyDescent="0.25">
      <c r="A4033" t="str">
        <f>"5106"</f>
        <v>5106</v>
      </c>
      <c r="B4033" t="str">
        <f t="shared" si="262"/>
        <v>1</v>
      </c>
      <c r="C4033" t="str">
        <f t="shared" si="263"/>
        <v>224</v>
      </c>
      <c r="D4033" t="str">
        <f>"19"</f>
        <v>19</v>
      </c>
      <c r="E4033" t="str">
        <f>"1-224-19"</f>
        <v>1-224-19</v>
      </c>
      <c r="F4033" t="s">
        <v>15</v>
      </c>
      <c r="G4033" t="s">
        <v>16</v>
      </c>
      <c r="H4033" t="s">
        <v>17</v>
      </c>
      <c r="I4033">
        <v>1</v>
      </c>
      <c r="J4033">
        <v>0</v>
      </c>
      <c r="K4033">
        <v>0</v>
      </c>
    </row>
    <row r="4034" spans="1:11" x14ac:dyDescent="0.25">
      <c r="A4034" t="str">
        <f>"5107"</f>
        <v>5107</v>
      </c>
      <c r="B4034" t="str">
        <f t="shared" si="262"/>
        <v>1</v>
      </c>
      <c r="C4034" t="str">
        <f t="shared" si="263"/>
        <v>224</v>
      </c>
      <c r="D4034" t="str">
        <f>"13"</f>
        <v>13</v>
      </c>
      <c r="E4034" t="str">
        <f>"1-224-13"</f>
        <v>1-224-13</v>
      </c>
      <c r="F4034" t="s">
        <v>15</v>
      </c>
      <c r="G4034" t="s">
        <v>16</v>
      </c>
      <c r="H4034" t="s">
        <v>17</v>
      </c>
      <c r="I4034">
        <v>0</v>
      </c>
      <c r="J4034">
        <v>0</v>
      </c>
      <c r="K4034">
        <v>1</v>
      </c>
    </row>
    <row r="4035" spans="1:11" x14ac:dyDescent="0.25">
      <c r="A4035" t="str">
        <f>"5108"</f>
        <v>5108</v>
      </c>
      <c r="B4035" t="str">
        <f t="shared" si="262"/>
        <v>1</v>
      </c>
      <c r="C4035" t="str">
        <f t="shared" si="263"/>
        <v>224</v>
      </c>
      <c r="D4035" t="str">
        <f>"20"</f>
        <v>20</v>
      </c>
      <c r="E4035" t="str">
        <f>"1-224-20"</f>
        <v>1-224-20</v>
      </c>
      <c r="F4035" t="s">
        <v>15</v>
      </c>
      <c r="G4035" t="s">
        <v>16</v>
      </c>
      <c r="H4035" t="s">
        <v>17</v>
      </c>
      <c r="I4035">
        <v>1</v>
      </c>
      <c r="J4035">
        <v>0</v>
      </c>
      <c r="K4035">
        <v>0</v>
      </c>
    </row>
    <row r="4036" spans="1:11" x14ac:dyDescent="0.25">
      <c r="A4036" t="str">
        <f>"5109"</f>
        <v>5109</v>
      </c>
      <c r="B4036" t="str">
        <f t="shared" si="262"/>
        <v>1</v>
      </c>
      <c r="C4036" t="str">
        <f t="shared" si="263"/>
        <v>224</v>
      </c>
      <c r="D4036" t="str">
        <f>"2"</f>
        <v>2</v>
      </c>
      <c r="E4036" t="str">
        <f>"1-224-2"</f>
        <v>1-224-2</v>
      </c>
      <c r="F4036" t="s">
        <v>15</v>
      </c>
      <c r="G4036" t="s">
        <v>16</v>
      </c>
      <c r="H4036" t="s">
        <v>17</v>
      </c>
      <c r="I4036">
        <v>0</v>
      </c>
      <c r="J4036">
        <v>0</v>
      </c>
      <c r="K4036">
        <v>1</v>
      </c>
    </row>
    <row r="4037" spans="1:11" x14ac:dyDescent="0.25">
      <c r="A4037" t="str">
        <f>"5110"</f>
        <v>5110</v>
      </c>
      <c r="B4037" t="str">
        <f t="shared" si="262"/>
        <v>1</v>
      </c>
      <c r="C4037" t="str">
        <f t="shared" si="263"/>
        <v>224</v>
      </c>
      <c r="D4037" t="str">
        <f>"22"</f>
        <v>22</v>
      </c>
      <c r="E4037" t="str">
        <f>"1-224-22"</f>
        <v>1-224-22</v>
      </c>
      <c r="F4037" t="s">
        <v>15</v>
      </c>
      <c r="G4037" t="s">
        <v>16</v>
      </c>
      <c r="H4037" t="s">
        <v>17</v>
      </c>
      <c r="I4037">
        <v>0</v>
      </c>
      <c r="J4037">
        <v>1</v>
      </c>
      <c r="K4037">
        <v>0</v>
      </c>
    </row>
    <row r="4038" spans="1:11" x14ac:dyDescent="0.25">
      <c r="A4038" t="str">
        <f>"5111"</f>
        <v>5111</v>
      </c>
      <c r="B4038" t="str">
        <f t="shared" si="262"/>
        <v>1</v>
      </c>
      <c r="C4038" t="str">
        <f t="shared" si="263"/>
        <v>224</v>
      </c>
      <c r="D4038" t="str">
        <f>"7"</f>
        <v>7</v>
      </c>
      <c r="E4038" t="str">
        <f>"1-224-7"</f>
        <v>1-224-7</v>
      </c>
      <c r="F4038" t="s">
        <v>15</v>
      </c>
      <c r="G4038" t="s">
        <v>16</v>
      </c>
      <c r="H4038" t="s">
        <v>17</v>
      </c>
      <c r="I4038">
        <v>1</v>
      </c>
      <c r="J4038">
        <v>0</v>
      </c>
      <c r="K4038">
        <v>0</v>
      </c>
    </row>
    <row r="4039" spans="1:11" x14ac:dyDescent="0.25">
      <c r="A4039" t="str">
        <f>"5112"</f>
        <v>5112</v>
      </c>
      <c r="B4039" t="str">
        <f t="shared" si="262"/>
        <v>1</v>
      </c>
      <c r="C4039" t="str">
        <f t="shared" si="263"/>
        <v>224</v>
      </c>
      <c r="D4039" t="str">
        <f>"23"</f>
        <v>23</v>
      </c>
      <c r="E4039" t="str">
        <f>"1-224-23"</f>
        <v>1-224-23</v>
      </c>
      <c r="F4039" t="s">
        <v>15</v>
      </c>
      <c r="G4039" t="s">
        <v>16</v>
      </c>
      <c r="H4039" t="s">
        <v>17</v>
      </c>
      <c r="I4039">
        <v>1</v>
      </c>
      <c r="J4039">
        <v>0</v>
      </c>
      <c r="K4039">
        <v>0</v>
      </c>
    </row>
    <row r="4040" spans="1:11" x14ac:dyDescent="0.25">
      <c r="A4040" t="str">
        <f>"5113"</f>
        <v>5113</v>
      </c>
      <c r="B4040" t="str">
        <f t="shared" si="262"/>
        <v>1</v>
      </c>
      <c r="C4040" t="str">
        <f t="shared" si="263"/>
        <v>224</v>
      </c>
      <c r="D4040" t="str">
        <f>"5"</f>
        <v>5</v>
      </c>
      <c r="E4040" t="str">
        <f>"1-224-5"</f>
        <v>1-224-5</v>
      </c>
      <c r="F4040" t="s">
        <v>15</v>
      </c>
      <c r="G4040" t="s">
        <v>20</v>
      </c>
      <c r="H4040" t="s">
        <v>21</v>
      </c>
      <c r="I4040">
        <v>0</v>
      </c>
      <c r="J4040">
        <v>1</v>
      </c>
      <c r="K4040">
        <v>0</v>
      </c>
    </row>
    <row r="4041" spans="1:11" x14ac:dyDescent="0.25">
      <c r="A4041" t="str">
        <f>"5114"</f>
        <v>5114</v>
      </c>
      <c r="B4041" t="str">
        <f t="shared" si="262"/>
        <v>1</v>
      </c>
      <c r="C4041" t="str">
        <f t="shared" si="263"/>
        <v>224</v>
      </c>
      <c r="D4041" t="str">
        <f>"24"</f>
        <v>24</v>
      </c>
      <c r="E4041" t="str">
        <f>"1-224-24"</f>
        <v>1-224-24</v>
      </c>
      <c r="F4041" t="s">
        <v>15</v>
      </c>
      <c r="G4041" t="s">
        <v>16</v>
      </c>
      <c r="H4041" t="s">
        <v>17</v>
      </c>
      <c r="I4041">
        <v>0</v>
      </c>
      <c r="J4041">
        <v>1</v>
      </c>
      <c r="K4041">
        <v>0</v>
      </c>
    </row>
    <row r="4042" spans="1:11" x14ac:dyDescent="0.25">
      <c r="A4042" t="str">
        <f>"5115"</f>
        <v>5115</v>
      </c>
      <c r="B4042" t="str">
        <f t="shared" si="262"/>
        <v>1</v>
      </c>
      <c r="C4042" t="str">
        <f t="shared" si="263"/>
        <v>224</v>
      </c>
      <c r="D4042" t="str">
        <f>"9"</f>
        <v>9</v>
      </c>
      <c r="E4042" t="str">
        <f>"1-224-9"</f>
        <v>1-224-9</v>
      </c>
      <c r="F4042" t="s">
        <v>15</v>
      </c>
      <c r="G4042" t="s">
        <v>16</v>
      </c>
      <c r="H4042" t="s">
        <v>17</v>
      </c>
      <c r="I4042">
        <v>0</v>
      </c>
      <c r="J4042">
        <v>0</v>
      </c>
      <c r="K4042">
        <v>1</v>
      </c>
    </row>
    <row r="4043" spans="1:11" x14ac:dyDescent="0.25">
      <c r="A4043" t="str">
        <f>"5116"</f>
        <v>5116</v>
      </c>
      <c r="B4043" t="str">
        <f t="shared" si="262"/>
        <v>1</v>
      </c>
      <c r="C4043" t="str">
        <f t="shared" si="263"/>
        <v>224</v>
      </c>
      <c r="D4043" t="str">
        <f>"26"</f>
        <v>26</v>
      </c>
      <c r="E4043" t="str">
        <f>"1-224-26"</f>
        <v>1-224-26</v>
      </c>
      <c r="F4043" t="s">
        <v>15</v>
      </c>
      <c r="G4043" t="s">
        <v>18</v>
      </c>
      <c r="H4043" t="s">
        <v>19</v>
      </c>
      <c r="I4043">
        <v>0</v>
      </c>
      <c r="J4043">
        <v>1</v>
      </c>
      <c r="K4043">
        <v>0</v>
      </c>
    </row>
    <row r="4044" spans="1:11" x14ac:dyDescent="0.25">
      <c r="A4044" t="str">
        <f>"5117"</f>
        <v>5117</v>
      </c>
      <c r="B4044" t="str">
        <f t="shared" si="262"/>
        <v>1</v>
      </c>
      <c r="C4044" t="str">
        <f t="shared" si="263"/>
        <v>224</v>
      </c>
      <c r="D4044" t="str">
        <f>"6"</f>
        <v>6</v>
      </c>
      <c r="E4044" t="str">
        <f>"1-224-6"</f>
        <v>1-224-6</v>
      </c>
      <c r="F4044" t="s">
        <v>15</v>
      </c>
      <c r="G4044" t="s">
        <v>18</v>
      </c>
      <c r="H4044" t="s">
        <v>19</v>
      </c>
      <c r="I4044">
        <v>0</v>
      </c>
      <c r="J4044">
        <v>1</v>
      </c>
      <c r="K4044">
        <v>0</v>
      </c>
    </row>
    <row r="4045" spans="1:11" x14ac:dyDescent="0.25">
      <c r="A4045" t="str">
        <f>"5118"</f>
        <v>5118</v>
      </c>
      <c r="B4045" t="str">
        <f t="shared" si="262"/>
        <v>1</v>
      </c>
      <c r="C4045" t="str">
        <f t="shared" si="263"/>
        <v>224</v>
      </c>
      <c r="D4045" t="str">
        <f>"27"</f>
        <v>27</v>
      </c>
      <c r="E4045" t="str">
        <f>"1-224-27"</f>
        <v>1-224-27</v>
      </c>
      <c r="F4045" t="s">
        <v>15</v>
      </c>
      <c r="G4045" t="s">
        <v>16</v>
      </c>
      <c r="H4045" t="s">
        <v>17</v>
      </c>
      <c r="I4045">
        <v>0</v>
      </c>
      <c r="J4045">
        <v>1</v>
      </c>
      <c r="K4045">
        <v>0</v>
      </c>
    </row>
    <row r="4046" spans="1:11" x14ac:dyDescent="0.25">
      <c r="A4046" t="str">
        <f>"5119"</f>
        <v>5119</v>
      </c>
      <c r="B4046" t="str">
        <f t="shared" si="262"/>
        <v>1</v>
      </c>
      <c r="C4046" t="str">
        <f t="shared" si="263"/>
        <v>224</v>
      </c>
      <c r="D4046" t="str">
        <f>"8"</f>
        <v>8</v>
      </c>
      <c r="E4046" t="str">
        <f>"1-224-8"</f>
        <v>1-224-8</v>
      </c>
      <c r="F4046" t="s">
        <v>15</v>
      </c>
      <c r="G4046" t="s">
        <v>16</v>
      </c>
      <c r="H4046" t="s">
        <v>17</v>
      </c>
      <c r="I4046">
        <v>1</v>
      </c>
      <c r="J4046">
        <v>0</v>
      </c>
      <c r="K4046">
        <v>0</v>
      </c>
    </row>
    <row r="4047" spans="1:11" x14ac:dyDescent="0.25">
      <c r="A4047" t="str">
        <f>"5120"</f>
        <v>5120</v>
      </c>
      <c r="B4047" t="str">
        <f t="shared" si="262"/>
        <v>1</v>
      </c>
      <c r="C4047" t="str">
        <f t="shared" si="263"/>
        <v>224</v>
      </c>
      <c r="D4047" t="str">
        <f>"28"</f>
        <v>28</v>
      </c>
      <c r="E4047" t="str">
        <f>"1-224-28"</f>
        <v>1-224-28</v>
      </c>
      <c r="F4047" t="s">
        <v>15</v>
      </c>
      <c r="G4047" t="s">
        <v>16</v>
      </c>
      <c r="H4047" t="s">
        <v>17</v>
      </c>
      <c r="I4047">
        <v>0</v>
      </c>
      <c r="J4047">
        <v>1</v>
      </c>
      <c r="K4047">
        <v>0</v>
      </c>
    </row>
    <row r="4048" spans="1:11" x14ac:dyDescent="0.25">
      <c r="A4048" t="str">
        <f>"5121"</f>
        <v>5121</v>
      </c>
      <c r="B4048" t="str">
        <f t="shared" si="262"/>
        <v>1</v>
      </c>
      <c r="C4048" t="str">
        <f t="shared" si="263"/>
        <v>224</v>
      </c>
      <c r="D4048" t="str">
        <f>"4"</f>
        <v>4</v>
      </c>
      <c r="E4048" t="str">
        <f>"1-224-4"</f>
        <v>1-224-4</v>
      </c>
      <c r="F4048" t="s">
        <v>15</v>
      </c>
      <c r="G4048" t="s">
        <v>20</v>
      </c>
      <c r="H4048" t="s">
        <v>21</v>
      </c>
      <c r="I4048">
        <v>0</v>
      </c>
      <c r="J4048">
        <v>1</v>
      </c>
      <c r="K4048">
        <v>0</v>
      </c>
    </row>
    <row r="4049" spans="1:11" x14ac:dyDescent="0.25">
      <c r="A4049" t="str">
        <f>"5122"</f>
        <v>5122</v>
      </c>
      <c r="B4049" t="str">
        <f t="shared" si="262"/>
        <v>1</v>
      </c>
      <c r="C4049" t="str">
        <f t="shared" si="263"/>
        <v>224</v>
      </c>
      <c r="D4049" t="str">
        <f>"10"</f>
        <v>10</v>
      </c>
      <c r="E4049" t="str">
        <f>"1-224-10"</f>
        <v>1-224-10</v>
      </c>
      <c r="F4049" t="s">
        <v>15</v>
      </c>
      <c r="G4049" t="s">
        <v>20</v>
      </c>
      <c r="H4049" t="s">
        <v>21</v>
      </c>
      <c r="I4049">
        <v>0</v>
      </c>
      <c r="J4049">
        <v>1</v>
      </c>
      <c r="K4049">
        <v>0</v>
      </c>
    </row>
    <row r="4050" spans="1:11" x14ac:dyDescent="0.25">
      <c r="A4050" t="str">
        <f>"5123"</f>
        <v>5123</v>
      </c>
      <c r="B4050" t="str">
        <f t="shared" si="262"/>
        <v>1</v>
      </c>
      <c r="C4050" t="str">
        <f t="shared" si="263"/>
        <v>224</v>
      </c>
      <c r="D4050" t="str">
        <f>"14"</f>
        <v>14</v>
      </c>
      <c r="E4050" t="str">
        <f>"1-224-14"</f>
        <v>1-224-14</v>
      </c>
      <c r="F4050" t="s">
        <v>15</v>
      </c>
      <c r="G4050" t="s">
        <v>20</v>
      </c>
      <c r="H4050" t="s">
        <v>21</v>
      </c>
      <c r="I4050">
        <v>1</v>
      </c>
      <c r="J4050">
        <v>0</v>
      </c>
      <c r="K4050">
        <v>0</v>
      </c>
    </row>
    <row r="4051" spans="1:11" x14ac:dyDescent="0.25">
      <c r="A4051" t="str">
        <f>"5124"</f>
        <v>5124</v>
      </c>
      <c r="B4051" t="str">
        <f t="shared" si="262"/>
        <v>1</v>
      </c>
      <c r="C4051" t="str">
        <f t="shared" si="263"/>
        <v>224</v>
      </c>
      <c r="D4051" t="str">
        <f>"17"</f>
        <v>17</v>
      </c>
      <c r="E4051" t="str">
        <f>"1-224-17"</f>
        <v>1-224-17</v>
      </c>
      <c r="F4051" t="s">
        <v>15</v>
      </c>
      <c r="G4051" t="s">
        <v>18</v>
      </c>
      <c r="H4051" t="s">
        <v>19</v>
      </c>
      <c r="I4051">
        <v>0</v>
      </c>
      <c r="J4051">
        <v>0</v>
      </c>
      <c r="K4051">
        <v>0</v>
      </c>
    </row>
    <row r="4052" spans="1:11" x14ac:dyDescent="0.25">
      <c r="A4052" t="str">
        <f>"5129"</f>
        <v>5129</v>
      </c>
      <c r="B4052" t="str">
        <f t="shared" si="262"/>
        <v>1</v>
      </c>
      <c r="C4052" t="str">
        <f t="shared" ref="C4052:C4076" si="264">"226"</f>
        <v>226</v>
      </c>
      <c r="D4052" t="str">
        <f>"15"</f>
        <v>15</v>
      </c>
      <c r="E4052" t="str">
        <f>"1-226-15"</f>
        <v>1-226-15</v>
      </c>
      <c r="F4052" t="s">
        <v>15</v>
      </c>
      <c r="G4052" t="s">
        <v>20</v>
      </c>
      <c r="H4052" t="s">
        <v>21</v>
      </c>
      <c r="I4052">
        <v>1</v>
      </c>
      <c r="J4052">
        <v>0</v>
      </c>
      <c r="K4052">
        <v>0</v>
      </c>
    </row>
    <row r="4053" spans="1:11" x14ac:dyDescent="0.25">
      <c r="A4053" t="str">
        <f>"5130"</f>
        <v>5130</v>
      </c>
      <c r="B4053" t="str">
        <f t="shared" si="262"/>
        <v>1</v>
      </c>
      <c r="C4053" t="str">
        <f t="shared" si="264"/>
        <v>226</v>
      </c>
      <c r="D4053" t="str">
        <f>"2"</f>
        <v>2</v>
      </c>
      <c r="E4053" t="str">
        <f>"1-226-2"</f>
        <v>1-226-2</v>
      </c>
      <c r="F4053" t="s">
        <v>15</v>
      </c>
      <c r="G4053" t="s">
        <v>20</v>
      </c>
      <c r="H4053" t="s">
        <v>21</v>
      </c>
      <c r="I4053">
        <v>1</v>
      </c>
      <c r="J4053">
        <v>0</v>
      </c>
      <c r="K4053">
        <v>0</v>
      </c>
    </row>
    <row r="4054" spans="1:11" x14ac:dyDescent="0.25">
      <c r="A4054" t="str">
        <f>"5131"</f>
        <v>5131</v>
      </c>
      <c r="B4054" t="str">
        <f t="shared" si="262"/>
        <v>1</v>
      </c>
      <c r="C4054" t="str">
        <f t="shared" si="264"/>
        <v>226</v>
      </c>
      <c r="D4054" t="str">
        <f>"20"</f>
        <v>20</v>
      </c>
      <c r="E4054" t="str">
        <f>"1-226-20"</f>
        <v>1-226-20</v>
      </c>
      <c r="F4054" t="s">
        <v>15</v>
      </c>
      <c r="G4054" t="s">
        <v>20</v>
      </c>
      <c r="H4054" t="s">
        <v>21</v>
      </c>
      <c r="I4054">
        <v>0</v>
      </c>
      <c r="J4054">
        <v>0</v>
      </c>
      <c r="K4054">
        <v>1</v>
      </c>
    </row>
    <row r="4055" spans="1:11" x14ac:dyDescent="0.25">
      <c r="A4055" t="str">
        <f>"5132"</f>
        <v>5132</v>
      </c>
      <c r="B4055" t="str">
        <f t="shared" si="262"/>
        <v>1</v>
      </c>
      <c r="C4055" t="str">
        <f t="shared" si="264"/>
        <v>226</v>
      </c>
      <c r="D4055" t="str">
        <f>"16"</f>
        <v>16</v>
      </c>
      <c r="E4055" t="str">
        <f>"1-226-16"</f>
        <v>1-226-16</v>
      </c>
      <c r="F4055" t="s">
        <v>15</v>
      </c>
      <c r="G4055" t="s">
        <v>20</v>
      </c>
      <c r="H4055" t="s">
        <v>21</v>
      </c>
      <c r="I4055">
        <v>0</v>
      </c>
      <c r="J4055">
        <v>0</v>
      </c>
      <c r="K4055">
        <v>1</v>
      </c>
    </row>
    <row r="4056" spans="1:11" x14ac:dyDescent="0.25">
      <c r="A4056" t="str">
        <f>"5133"</f>
        <v>5133</v>
      </c>
      <c r="B4056" t="str">
        <f t="shared" si="262"/>
        <v>1</v>
      </c>
      <c r="C4056" t="str">
        <f t="shared" si="264"/>
        <v>226</v>
      </c>
      <c r="D4056" t="str">
        <f>"1"</f>
        <v>1</v>
      </c>
      <c r="E4056" t="str">
        <f>"1-226-1"</f>
        <v>1-226-1</v>
      </c>
      <c r="F4056" t="s">
        <v>15</v>
      </c>
      <c r="G4056" t="s">
        <v>20</v>
      </c>
      <c r="H4056" t="s">
        <v>21</v>
      </c>
      <c r="I4056">
        <v>0</v>
      </c>
      <c r="J4056">
        <v>1</v>
      </c>
      <c r="K4056">
        <v>0</v>
      </c>
    </row>
    <row r="4057" spans="1:11" x14ac:dyDescent="0.25">
      <c r="A4057" t="str">
        <f>"5134"</f>
        <v>5134</v>
      </c>
      <c r="B4057" t="str">
        <f t="shared" si="262"/>
        <v>1</v>
      </c>
      <c r="C4057" t="str">
        <f t="shared" si="264"/>
        <v>226</v>
      </c>
      <c r="D4057" t="str">
        <f>"17"</f>
        <v>17</v>
      </c>
      <c r="E4057" t="str">
        <f>"1-226-17"</f>
        <v>1-226-17</v>
      </c>
      <c r="F4057" t="s">
        <v>15</v>
      </c>
      <c r="G4057" t="s">
        <v>20</v>
      </c>
      <c r="H4057" t="s">
        <v>21</v>
      </c>
      <c r="I4057">
        <v>0</v>
      </c>
      <c r="J4057">
        <v>0</v>
      </c>
      <c r="K4057">
        <v>1</v>
      </c>
    </row>
    <row r="4058" spans="1:11" x14ac:dyDescent="0.25">
      <c r="A4058" t="str">
        <f>"5135"</f>
        <v>5135</v>
      </c>
      <c r="B4058" t="str">
        <f t="shared" si="262"/>
        <v>1</v>
      </c>
      <c r="C4058" t="str">
        <f t="shared" si="264"/>
        <v>226</v>
      </c>
      <c r="D4058" t="str">
        <f>"6"</f>
        <v>6</v>
      </c>
      <c r="E4058" t="str">
        <f>"1-226-6"</f>
        <v>1-226-6</v>
      </c>
      <c r="F4058" t="s">
        <v>15</v>
      </c>
      <c r="G4058" t="s">
        <v>20</v>
      </c>
      <c r="H4058" t="s">
        <v>21</v>
      </c>
      <c r="I4058">
        <v>0</v>
      </c>
      <c r="J4058">
        <v>1</v>
      </c>
      <c r="K4058">
        <v>0</v>
      </c>
    </row>
    <row r="4059" spans="1:11" x14ac:dyDescent="0.25">
      <c r="A4059" t="str">
        <f>"5136"</f>
        <v>5136</v>
      </c>
      <c r="B4059" t="str">
        <f t="shared" si="262"/>
        <v>1</v>
      </c>
      <c r="C4059" t="str">
        <f t="shared" si="264"/>
        <v>226</v>
      </c>
      <c r="D4059" t="str">
        <f>"18"</f>
        <v>18</v>
      </c>
      <c r="E4059" t="str">
        <f>"1-226-18"</f>
        <v>1-226-18</v>
      </c>
      <c r="F4059" t="s">
        <v>15</v>
      </c>
      <c r="G4059" t="s">
        <v>20</v>
      </c>
      <c r="H4059" t="s">
        <v>21</v>
      </c>
      <c r="I4059">
        <v>1</v>
      </c>
      <c r="J4059">
        <v>0</v>
      </c>
      <c r="K4059">
        <v>0</v>
      </c>
    </row>
    <row r="4060" spans="1:11" x14ac:dyDescent="0.25">
      <c r="A4060" t="str">
        <f>"5137"</f>
        <v>5137</v>
      </c>
      <c r="B4060" t="str">
        <f t="shared" si="262"/>
        <v>1</v>
      </c>
      <c r="C4060" t="str">
        <f t="shared" si="264"/>
        <v>226</v>
      </c>
      <c r="D4060" t="str">
        <f>"14"</f>
        <v>14</v>
      </c>
      <c r="E4060" t="str">
        <f>"1-226-14"</f>
        <v>1-226-14</v>
      </c>
      <c r="F4060" t="s">
        <v>15</v>
      </c>
      <c r="G4060" t="s">
        <v>20</v>
      </c>
      <c r="H4060" t="s">
        <v>21</v>
      </c>
      <c r="I4060">
        <v>1</v>
      </c>
      <c r="J4060">
        <v>0</v>
      </c>
      <c r="K4060">
        <v>0</v>
      </c>
    </row>
    <row r="4061" spans="1:11" x14ac:dyDescent="0.25">
      <c r="A4061" t="str">
        <f>"5138"</f>
        <v>5138</v>
      </c>
      <c r="B4061" t="str">
        <f t="shared" si="262"/>
        <v>1</v>
      </c>
      <c r="C4061" t="str">
        <f t="shared" si="264"/>
        <v>226</v>
      </c>
      <c r="D4061" t="str">
        <f>"10"</f>
        <v>10</v>
      </c>
      <c r="E4061" t="str">
        <f>"1-226-10"</f>
        <v>1-226-10</v>
      </c>
      <c r="F4061" t="s">
        <v>15</v>
      </c>
      <c r="G4061" t="s">
        <v>20</v>
      </c>
      <c r="H4061" t="s">
        <v>21</v>
      </c>
      <c r="I4061">
        <v>0</v>
      </c>
      <c r="J4061">
        <v>1</v>
      </c>
      <c r="K4061">
        <v>0</v>
      </c>
    </row>
    <row r="4062" spans="1:11" x14ac:dyDescent="0.25">
      <c r="A4062" t="str">
        <f>"5139"</f>
        <v>5139</v>
      </c>
      <c r="B4062" t="str">
        <f t="shared" si="262"/>
        <v>1</v>
      </c>
      <c r="C4062" t="str">
        <f t="shared" si="264"/>
        <v>226</v>
      </c>
      <c r="D4062" t="str">
        <f>"9"</f>
        <v>9</v>
      </c>
      <c r="E4062" t="str">
        <f>"1-226-9"</f>
        <v>1-226-9</v>
      </c>
      <c r="F4062" t="s">
        <v>15</v>
      </c>
      <c r="G4062" t="s">
        <v>20</v>
      </c>
      <c r="H4062" t="s">
        <v>21</v>
      </c>
      <c r="I4062">
        <v>1</v>
      </c>
      <c r="J4062">
        <v>0</v>
      </c>
      <c r="K4062">
        <v>0</v>
      </c>
    </row>
    <row r="4063" spans="1:11" x14ac:dyDescent="0.25">
      <c r="A4063" t="str">
        <f>"5140"</f>
        <v>5140</v>
      </c>
      <c r="B4063" t="str">
        <f t="shared" si="262"/>
        <v>1</v>
      </c>
      <c r="C4063" t="str">
        <f t="shared" si="264"/>
        <v>226</v>
      </c>
      <c r="D4063" t="str">
        <f>"22"</f>
        <v>22</v>
      </c>
      <c r="E4063" t="str">
        <f>"1-226-22"</f>
        <v>1-226-22</v>
      </c>
      <c r="F4063" t="s">
        <v>15</v>
      </c>
      <c r="G4063" t="s">
        <v>20</v>
      </c>
      <c r="H4063" t="s">
        <v>21</v>
      </c>
      <c r="I4063">
        <v>0</v>
      </c>
      <c r="J4063">
        <v>0</v>
      </c>
      <c r="K4063">
        <v>1</v>
      </c>
    </row>
    <row r="4064" spans="1:11" x14ac:dyDescent="0.25">
      <c r="A4064" t="str">
        <f>"5141"</f>
        <v>5141</v>
      </c>
      <c r="B4064" t="str">
        <f t="shared" si="262"/>
        <v>1</v>
      </c>
      <c r="C4064" t="str">
        <f t="shared" si="264"/>
        <v>226</v>
      </c>
      <c r="D4064" t="str">
        <f>"3"</f>
        <v>3</v>
      </c>
      <c r="E4064" t="str">
        <f>"1-226-3"</f>
        <v>1-226-3</v>
      </c>
      <c r="F4064" t="s">
        <v>15</v>
      </c>
      <c r="G4064" t="s">
        <v>20</v>
      </c>
      <c r="H4064" t="s">
        <v>21</v>
      </c>
      <c r="I4064">
        <v>0</v>
      </c>
      <c r="J4064">
        <v>1</v>
      </c>
      <c r="K4064">
        <v>0</v>
      </c>
    </row>
    <row r="4065" spans="1:11" x14ac:dyDescent="0.25">
      <c r="A4065" t="str">
        <f>"5142"</f>
        <v>5142</v>
      </c>
      <c r="B4065" t="str">
        <f t="shared" si="262"/>
        <v>1</v>
      </c>
      <c r="C4065" t="str">
        <f t="shared" si="264"/>
        <v>226</v>
      </c>
      <c r="D4065" t="str">
        <f>"23"</f>
        <v>23</v>
      </c>
      <c r="E4065" t="str">
        <f>"1-226-23"</f>
        <v>1-226-23</v>
      </c>
      <c r="F4065" t="s">
        <v>15</v>
      </c>
      <c r="G4065" t="s">
        <v>20</v>
      </c>
      <c r="H4065" t="s">
        <v>21</v>
      </c>
      <c r="I4065">
        <v>0</v>
      </c>
      <c r="J4065">
        <v>1</v>
      </c>
      <c r="K4065">
        <v>0</v>
      </c>
    </row>
    <row r="4066" spans="1:11" x14ac:dyDescent="0.25">
      <c r="A4066" t="str">
        <f>"5143"</f>
        <v>5143</v>
      </c>
      <c r="B4066" t="str">
        <f t="shared" si="262"/>
        <v>1</v>
      </c>
      <c r="C4066" t="str">
        <f t="shared" si="264"/>
        <v>226</v>
      </c>
      <c r="D4066" t="str">
        <f>"4"</f>
        <v>4</v>
      </c>
      <c r="E4066" t="str">
        <f>"1-226-4"</f>
        <v>1-226-4</v>
      </c>
      <c r="F4066" t="s">
        <v>15</v>
      </c>
      <c r="G4066" t="s">
        <v>20</v>
      </c>
      <c r="H4066" t="s">
        <v>21</v>
      </c>
      <c r="I4066">
        <v>0</v>
      </c>
      <c r="J4066">
        <v>1</v>
      </c>
      <c r="K4066">
        <v>0</v>
      </c>
    </row>
    <row r="4067" spans="1:11" x14ac:dyDescent="0.25">
      <c r="A4067" t="str">
        <f>"5144"</f>
        <v>5144</v>
      </c>
      <c r="B4067" t="str">
        <f t="shared" si="262"/>
        <v>1</v>
      </c>
      <c r="C4067" t="str">
        <f t="shared" si="264"/>
        <v>226</v>
      </c>
      <c r="D4067" t="str">
        <f>"24"</f>
        <v>24</v>
      </c>
      <c r="E4067" t="str">
        <f>"1-226-24"</f>
        <v>1-226-24</v>
      </c>
      <c r="F4067" t="s">
        <v>15</v>
      </c>
      <c r="G4067" t="s">
        <v>20</v>
      </c>
      <c r="H4067" t="s">
        <v>21</v>
      </c>
      <c r="I4067">
        <v>0</v>
      </c>
      <c r="J4067">
        <v>1</v>
      </c>
      <c r="K4067">
        <v>0</v>
      </c>
    </row>
    <row r="4068" spans="1:11" x14ac:dyDescent="0.25">
      <c r="A4068" t="str">
        <f>"5145"</f>
        <v>5145</v>
      </c>
      <c r="B4068" t="str">
        <f t="shared" si="262"/>
        <v>1</v>
      </c>
      <c r="C4068" t="str">
        <f t="shared" si="264"/>
        <v>226</v>
      </c>
      <c r="D4068" t="str">
        <f>"8"</f>
        <v>8</v>
      </c>
      <c r="E4068" t="str">
        <f>"1-226-8"</f>
        <v>1-226-8</v>
      </c>
      <c r="F4068" t="s">
        <v>15</v>
      </c>
      <c r="G4068" t="s">
        <v>20</v>
      </c>
      <c r="H4068" t="s">
        <v>21</v>
      </c>
      <c r="I4068">
        <v>0</v>
      </c>
      <c r="J4068">
        <v>1</v>
      </c>
      <c r="K4068">
        <v>0</v>
      </c>
    </row>
    <row r="4069" spans="1:11" x14ac:dyDescent="0.25">
      <c r="A4069" t="str">
        <f>"5146"</f>
        <v>5146</v>
      </c>
      <c r="B4069" t="str">
        <f t="shared" ref="B4069:B4123" si="265">"1"</f>
        <v>1</v>
      </c>
      <c r="C4069" t="str">
        <f t="shared" si="264"/>
        <v>226</v>
      </c>
      <c r="D4069" t="str">
        <f>"5"</f>
        <v>5</v>
      </c>
      <c r="E4069" t="str">
        <f>"1-226-5"</f>
        <v>1-226-5</v>
      </c>
      <c r="F4069" t="s">
        <v>15</v>
      </c>
      <c r="G4069" t="s">
        <v>20</v>
      </c>
      <c r="H4069" t="s">
        <v>21</v>
      </c>
      <c r="I4069">
        <v>1</v>
      </c>
      <c r="J4069">
        <v>0</v>
      </c>
      <c r="K4069">
        <v>0</v>
      </c>
    </row>
    <row r="4070" spans="1:11" x14ac:dyDescent="0.25">
      <c r="A4070" t="str">
        <f>"5147"</f>
        <v>5147</v>
      </c>
      <c r="B4070" t="str">
        <f t="shared" si="265"/>
        <v>1</v>
      </c>
      <c r="C4070" t="str">
        <f t="shared" si="264"/>
        <v>226</v>
      </c>
      <c r="D4070" t="str">
        <f>"7"</f>
        <v>7</v>
      </c>
      <c r="E4070" t="str">
        <f>"1-226-7"</f>
        <v>1-226-7</v>
      </c>
      <c r="F4070" t="s">
        <v>15</v>
      </c>
      <c r="G4070" t="s">
        <v>20</v>
      </c>
      <c r="H4070" t="s">
        <v>21</v>
      </c>
      <c r="I4070">
        <v>0</v>
      </c>
      <c r="J4070">
        <v>1</v>
      </c>
      <c r="K4070">
        <v>0</v>
      </c>
    </row>
    <row r="4071" spans="1:11" x14ac:dyDescent="0.25">
      <c r="A4071" t="str">
        <f>"5148"</f>
        <v>5148</v>
      </c>
      <c r="B4071" t="str">
        <f t="shared" si="265"/>
        <v>1</v>
      </c>
      <c r="C4071" t="str">
        <f t="shared" si="264"/>
        <v>226</v>
      </c>
      <c r="D4071" t="str">
        <f>"13"</f>
        <v>13</v>
      </c>
      <c r="E4071" t="str">
        <f>"1-226-13"</f>
        <v>1-226-13</v>
      </c>
      <c r="F4071" t="s">
        <v>15</v>
      </c>
      <c r="G4071" t="s">
        <v>20</v>
      </c>
      <c r="H4071" t="s">
        <v>21</v>
      </c>
      <c r="I4071">
        <v>1</v>
      </c>
      <c r="J4071">
        <v>0</v>
      </c>
      <c r="K4071">
        <v>0</v>
      </c>
    </row>
    <row r="4072" spans="1:11" x14ac:dyDescent="0.25">
      <c r="A4072" t="str">
        <f>"5149"</f>
        <v>5149</v>
      </c>
      <c r="B4072" t="str">
        <f t="shared" si="265"/>
        <v>1</v>
      </c>
      <c r="C4072" t="str">
        <f t="shared" si="264"/>
        <v>226</v>
      </c>
      <c r="D4072" t="str">
        <f>"11"</f>
        <v>11</v>
      </c>
      <c r="E4072" t="str">
        <f>"1-226-11"</f>
        <v>1-226-11</v>
      </c>
      <c r="F4072" t="s">
        <v>15</v>
      </c>
      <c r="G4072" t="s">
        <v>20</v>
      </c>
      <c r="H4072" t="s">
        <v>21</v>
      </c>
      <c r="I4072">
        <v>0</v>
      </c>
      <c r="J4072">
        <v>0</v>
      </c>
      <c r="K4072">
        <v>1</v>
      </c>
    </row>
    <row r="4073" spans="1:11" x14ac:dyDescent="0.25">
      <c r="A4073" t="str">
        <f>"5150"</f>
        <v>5150</v>
      </c>
      <c r="B4073" t="str">
        <f t="shared" si="265"/>
        <v>1</v>
      </c>
      <c r="C4073" t="str">
        <f t="shared" si="264"/>
        <v>226</v>
      </c>
      <c r="D4073" t="str">
        <f>"12"</f>
        <v>12</v>
      </c>
      <c r="E4073" t="str">
        <f>"1-226-12"</f>
        <v>1-226-12</v>
      </c>
      <c r="F4073" t="s">
        <v>15</v>
      </c>
      <c r="G4073" t="s">
        <v>20</v>
      </c>
      <c r="H4073" t="s">
        <v>21</v>
      </c>
      <c r="I4073">
        <v>0</v>
      </c>
      <c r="J4073">
        <v>0</v>
      </c>
      <c r="K4073">
        <v>1</v>
      </c>
    </row>
    <row r="4074" spans="1:11" x14ac:dyDescent="0.25">
      <c r="A4074" t="str">
        <f>"5151"</f>
        <v>5151</v>
      </c>
      <c r="B4074" t="str">
        <f t="shared" si="265"/>
        <v>1</v>
      </c>
      <c r="C4074" t="str">
        <f t="shared" si="264"/>
        <v>226</v>
      </c>
      <c r="D4074" t="str">
        <f>"21"</f>
        <v>21</v>
      </c>
      <c r="E4074" t="str">
        <f>"1-226-21"</f>
        <v>1-226-21</v>
      </c>
      <c r="F4074" t="s">
        <v>15</v>
      </c>
      <c r="G4074" t="s">
        <v>16</v>
      </c>
      <c r="H4074" t="s">
        <v>17</v>
      </c>
      <c r="I4074">
        <v>0</v>
      </c>
      <c r="J4074">
        <v>1</v>
      </c>
      <c r="K4074">
        <v>0</v>
      </c>
    </row>
    <row r="4075" spans="1:11" x14ac:dyDescent="0.25">
      <c r="A4075" t="str">
        <f>"5152"</f>
        <v>5152</v>
      </c>
      <c r="B4075" t="str">
        <f t="shared" si="265"/>
        <v>1</v>
      </c>
      <c r="C4075" t="str">
        <f t="shared" si="264"/>
        <v>226</v>
      </c>
      <c r="D4075" t="str">
        <f>"25"</f>
        <v>25</v>
      </c>
      <c r="E4075" t="str">
        <f>"1-226-25"</f>
        <v>1-226-25</v>
      </c>
      <c r="F4075" t="s">
        <v>15</v>
      </c>
      <c r="G4075" t="s">
        <v>20</v>
      </c>
      <c r="H4075" t="s">
        <v>21</v>
      </c>
      <c r="I4075">
        <v>0</v>
      </c>
      <c r="J4075">
        <v>0</v>
      </c>
      <c r="K4075">
        <v>0</v>
      </c>
    </row>
    <row r="4076" spans="1:11" x14ac:dyDescent="0.25">
      <c r="A4076" t="str">
        <f>"5153"</f>
        <v>5153</v>
      </c>
      <c r="B4076" t="str">
        <f t="shared" si="265"/>
        <v>1</v>
      </c>
      <c r="C4076" t="str">
        <f t="shared" si="264"/>
        <v>226</v>
      </c>
      <c r="D4076" t="str">
        <f>"19"</f>
        <v>19</v>
      </c>
      <c r="E4076" t="str">
        <f>"1-226-19"</f>
        <v>1-226-19</v>
      </c>
      <c r="F4076" t="s">
        <v>15</v>
      </c>
      <c r="G4076" t="s">
        <v>20</v>
      </c>
      <c r="H4076" t="s">
        <v>21</v>
      </c>
      <c r="I4076">
        <v>0</v>
      </c>
      <c r="J4076">
        <v>1</v>
      </c>
      <c r="K4076">
        <v>0</v>
      </c>
    </row>
    <row r="4077" spans="1:11" x14ac:dyDescent="0.25">
      <c r="A4077" t="str">
        <f>"5154"</f>
        <v>5154</v>
      </c>
      <c r="B4077" t="str">
        <f t="shared" si="265"/>
        <v>1</v>
      </c>
      <c r="C4077" t="str">
        <f t="shared" ref="C4077:C4087" si="266">"227"</f>
        <v>227</v>
      </c>
      <c r="D4077" t="str">
        <f>"6"</f>
        <v>6</v>
      </c>
      <c r="E4077" t="str">
        <f>"1-227-6"</f>
        <v>1-227-6</v>
      </c>
      <c r="F4077" t="s">
        <v>15</v>
      </c>
      <c r="G4077" t="s">
        <v>16</v>
      </c>
      <c r="H4077" t="s">
        <v>17</v>
      </c>
      <c r="I4077">
        <v>0</v>
      </c>
      <c r="J4077">
        <v>1</v>
      </c>
      <c r="K4077">
        <v>0</v>
      </c>
    </row>
    <row r="4078" spans="1:11" x14ac:dyDescent="0.25">
      <c r="A4078" t="str">
        <f>"5155"</f>
        <v>5155</v>
      </c>
      <c r="B4078" t="str">
        <f t="shared" si="265"/>
        <v>1</v>
      </c>
      <c r="C4078" t="str">
        <f t="shared" si="266"/>
        <v>227</v>
      </c>
      <c r="D4078" t="str">
        <f>"5"</f>
        <v>5</v>
      </c>
      <c r="E4078" t="str">
        <f>"1-227-5"</f>
        <v>1-227-5</v>
      </c>
      <c r="F4078" t="s">
        <v>15</v>
      </c>
      <c r="G4078" t="s">
        <v>20</v>
      </c>
      <c r="H4078" t="s">
        <v>21</v>
      </c>
      <c r="I4078">
        <v>0</v>
      </c>
      <c r="J4078">
        <v>1</v>
      </c>
      <c r="K4078">
        <v>0</v>
      </c>
    </row>
    <row r="4079" spans="1:11" x14ac:dyDescent="0.25">
      <c r="A4079" t="str">
        <f>"5156"</f>
        <v>5156</v>
      </c>
      <c r="B4079" t="str">
        <f t="shared" si="265"/>
        <v>1</v>
      </c>
      <c r="C4079" t="str">
        <f t="shared" si="266"/>
        <v>227</v>
      </c>
      <c r="D4079" t="str">
        <f>"3"</f>
        <v>3</v>
      </c>
      <c r="E4079" t="str">
        <f>"1-227-3"</f>
        <v>1-227-3</v>
      </c>
      <c r="F4079" t="s">
        <v>15</v>
      </c>
      <c r="G4079" t="s">
        <v>20</v>
      </c>
      <c r="H4079" t="s">
        <v>21</v>
      </c>
      <c r="I4079">
        <v>1</v>
      </c>
      <c r="J4079">
        <v>0</v>
      </c>
      <c r="K4079">
        <v>0</v>
      </c>
    </row>
    <row r="4080" spans="1:11" x14ac:dyDescent="0.25">
      <c r="A4080" t="str">
        <f>"5157"</f>
        <v>5157</v>
      </c>
      <c r="B4080" t="str">
        <f t="shared" si="265"/>
        <v>1</v>
      </c>
      <c r="C4080" t="str">
        <f t="shared" si="266"/>
        <v>227</v>
      </c>
      <c r="D4080" t="str">
        <f>"2"</f>
        <v>2</v>
      </c>
      <c r="E4080" t="str">
        <f>"1-227-2"</f>
        <v>1-227-2</v>
      </c>
      <c r="F4080" t="s">
        <v>15</v>
      </c>
      <c r="G4080" t="s">
        <v>20</v>
      </c>
      <c r="H4080" t="s">
        <v>21</v>
      </c>
      <c r="I4080">
        <v>0</v>
      </c>
      <c r="J4080">
        <v>0</v>
      </c>
      <c r="K4080">
        <v>1</v>
      </c>
    </row>
    <row r="4081" spans="1:11" x14ac:dyDescent="0.25">
      <c r="A4081" t="str">
        <f>"5158"</f>
        <v>5158</v>
      </c>
      <c r="B4081" t="str">
        <f t="shared" si="265"/>
        <v>1</v>
      </c>
      <c r="C4081" t="str">
        <f t="shared" si="266"/>
        <v>227</v>
      </c>
      <c r="D4081" t="str">
        <f>"9"</f>
        <v>9</v>
      </c>
      <c r="E4081" t="str">
        <f>"1-227-9"</f>
        <v>1-227-9</v>
      </c>
      <c r="F4081" t="s">
        <v>15</v>
      </c>
      <c r="G4081" t="s">
        <v>16</v>
      </c>
      <c r="H4081" t="s">
        <v>17</v>
      </c>
      <c r="I4081">
        <v>1</v>
      </c>
      <c r="J4081">
        <v>0</v>
      </c>
      <c r="K4081">
        <v>0</v>
      </c>
    </row>
    <row r="4082" spans="1:11" x14ac:dyDescent="0.25">
      <c r="A4082" t="str">
        <f>"5159"</f>
        <v>5159</v>
      </c>
      <c r="B4082" t="str">
        <f t="shared" si="265"/>
        <v>1</v>
      </c>
      <c r="C4082" t="str">
        <f t="shared" si="266"/>
        <v>227</v>
      </c>
      <c r="D4082" t="str">
        <f>"10"</f>
        <v>10</v>
      </c>
      <c r="E4082" t="str">
        <f>"1-227-10"</f>
        <v>1-227-10</v>
      </c>
      <c r="F4082" t="s">
        <v>15</v>
      </c>
      <c r="G4082" t="s">
        <v>20</v>
      </c>
      <c r="H4082" t="s">
        <v>21</v>
      </c>
      <c r="I4082">
        <v>0</v>
      </c>
      <c r="J4082">
        <v>1</v>
      </c>
      <c r="K4082">
        <v>0</v>
      </c>
    </row>
    <row r="4083" spans="1:11" x14ac:dyDescent="0.25">
      <c r="A4083" t="str">
        <f>"5160"</f>
        <v>5160</v>
      </c>
      <c r="B4083" t="str">
        <f t="shared" si="265"/>
        <v>1</v>
      </c>
      <c r="C4083" t="str">
        <f t="shared" si="266"/>
        <v>227</v>
      </c>
      <c r="D4083" t="str">
        <f>"1"</f>
        <v>1</v>
      </c>
      <c r="E4083" t="str">
        <f>"1-227-1"</f>
        <v>1-227-1</v>
      </c>
      <c r="F4083" t="s">
        <v>15</v>
      </c>
      <c r="G4083" t="s">
        <v>20</v>
      </c>
      <c r="H4083" t="s">
        <v>21</v>
      </c>
      <c r="I4083">
        <v>0</v>
      </c>
      <c r="J4083">
        <v>0</v>
      </c>
      <c r="K4083">
        <v>1</v>
      </c>
    </row>
    <row r="4084" spans="1:11" x14ac:dyDescent="0.25">
      <c r="A4084" t="str">
        <f>"5161"</f>
        <v>5161</v>
      </c>
      <c r="B4084" t="str">
        <f t="shared" si="265"/>
        <v>1</v>
      </c>
      <c r="C4084" t="str">
        <f t="shared" si="266"/>
        <v>227</v>
      </c>
      <c r="D4084" t="str">
        <f>"8"</f>
        <v>8</v>
      </c>
      <c r="E4084" t="str">
        <f>"1-227-8"</f>
        <v>1-227-8</v>
      </c>
      <c r="F4084" t="s">
        <v>15</v>
      </c>
      <c r="G4084" t="s">
        <v>16</v>
      </c>
      <c r="H4084" t="s">
        <v>17</v>
      </c>
      <c r="I4084">
        <v>1</v>
      </c>
      <c r="J4084">
        <v>0</v>
      </c>
      <c r="K4084">
        <v>0</v>
      </c>
    </row>
    <row r="4085" spans="1:11" x14ac:dyDescent="0.25">
      <c r="A4085" t="str">
        <f>"5162"</f>
        <v>5162</v>
      </c>
      <c r="B4085" t="str">
        <f t="shared" si="265"/>
        <v>1</v>
      </c>
      <c r="C4085" t="str">
        <f t="shared" si="266"/>
        <v>227</v>
      </c>
      <c r="D4085" t="str">
        <f>"7"</f>
        <v>7</v>
      </c>
      <c r="E4085" t="str">
        <f>"1-227-7"</f>
        <v>1-227-7</v>
      </c>
      <c r="F4085" t="s">
        <v>15</v>
      </c>
      <c r="G4085" t="s">
        <v>16</v>
      </c>
      <c r="H4085" t="s">
        <v>17</v>
      </c>
      <c r="I4085">
        <v>0</v>
      </c>
      <c r="J4085">
        <v>1</v>
      </c>
      <c r="K4085">
        <v>0</v>
      </c>
    </row>
    <row r="4086" spans="1:11" x14ac:dyDescent="0.25">
      <c r="A4086" t="str">
        <f>"5163"</f>
        <v>5163</v>
      </c>
      <c r="B4086" t="str">
        <f t="shared" si="265"/>
        <v>1</v>
      </c>
      <c r="C4086" t="str">
        <f t="shared" si="266"/>
        <v>227</v>
      </c>
      <c r="D4086" t="str">
        <f>"11"</f>
        <v>11</v>
      </c>
      <c r="E4086" t="str">
        <f>"1-227-11"</f>
        <v>1-227-11</v>
      </c>
      <c r="F4086" t="s">
        <v>15</v>
      </c>
      <c r="G4086" t="s">
        <v>20</v>
      </c>
      <c r="H4086" t="s">
        <v>21</v>
      </c>
      <c r="I4086">
        <v>0</v>
      </c>
      <c r="J4086">
        <v>1</v>
      </c>
      <c r="K4086">
        <v>0</v>
      </c>
    </row>
    <row r="4087" spans="1:11" x14ac:dyDescent="0.25">
      <c r="A4087" t="str">
        <f>"5164"</f>
        <v>5164</v>
      </c>
      <c r="B4087" t="str">
        <f t="shared" si="265"/>
        <v>1</v>
      </c>
      <c r="C4087" t="str">
        <f t="shared" si="266"/>
        <v>227</v>
      </c>
      <c r="D4087" t="str">
        <f>"4"</f>
        <v>4</v>
      </c>
      <c r="E4087" t="str">
        <f>"1-227-4"</f>
        <v>1-227-4</v>
      </c>
      <c r="F4087" t="s">
        <v>15</v>
      </c>
      <c r="G4087" t="s">
        <v>16</v>
      </c>
      <c r="H4087" t="s">
        <v>17</v>
      </c>
      <c r="I4087">
        <v>1</v>
      </c>
      <c r="J4087">
        <v>0</v>
      </c>
      <c r="K4087">
        <v>0</v>
      </c>
    </row>
    <row r="4088" spans="1:11" x14ac:dyDescent="0.25">
      <c r="A4088" t="str">
        <f>"5165"</f>
        <v>5165</v>
      </c>
      <c r="B4088" t="str">
        <f t="shared" si="265"/>
        <v>1</v>
      </c>
      <c r="C4088" t="str">
        <f t="shared" ref="C4088:C4110" si="267">"228"</f>
        <v>228</v>
      </c>
      <c r="D4088" t="str">
        <f>"25"</f>
        <v>25</v>
      </c>
      <c r="E4088" t="str">
        <f>"1-228-25"</f>
        <v>1-228-25</v>
      </c>
      <c r="F4088" t="s">
        <v>15</v>
      </c>
      <c r="G4088" t="s">
        <v>16</v>
      </c>
      <c r="H4088" t="s">
        <v>17</v>
      </c>
      <c r="I4088">
        <v>0</v>
      </c>
      <c r="J4088">
        <v>1</v>
      </c>
      <c r="K4088">
        <v>0</v>
      </c>
    </row>
    <row r="4089" spans="1:11" x14ac:dyDescent="0.25">
      <c r="A4089" t="str">
        <f>"5166"</f>
        <v>5166</v>
      </c>
      <c r="B4089" t="str">
        <f t="shared" si="265"/>
        <v>1</v>
      </c>
      <c r="C4089" t="str">
        <f t="shared" si="267"/>
        <v>228</v>
      </c>
      <c r="D4089" t="str">
        <f>"16"</f>
        <v>16</v>
      </c>
      <c r="E4089" t="str">
        <f>"1-228-16"</f>
        <v>1-228-16</v>
      </c>
      <c r="F4089" t="s">
        <v>15</v>
      </c>
      <c r="G4089" t="s">
        <v>20</v>
      </c>
      <c r="H4089" t="s">
        <v>21</v>
      </c>
      <c r="I4089">
        <v>1</v>
      </c>
      <c r="J4089">
        <v>0</v>
      </c>
      <c r="K4089">
        <v>0</v>
      </c>
    </row>
    <row r="4090" spans="1:11" x14ac:dyDescent="0.25">
      <c r="A4090" t="str">
        <f>"5168"</f>
        <v>5168</v>
      </c>
      <c r="B4090" t="str">
        <f t="shared" si="265"/>
        <v>1</v>
      </c>
      <c r="C4090" t="str">
        <f t="shared" si="267"/>
        <v>228</v>
      </c>
      <c r="D4090" t="str">
        <f>"23"</f>
        <v>23</v>
      </c>
      <c r="E4090" t="str">
        <f>"1-228-23"</f>
        <v>1-228-23</v>
      </c>
      <c r="F4090" t="s">
        <v>15</v>
      </c>
      <c r="G4090" t="s">
        <v>18</v>
      </c>
      <c r="H4090" t="s">
        <v>19</v>
      </c>
      <c r="I4090">
        <v>0</v>
      </c>
      <c r="J4090">
        <v>0</v>
      </c>
      <c r="K4090">
        <v>1</v>
      </c>
    </row>
    <row r="4091" spans="1:11" x14ac:dyDescent="0.25">
      <c r="A4091" t="str">
        <f>"5169"</f>
        <v>5169</v>
      </c>
      <c r="B4091" t="str">
        <f t="shared" si="265"/>
        <v>1</v>
      </c>
      <c r="C4091" t="str">
        <f t="shared" si="267"/>
        <v>228</v>
      </c>
      <c r="D4091" t="str">
        <f>"17"</f>
        <v>17</v>
      </c>
      <c r="E4091" t="str">
        <f>"1-228-17"</f>
        <v>1-228-17</v>
      </c>
      <c r="F4091" t="s">
        <v>15</v>
      </c>
      <c r="G4091" t="s">
        <v>20</v>
      </c>
      <c r="H4091" t="s">
        <v>21</v>
      </c>
      <c r="I4091">
        <v>0</v>
      </c>
      <c r="J4091">
        <v>0</v>
      </c>
      <c r="K4091">
        <v>1</v>
      </c>
    </row>
    <row r="4092" spans="1:11" x14ac:dyDescent="0.25">
      <c r="A4092" t="str">
        <f>"5170"</f>
        <v>5170</v>
      </c>
      <c r="B4092" t="str">
        <f t="shared" si="265"/>
        <v>1</v>
      </c>
      <c r="C4092" t="str">
        <f t="shared" si="267"/>
        <v>228</v>
      </c>
      <c r="D4092" t="str">
        <f>"2"</f>
        <v>2</v>
      </c>
      <c r="E4092" t="str">
        <f>"1-228-2"</f>
        <v>1-228-2</v>
      </c>
      <c r="F4092" t="s">
        <v>15</v>
      </c>
      <c r="G4092" t="s">
        <v>16</v>
      </c>
      <c r="H4092" t="s">
        <v>17</v>
      </c>
      <c r="I4092">
        <v>1</v>
      </c>
      <c r="J4092">
        <v>0</v>
      </c>
      <c r="K4092">
        <v>0</v>
      </c>
    </row>
    <row r="4093" spans="1:11" x14ac:dyDescent="0.25">
      <c r="A4093" t="str">
        <f>"5171"</f>
        <v>5171</v>
      </c>
      <c r="B4093" t="str">
        <f t="shared" si="265"/>
        <v>1</v>
      </c>
      <c r="C4093" t="str">
        <f t="shared" si="267"/>
        <v>228</v>
      </c>
      <c r="D4093" t="str">
        <f>"8"</f>
        <v>8</v>
      </c>
      <c r="E4093" t="str">
        <f>"1-228-8"</f>
        <v>1-228-8</v>
      </c>
      <c r="F4093" t="s">
        <v>15</v>
      </c>
      <c r="G4093" t="s">
        <v>18</v>
      </c>
      <c r="H4093" t="s">
        <v>19</v>
      </c>
      <c r="I4093">
        <v>0</v>
      </c>
      <c r="J4093">
        <v>1</v>
      </c>
      <c r="K4093">
        <v>0</v>
      </c>
    </row>
    <row r="4094" spans="1:11" x14ac:dyDescent="0.25">
      <c r="A4094" t="str">
        <f>"5172"</f>
        <v>5172</v>
      </c>
      <c r="B4094" t="str">
        <f t="shared" si="265"/>
        <v>1</v>
      </c>
      <c r="C4094" t="str">
        <f t="shared" si="267"/>
        <v>228</v>
      </c>
      <c r="D4094" t="str">
        <f>"19"</f>
        <v>19</v>
      </c>
      <c r="E4094" t="str">
        <f>"1-228-19"</f>
        <v>1-228-19</v>
      </c>
      <c r="F4094" t="s">
        <v>15</v>
      </c>
      <c r="G4094" t="s">
        <v>20</v>
      </c>
      <c r="H4094" t="s">
        <v>21</v>
      </c>
      <c r="I4094">
        <v>0</v>
      </c>
      <c r="J4094">
        <v>1</v>
      </c>
      <c r="K4094">
        <v>0</v>
      </c>
    </row>
    <row r="4095" spans="1:11" x14ac:dyDescent="0.25">
      <c r="A4095" t="str">
        <f>"5174"</f>
        <v>5174</v>
      </c>
      <c r="B4095" t="str">
        <f t="shared" si="265"/>
        <v>1</v>
      </c>
      <c r="C4095" t="str">
        <f t="shared" si="267"/>
        <v>228</v>
      </c>
      <c r="D4095" t="str">
        <f>"20"</f>
        <v>20</v>
      </c>
      <c r="E4095" t="str">
        <f>"1-228-20"</f>
        <v>1-228-20</v>
      </c>
      <c r="F4095" t="s">
        <v>15</v>
      </c>
      <c r="G4095" t="s">
        <v>20</v>
      </c>
      <c r="H4095" t="s">
        <v>21</v>
      </c>
      <c r="I4095">
        <v>0</v>
      </c>
      <c r="J4095">
        <v>0</v>
      </c>
      <c r="K4095">
        <v>1</v>
      </c>
    </row>
    <row r="4096" spans="1:11" x14ac:dyDescent="0.25">
      <c r="A4096" t="str">
        <f>"5175"</f>
        <v>5175</v>
      </c>
      <c r="B4096" t="str">
        <f t="shared" si="265"/>
        <v>1</v>
      </c>
      <c r="C4096" t="str">
        <f t="shared" si="267"/>
        <v>228</v>
      </c>
      <c r="D4096" t="str">
        <f>"14"</f>
        <v>14</v>
      </c>
      <c r="E4096" t="str">
        <f>"1-228-14"</f>
        <v>1-228-14</v>
      </c>
      <c r="F4096" t="s">
        <v>15</v>
      </c>
      <c r="G4096" t="s">
        <v>16</v>
      </c>
      <c r="H4096" t="s">
        <v>17</v>
      </c>
      <c r="I4096">
        <v>0</v>
      </c>
      <c r="J4096">
        <v>1</v>
      </c>
      <c r="K4096">
        <v>0</v>
      </c>
    </row>
    <row r="4097" spans="1:11" x14ac:dyDescent="0.25">
      <c r="A4097" t="str">
        <f>"5176"</f>
        <v>5176</v>
      </c>
      <c r="B4097" t="str">
        <f t="shared" si="265"/>
        <v>1</v>
      </c>
      <c r="C4097" t="str">
        <f t="shared" si="267"/>
        <v>228</v>
      </c>
      <c r="D4097" t="str">
        <f>"21"</f>
        <v>21</v>
      </c>
      <c r="E4097" t="str">
        <f>"1-228-21"</f>
        <v>1-228-21</v>
      </c>
      <c r="F4097" t="s">
        <v>15</v>
      </c>
      <c r="G4097" t="s">
        <v>18</v>
      </c>
      <c r="H4097" t="s">
        <v>19</v>
      </c>
      <c r="I4097">
        <v>0</v>
      </c>
      <c r="J4097">
        <v>0</v>
      </c>
      <c r="K4097">
        <v>1</v>
      </c>
    </row>
    <row r="4098" spans="1:11" x14ac:dyDescent="0.25">
      <c r="A4098" t="str">
        <f>"5177"</f>
        <v>5177</v>
      </c>
      <c r="B4098" t="str">
        <f t="shared" si="265"/>
        <v>1</v>
      </c>
      <c r="C4098" t="str">
        <f t="shared" si="267"/>
        <v>228</v>
      </c>
      <c r="D4098" t="str">
        <f>"7"</f>
        <v>7</v>
      </c>
      <c r="E4098" t="str">
        <f>"1-228-7"</f>
        <v>1-228-7</v>
      </c>
      <c r="F4098" t="s">
        <v>15</v>
      </c>
      <c r="G4098" t="s">
        <v>16</v>
      </c>
      <c r="H4098" t="s">
        <v>17</v>
      </c>
      <c r="I4098">
        <v>0</v>
      </c>
      <c r="J4098">
        <v>1</v>
      </c>
      <c r="K4098">
        <v>0</v>
      </c>
    </row>
    <row r="4099" spans="1:11" x14ac:dyDescent="0.25">
      <c r="A4099" t="str">
        <f>"5178"</f>
        <v>5178</v>
      </c>
      <c r="B4099" t="str">
        <f t="shared" si="265"/>
        <v>1</v>
      </c>
      <c r="C4099" t="str">
        <f t="shared" si="267"/>
        <v>228</v>
      </c>
      <c r="D4099" t="str">
        <f>"22"</f>
        <v>22</v>
      </c>
      <c r="E4099" t="str">
        <f>"1-228-22"</f>
        <v>1-228-22</v>
      </c>
      <c r="F4099" t="s">
        <v>15</v>
      </c>
      <c r="G4099" t="s">
        <v>20</v>
      </c>
      <c r="H4099" t="s">
        <v>21</v>
      </c>
      <c r="I4099">
        <v>0</v>
      </c>
      <c r="J4099">
        <v>0</v>
      </c>
      <c r="K4099">
        <v>1</v>
      </c>
    </row>
    <row r="4100" spans="1:11" x14ac:dyDescent="0.25">
      <c r="A4100" t="str">
        <f>"5179"</f>
        <v>5179</v>
      </c>
      <c r="B4100" t="str">
        <f t="shared" si="265"/>
        <v>1</v>
      </c>
      <c r="C4100" t="str">
        <f t="shared" si="267"/>
        <v>228</v>
      </c>
      <c r="D4100" t="str">
        <f>"3"</f>
        <v>3</v>
      </c>
      <c r="E4100" t="str">
        <f>"1-228-3"</f>
        <v>1-228-3</v>
      </c>
      <c r="F4100" t="s">
        <v>15</v>
      </c>
      <c r="G4100" t="s">
        <v>16</v>
      </c>
      <c r="H4100" t="s">
        <v>17</v>
      </c>
      <c r="I4100">
        <v>1</v>
      </c>
      <c r="J4100">
        <v>0</v>
      </c>
      <c r="K4100">
        <v>0</v>
      </c>
    </row>
    <row r="4101" spans="1:11" x14ac:dyDescent="0.25">
      <c r="A4101" t="str">
        <f>"5180"</f>
        <v>5180</v>
      </c>
      <c r="B4101" t="str">
        <f t="shared" si="265"/>
        <v>1</v>
      </c>
      <c r="C4101" t="str">
        <f t="shared" si="267"/>
        <v>228</v>
      </c>
      <c r="D4101" t="str">
        <f>"24"</f>
        <v>24</v>
      </c>
      <c r="E4101" t="str">
        <f>"1-228-24"</f>
        <v>1-228-24</v>
      </c>
      <c r="F4101" t="s">
        <v>15</v>
      </c>
      <c r="G4101" t="s">
        <v>16</v>
      </c>
      <c r="H4101" t="s">
        <v>17</v>
      </c>
      <c r="I4101">
        <v>1</v>
      </c>
      <c r="J4101">
        <v>0</v>
      </c>
      <c r="K4101">
        <v>0</v>
      </c>
    </row>
    <row r="4102" spans="1:11" x14ac:dyDescent="0.25">
      <c r="A4102" t="str">
        <f>"5181"</f>
        <v>5181</v>
      </c>
      <c r="B4102" t="str">
        <f t="shared" si="265"/>
        <v>1</v>
      </c>
      <c r="C4102" t="str">
        <f t="shared" si="267"/>
        <v>228</v>
      </c>
      <c r="D4102" t="str">
        <f>"6"</f>
        <v>6</v>
      </c>
      <c r="E4102" t="str">
        <f>"1-228-6"</f>
        <v>1-228-6</v>
      </c>
      <c r="F4102" t="s">
        <v>15</v>
      </c>
      <c r="G4102" t="s">
        <v>16</v>
      </c>
      <c r="H4102" t="s">
        <v>17</v>
      </c>
      <c r="I4102">
        <v>1</v>
      </c>
      <c r="J4102">
        <v>0</v>
      </c>
      <c r="K4102">
        <v>0</v>
      </c>
    </row>
    <row r="4103" spans="1:11" x14ac:dyDescent="0.25">
      <c r="A4103" t="str">
        <f>"5182"</f>
        <v>5182</v>
      </c>
      <c r="B4103" t="str">
        <f t="shared" si="265"/>
        <v>1</v>
      </c>
      <c r="C4103" t="str">
        <f t="shared" si="267"/>
        <v>228</v>
      </c>
      <c r="D4103" t="str">
        <f>"10"</f>
        <v>10</v>
      </c>
      <c r="E4103" t="str">
        <f>"1-228-10"</f>
        <v>1-228-10</v>
      </c>
      <c r="F4103" t="s">
        <v>15</v>
      </c>
      <c r="G4103" t="s">
        <v>18</v>
      </c>
      <c r="H4103" t="s">
        <v>19</v>
      </c>
      <c r="I4103">
        <v>0</v>
      </c>
      <c r="J4103">
        <v>1</v>
      </c>
      <c r="K4103">
        <v>0</v>
      </c>
    </row>
    <row r="4104" spans="1:11" x14ac:dyDescent="0.25">
      <c r="A4104" t="str">
        <f>"5183"</f>
        <v>5183</v>
      </c>
      <c r="B4104" t="str">
        <f t="shared" si="265"/>
        <v>1</v>
      </c>
      <c r="C4104" t="str">
        <f t="shared" si="267"/>
        <v>228</v>
      </c>
      <c r="D4104" t="str">
        <f>"11"</f>
        <v>11</v>
      </c>
      <c r="E4104" t="str">
        <f>"1-228-11"</f>
        <v>1-228-11</v>
      </c>
      <c r="F4104" t="s">
        <v>15</v>
      </c>
      <c r="G4104" t="s">
        <v>18</v>
      </c>
      <c r="H4104" t="s">
        <v>19</v>
      </c>
      <c r="I4104">
        <v>0</v>
      </c>
      <c r="J4104">
        <v>1</v>
      </c>
      <c r="K4104">
        <v>0</v>
      </c>
    </row>
    <row r="4105" spans="1:11" x14ac:dyDescent="0.25">
      <c r="A4105" t="str">
        <f>"5184"</f>
        <v>5184</v>
      </c>
      <c r="B4105" t="str">
        <f t="shared" si="265"/>
        <v>1</v>
      </c>
      <c r="C4105" t="str">
        <f t="shared" si="267"/>
        <v>228</v>
      </c>
      <c r="D4105" t="str">
        <f>"5"</f>
        <v>5</v>
      </c>
      <c r="E4105" t="str">
        <f>"1-228-5"</f>
        <v>1-228-5</v>
      </c>
      <c r="F4105" t="s">
        <v>15</v>
      </c>
      <c r="G4105" t="s">
        <v>16</v>
      </c>
      <c r="H4105" t="s">
        <v>17</v>
      </c>
      <c r="I4105">
        <v>1</v>
      </c>
      <c r="J4105">
        <v>0</v>
      </c>
      <c r="K4105">
        <v>0</v>
      </c>
    </row>
    <row r="4106" spans="1:11" x14ac:dyDescent="0.25">
      <c r="A4106" t="str">
        <f>"5185"</f>
        <v>5185</v>
      </c>
      <c r="B4106" t="str">
        <f t="shared" si="265"/>
        <v>1</v>
      </c>
      <c r="C4106" t="str">
        <f t="shared" si="267"/>
        <v>228</v>
      </c>
      <c r="D4106" t="str">
        <f>"9"</f>
        <v>9</v>
      </c>
      <c r="E4106" t="str">
        <f>"1-228-9"</f>
        <v>1-228-9</v>
      </c>
      <c r="F4106" t="s">
        <v>15</v>
      </c>
      <c r="G4106" t="s">
        <v>18</v>
      </c>
      <c r="H4106" t="s">
        <v>19</v>
      </c>
      <c r="I4106">
        <v>0</v>
      </c>
      <c r="J4106">
        <v>1</v>
      </c>
      <c r="K4106">
        <v>0</v>
      </c>
    </row>
    <row r="4107" spans="1:11" x14ac:dyDescent="0.25">
      <c r="A4107" t="str">
        <f>"5186"</f>
        <v>5186</v>
      </c>
      <c r="B4107" t="str">
        <f t="shared" si="265"/>
        <v>1</v>
      </c>
      <c r="C4107" t="str">
        <f t="shared" si="267"/>
        <v>228</v>
      </c>
      <c r="D4107" t="str">
        <f>"1"</f>
        <v>1</v>
      </c>
      <c r="E4107" t="str">
        <f>"1-228-1"</f>
        <v>1-228-1</v>
      </c>
      <c r="F4107" t="s">
        <v>15</v>
      </c>
      <c r="G4107" t="s">
        <v>16</v>
      </c>
      <c r="H4107" t="s">
        <v>17</v>
      </c>
      <c r="I4107">
        <v>0</v>
      </c>
      <c r="J4107">
        <v>1</v>
      </c>
      <c r="K4107">
        <v>0</v>
      </c>
    </row>
    <row r="4108" spans="1:11" x14ac:dyDescent="0.25">
      <c r="A4108" t="str">
        <f>"5187"</f>
        <v>5187</v>
      </c>
      <c r="B4108" t="str">
        <f t="shared" si="265"/>
        <v>1</v>
      </c>
      <c r="C4108" t="str">
        <f t="shared" si="267"/>
        <v>228</v>
      </c>
      <c r="D4108" t="str">
        <f>"18"</f>
        <v>18</v>
      </c>
      <c r="E4108" t="str">
        <f>"1-228-18"</f>
        <v>1-228-18</v>
      </c>
      <c r="F4108" t="s">
        <v>15</v>
      </c>
      <c r="G4108" t="s">
        <v>20</v>
      </c>
      <c r="H4108" t="s">
        <v>21</v>
      </c>
      <c r="I4108">
        <v>0</v>
      </c>
      <c r="J4108">
        <v>0</v>
      </c>
      <c r="K4108">
        <v>0</v>
      </c>
    </row>
    <row r="4109" spans="1:11" x14ac:dyDescent="0.25">
      <c r="A4109" t="str">
        <f>"5188"</f>
        <v>5188</v>
      </c>
      <c r="B4109" t="str">
        <f t="shared" si="265"/>
        <v>1</v>
      </c>
      <c r="C4109" t="str">
        <f t="shared" si="267"/>
        <v>228</v>
      </c>
      <c r="D4109" t="str">
        <f>"4"</f>
        <v>4</v>
      </c>
      <c r="E4109" t="str">
        <f>"1-228-4"</f>
        <v>1-228-4</v>
      </c>
      <c r="F4109" t="s">
        <v>15</v>
      </c>
      <c r="G4109" t="s">
        <v>16</v>
      </c>
      <c r="H4109" t="s">
        <v>17</v>
      </c>
      <c r="I4109">
        <v>0</v>
      </c>
      <c r="J4109">
        <v>0</v>
      </c>
      <c r="K4109">
        <v>0</v>
      </c>
    </row>
    <row r="4110" spans="1:11" x14ac:dyDescent="0.25">
      <c r="A4110" t="str">
        <f>"5189"</f>
        <v>5189</v>
      </c>
      <c r="B4110" t="str">
        <f t="shared" si="265"/>
        <v>1</v>
      </c>
      <c r="C4110" t="str">
        <f t="shared" si="267"/>
        <v>228</v>
      </c>
      <c r="D4110" t="str">
        <f>"15"</f>
        <v>15</v>
      </c>
      <c r="E4110" t="str">
        <f>"1-228-15"</f>
        <v>1-228-15</v>
      </c>
      <c r="F4110" t="s">
        <v>15</v>
      </c>
      <c r="G4110" t="s">
        <v>16</v>
      </c>
      <c r="H4110" t="s">
        <v>17</v>
      </c>
      <c r="I4110">
        <v>0</v>
      </c>
      <c r="J4110">
        <v>0</v>
      </c>
      <c r="K4110">
        <v>0</v>
      </c>
    </row>
    <row r="4111" spans="1:11" x14ac:dyDescent="0.25">
      <c r="A4111" t="str">
        <f>"5193"</f>
        <v>5193</v>
      </c>
      <c r="B4111" t="str">
        <f t="shared" si="265"/>
        <v>1</v>
      </c>
      <c r="C4111" t="str">
        <f t="shared" ref="C4111:C4127" si="268">"229"</f>
        <v>229</v>
      </c>
      <c r="D4111" t="str">
        <f>"16"</f>
        <v>16</v>
      </c>
      <c r="E4111" t="str">
        <f>"1-229-16"</f>
        <v>1-229-16</v>
      </c>
      <c r="F4111" t="s">
        <v>15</v>
      </c>
      <c r="G4111" t="s">
        <v>16</v>
      </c>
      <c r="H4111" t="s">
        <v>17</v>
      </c>
      <c r="I4111">
        <v>0</v>
      </c>
      <c r="J4111">
        <v>0</v>
      </c>
      <c r="K4111">
        <v>1</v>
      </c>
    </row>
    <row r="4112" spans="1:11" x14ac:dyDescent="0.25">
      <c r="A4112" t="str">
        <f>"5194"</f>
        <v>5194</v>
      </c>
      <c r="B4112" t="str">
        <f t="shared" si="265"/>
        <v>1</v>
      </c>
      <c r="C4112" t="str">
        <f t="shared" si="268"/>
        <v>229</v>
      </c>
      <c r="D4112" t="str">
        <f>"17"</f>
        <v>17</v>
      </c>
      <c r="E4112" t="str">
        <f>"1-229-17"</f>
        <v>1-229-17</v>
      </c>
      <c r="F4112" t="s">
        <v>15</v>
      </c>
      <c r="G4112" t="s">
        <v>20</v>
      </c>
      <c r="H4112" t="s">
        <v>21</v>
      </c>
      <c r="I4112">
        <v>0</v>
      </c>
      <c r="J4112">
        <v>1</v>
      </c>
      <c r="K4112">
        <v>0</v>
      </c>
    </row>
    <row r="4113" spans="1:11" x14ac:dyDescent="0.25">
      <c r="A4113" t="str">
        <f>"5195"</f>
        <v>5195</v>
      </c>
      <c r="B4113" t="str">
        <f t="shared" si="265"/>
        <v>1</v>
      </c>
      <c r="C4113" t="str">
        <f t="shared" si="268"/>
        <v>229</v>
      </c>
      <c r="D4113" t="str">
        <f>"14"</f>
        <v>14</v>
      </c>
      <c r="E4113" t="str">
        <f>"1-229-14"</f>
        <v>1-229-14</v>
      </c>
      <c r="F4113" t="s">
        <v>15</v>
      </c>
      <c r="G4113" t="s">
        <v>20</v>
      </c>
      <c r="H4113" t="s">
        <v>21</v>
      </c>
      <c r="I4113">
        <v>0</v>
      </c>
      <c r="J4113">
        <v>0</v>
      </c>
      <c r="K4113">
        <v>1</v>
      </c>
    </row>
    <row r="4114" spans="1:11" x14ac:dyDescent="0.25">
      <c r="A4114" t="str">
        <f>"5196"</f>
        <v>5196</v>
      </c>
      <c r="B4114" t="str">
        <f t="shared" si="265"/>
        <v>1</v>
      </c>
      <c r="C4114" t="str">
        <f t="shared" si="268"/>
        <v>229</v>
      </c>
      <c r="D4114" t="str">
        <f>"18"</f>
        <v>18</v>
      </c>
      <c r="E4114" t="str">
        <f>"1-229-18"</f>
        <v>1-229-18</v>
      </c>
      <c r="F4114" t="s">
        <v>15</v>
      </c>
      <c r="G4114" t="s">
        <v>18</v>
      </c>
      <c r="H4114" t="s">
        <v>19</v>
      </c>
      <c r="I4114">
        <v>0</v>
      </c>
      <c r="J4114">
        <v>0</v>
      </c>
      <c r="K4114">
        <v>1</v>
      </c>
    </row>
    <row r="4115" spans="1:11" x14ac:dyDescent="0.25">
      <c r="A4115" t="str">
        <f>"5197"</f>
        <v>5197</v>
      </c>
      <c r="B4115" t="str">
        <f t="shared" si="265"/>
        <v>1</v>
      </c>
      <c r="C4115" t="str">
        <f t="shared" si="268"/>
        <v>229</v>
      </c>
      <c r="D4115" t="str">
        <f>"6"</f>
        <v>6</v>
      </c>
      <c r="E4115" t="str">
        <f>"1-229-6"</f>
        <v>1-229-6</v>
      </c>
      <c r="F4115" t="s">
        <v>15</v>
      </c>
      <c r="G4115" t="s">
        <v>18</v>
      </c>
      <c r="H4115" t="s">
        <v>19</v>
      </c>
      <c r="I4115">
        <v>0</v>
      </c>
      <c r="J4115">
        <v>0</v>
      </c>
      <c r="K4115">
        <v>1</v>
      </c>
    </row>
    <row r="4116" spans="1:11" x14ac:dyDescent="0.25">
      <c r="A4116" t="str">
        <f>"5198"</f>
        <v>5198</v>
      </c>
      <c r="B4116" t="str">
        <f t="shared" si="265"/>
        <v>1</v>
      </c>
      <c r="C4116" t="str">
        <f t="shared" si="268"/>
        <v>229</v>
      </c>
      <c r="D4116" t="str">
        <f>"19"</f>
        <v>19</v>
      </c>
      <c r="E4116" t="str">
        <f>"1-229-19"</f>
        <v>1-229-19</v>
      </c>
      <c r="F4116" t="s">
        <v>15</v>
      </c>
      <c r="G4116" t="s">
        <v>20</v>
      </c>
      <c r="H4116" t="s">
        <v>21</v>
      </c>
      <c r="I4116">
        <v>0</v>
      </c>
      <c r="J4116">
        <v>1</v>
      </c>
      <c r="K4116">
        <v>0</v>
      </c>
    </row>
    <row r="4117" spans="1:11" x14ac:dyDescent="0.25">
      <c r="A4117" t="str">
        <f>"5202"</f>
        <v>5202</v>
      </c>
      <c r="B4117" t="str">
        <f t="shared" si="265"/>
        <v>1</v>
      </c>
      <c r="C4117" t="str">
        <f t="shared" si="268"/>
        <v>229</v>
      </c>
      <c r="D4117" t="str">
        <f>"23"</f>
        <v>23</v>
      </c>
      <c r="E4117" t="str">
        <f>"1-229-23"</f>
        <v>1-229-23</v>
      </c>
      <c r="F4117" t="s">
        <v>15</v>
      </c>
      <c r="G4117" t="s">
        <v>16</v>
      </c>
      <c r="H4117" t="s">
        <v>17</v>
      </c>
      <c r="I4117">
        <v>0</v>
      </c>
      <c r="J4117">
        <v>0</v>
      </c>
      <c r="K4117">
        <v>1</v>
      </c>
    </row>
    <row r="4118" spans="1:11" x14ac:dyDescent="0.25">
      <c r="A4118" t="str">
        <f>"5203"</f>
        <v>5203</v>
      </c>
      <c r="B4118" t="str">
        <f t="shared" si="265"/>
        <v>1</v>
      </c>
      <c r="C4118" t="str">
        <f t="shared" si="268"/>
        <v>229</v>
      </c>
      <c r="D4118" t="str">
        <f>"4"</f>
        <v>4</v>
      </c>
      <c r="E4118" t="str">
        <f>"1-229-4"</f>
        <v>1-229-4</v>
      </c>
      <c r="F4118" t="s">
        <v>15</v>
      </c>
      <c r="G4118" t="s">
        <v>20</v>
      </c>
      <c r="H4118" t="s">
        <v>21</v>
      </c>
      <c r="I4118">
        <v>0</v>
      </c>
      <c r="J4118">
        <v>1</v>
      </c>
      <c r="K4118">
        <v>0</v>
      </c>
    </row>
    <row r="4119" spans="1:11" x14ac:dyDescent="0.25">
      <c r="A4119" t="str">
        <f>"5205"</f>
        <v>5205</v>
      </c>
      <c r="B4119" t="str">
        <f t="shared" si="265"/>
        <v>1</v>
      </c>
      <c r="C4119" t="str">
        <f t="shared" si="268"/>
        <v>229</v>
      </c>
      <c r="D4119" t="str">
        <f>"3"</f>
        <v>3</v>
      </c>
      <c r="E4119" t="str">
        <f>"1-229-3"</f>
        <v>1-229-3</v>
      </c>
      <c r="F4119" t="s">
        <v>15</v>
      </c>
      <c r="G4119" t="s">
        <v>20</v>
      </c>
      <c r="H4119" t="s">
        <v>21</v>
      </c>
      <c r="I4119">
        <v>0</v>
      </c>
      <c r="J4119">
        <v>1</v>
      </c>
      <c r="K4119">
        <v>0</v>
      </c>
    </row>
    <row r="4120" spans="1:11" x14ac:dyDescent="0.25">
      <c r="A4120" t="str">
        <f>"5206"</f>
        <v>5206</v>
      </c>
      <c r="B4120" t="str">
        <f t="shared" si="265"/>
        <v>1</v>
      </c>
      <c r="C4120" t="str">
        <f t="shared" si="268"/>
        <v>229</v>
      </c>
      <c r="D4120" t="str">
        <f>"9"</f>
        <v>9</v>
      </c>
      <c r="E4120" t="str">
        <f>"1-229-9"</f>
        <v>1-229-9</v>
      </c>
      <c r="F4120" t="s">
        <v>15</v>
      </c>
      <c r="G4120" t="s">
        <v>18</v>
      </c>
      <c r="H4120" t="s">
        <v>19</v>
      </c>
      <c r="I4120">
        <v>0</v>
      </c>
      <c r="J4120">
        <v>1</v>
      </c>
      <c r="K4120">
        <v>0</v>
      </c>
    </row>
    <row r="4121" spans="1:11" x14ac:dyDescent="0.25">
      <c r="A4121" t="str">
        <f>"5207"</f>
        <v>5207</v>
      </c>
      <c r="B4121" t="str">
        <f t="shared" si="265"/>
        <v>1</v>
      </c>
      <c r="C4121" t="str">
        <f t="shared" si="268"/>
        <v>229</v>
      </c>
      <c r="D4121" t="str">
        <f>"7"</f>
        <v>7</v>
      </c>
      <c r="E4121" t="str">
        <f>"1-229-7"</f>
        <v>1-229-7</v>
      </c>
      <c r="F4121" t="s">
        <v>15</v>
      </c>
      <c r="G4121" t="s">
        <v>16</v>
      </c>
      <c r="H4121" t="s">
        <v>17</v>
      </c>
      <c r="I4121">
        <v>0</v>
      </c>
      <c r="J4121">
        <v>0</v>
      </c>
      <c r="K4121">
        <v>1</v>
      </c>
    </row>
    <row r="4122" spans="1:11" x14ac:dyDescent="0.25">
      <c r="A4122" t="str">
        <f>"5208"</f>
        <v>5208</v>
      </c>
      <c r="B4122" t="str">
        <f t="shared" si="265"/>
        <v>1</v>
      </c>
      <c r="C4122" t="str">
        <f t="shared" si="268"/>
        <v>229</v>
      </c>
      <c r="D4122" t="str">
        <f>"13"</f>
        <v>13</v>
      </c>
      <c r="E4122" t="str">
        <f>"1-229-13"</f>
        <v>1-229-13</v>
      </c>
      <c r="F4122" t="s">
        <v>15</v>
      </c>
      <c r="G4122" t="s">
        <v>16</v>
      </c>
      <c r="H4122" t="s">
        <v>17</v>
      </c>
      <c r="I4122">
        <v>0</v>
      </c>
      <c r="J4122">
        <v>0</v>
      </c>
      <c r="K4122">
        <v>1</v>
      </c>
    </row>
    <row r="4123" spans="1:11" x14ac:dyDescent="0.25">
      <c r="A4123" t="str">
        <f>"5209"</f>
        <v>5209</v>
      </c>
      <c r="B4123" t="str">
        <f t="shared" si="265"/>
        <v>1</v>
      </c>
      <c r="C4123" t="str">
        <f t="shared" si="268"/>
        <v>229</v>
      </c>
      <c r="D4123" t="str">
        <f>"22"</f>
        <v>22</v>
      </c>
      <c r="E4123" t="str">
        <f>"1-229-22"</f>
        <v>1-229-22</v>
      </c>
      <c r="F4123" t="s">
        <v>15</v>
      </c>
      <c r="G4123" t="s">
        <v>20</v>
      </c>
      <c r="H4123" t="s">
        <v>21</v>
      </c>
      <c r="I4123">
        <v>0</v>
      </c>
      <c r="J4123">
        <v>0</v>
      </c>
      <c r="K4123">
        <v>0</v>
      </c>
    </row>
    <row r="4124" spans="1:11" x14ac:dyDescent="0.25">
      <c r="A4124" t="str">
        <f>"5210"</f>
        <v>5210</v>
      </c>
      <c r="B4124" t="str">
        <f t="shared" ref="B4124:B4187" si="269">"1"</f>
        <v>1</v>
      </c>
      <c r="C4124" t="str">
        <f t="shared" si="268"/>
        <v>229</v>
      </c>
      <c r="D4124" t="str">
        <f>"8"</f>
        <v>8</v>
      </c>
      <c r="E4124" t="str">
        <f>"1-229-8"</f>
        <v>1-229-8</v>
      </c>
      <c r="F4124" t="s">
        <v>15</v>
      </c>
      <c r="G4124" t="s">
        <v>16</v>
      </c>
      <c r="H4124" t="s">
        <v>17</v>
      </c>
      <c r="I4124">
        <v>0</v>
      </c>
      <c r="J4124">
        <v>0</v>
      </c>
      <c r="K4124">
        <v>0</v>
      </c>
    </row>
    <row r="4125" spans="1:11" x14ac:dyDescent="0.25">
      <c r="A4125" t="str">
        <f>"5211"</f>
        <v>5211</v>
      </c>
      <c r="B4125" t="str">
        <f t="shared" si="269"/>
        <v>1</v>
      </c>
      <c r="C4125" t="str">
        <f t="shared" si="268"/>
        <v>229</v>
      </c>
      <c r="D4125" t="str">
        <f>"12"</f>
        <v>12</v>
      </c>
      <c r="E4125" t="str">
        <f>"1-229-12"</f>
        <v>1-229-12</v>
      </c>
      <c r="F4125" t="s">
        <v>15</v>
      </c>
      <c r="G4125" t="s">
        <v>20</v>
      </c>
      <c r="H4125" t="s">
        <v>21</v>
      </c>
      <c r="I4125">
        <v>0</v>
      </c>
      <c r="J4125">
        <v>0</v>
      </c>
      <c r="K4125">
        <v>0</v>
      </c>
    </row>
    <row r="4126" spans="1:11" x14ac:dyDescent="0.25">
      <c r="A4126" t="str">
        <f>"5212"</f>
        <v>5212</v>
      </c>
      <c r="B4126" t="str">
        <f t="shared" si="269"/>
        <v>1</v>
      </c>
      <c r="C4126" t="str">
        <f t="shared" si="268"/>
        <v>229</v>
      </c>
      <c r="D4126" t="str">
        <f>"5"</f>
        <v>5</v>
      </c>
      <c r="E4126" t="str">
        <f>"1-229-5"</f>
        <v>1-229-5</v>
      </c>
      <c r="F4126" t="s">
        <v>15</v>
      </c>
      <c r="G4126" t="s">
        <v>16</v>
      </c>
      <c r="H4126" t="s">
        <v>17</v>
      </c>
      <c r="I4126">
        <v>0</v>
      </c>
      <c r="J4126">
        <v>0</v>
      </c>
      <c r="K4126">
        <v>0</v>
      </c>
    </row>
    <row r="4127" spans="1:11" x14ac:dyDescent="0.25">
      <c r="A4127" t="str">
        <f>"5213"</f>
        <v>5213</v>
      </c>
      <c r="B4127" t="str">
        <f t="shared" si="269"/>
        <v>1</v>
      </c>
      <c r="C4127" t="str">
        <f t="shared" si="268"/>
        <v>229</v>
      </c>
      <c r="D4127" t="str">
        <f>"21"</f>
        <v>21</v>
      </c>
      <c r="E4127" t="str">
        <f>"1-229-21"</f>
        <v>1-229-21</v>
      </c>
      <c r="F4127" t="s">
        <v>15</v>
      </c>
      <c r="G4127" t="s">
        <v>20</v>
      </c>
      <c r="H4127" t="s">
        <v>21</v>
      </c>
      <c r="I4127">
        <v>0</v>
      </c>
      <c r="J4127">
        <v>0</v>
      </c>
      <c r="K4127">
        <v>0</v>
      </c>
    </row>
    <row r="4128" spans="1:11" x14ac:dyDescent="0.25">
      <c r="A4128" t="str">
        <f>"5214"</f>
        <v>5214</v>
      </c>
      <c r="B4128" t="str">
        <f t="shared" si="269"/>
        <v>1</v>
      </c>
      <c r="C4128" t="str">
        <f t="shared" ref="C4128:C4152" si="270">"230"</f>
        <v>230</v>
      </c>
      <c r="D4128" t="str">
        <f>"25"</f>
        <v>25</v>
      </c>
      <c r="E4128" t="str">
        <f>"1-230-25"</f>
        <v>1-230-25</v>
      </c>
      <c r="F4128" t="s">
        <v>15</v>
      </c>
      <c r="G4128" t="s">
        <v>16</v>
      </c>
      <c r="H4128" t="s">
        <v>17</v>
      </c>
      <c r="I4128">
        <v>0</v>
      </c>
      <c r="J4128">
        <v>1</v>
      </c>
      <c r="K4128">
        <v>0</v>
      </c>
    </row>
    <row r="4129" spans="1:11" x14ac:dyDescent="0.25">
      <c r="A4129" t="str">
        <f>"5215"</f>
        <v>5215</v>
      </c>
      <c r="B4129" t="str">
        <f t="shared" si="269"/>
        <v>1</v>
      </c>
      <c r="C4129" t="str">
        <f t="shared" si="270"/>
        <v>230</v>
      </c>
      <c r="D4129" t="str">
        <f>"15"</f>
        <v>15</v>
      </c>
      <c r="E4129" t="str">
        <f>"1-230-15"</f>
        <v>1-230-15</v>
      </c>
      <c r="F4129" t="s">
        <v>15</v>
      </c>
      <c r="G4129" t="s">
        <v>18</v>
      </c>
      <c r="H4129" t="s">
        <v>19</v>
      </c>
      <c r="I4129">
        <v>1</v>
      </c>
      <c r="J4129">
        <v>0</v>
      </c>
      <c r="K4129">
        <v>0</v>
      </c>
    </row>
    <row r="4130" spans="1:11" x14ac:dyDescent="0.25">
      <c r="A4130" t="str">
        <f>"5216"</f>
        <v>5216</v>
      </c>
      <c r="B4130" t="str">
        <f t="shared" si="269"/>
        <v>1</v>
      </c>
      <c r="C4130" t="str">
        <f t="shared" si="270"/>
        <v>230</v>
      </c>
      <c r="D4130" t="str">
        <f>"4"</f>
        <v>4</v>
      </c>
      <c r="E4130" t="str">
        <f>"1-230-4"</f>
        <v>1-230-4</v>
      </c>
      <c r="F4130" t="s">
        <v>15</v>
      </c>
      <c r="G4130" t="s">
        <v>20</v>
      </c>
      <c r="H4130" t="s">
        <v>21</v>
      </c>
      <c r="I4130">
        <v>1</v>
      </c>
      <c r="J4130">
        <v>0</v>
      </c>
      <c r="K4130">
        <v>0</v>
      </c>
    </row>
    <row r="4131" spans="1:11" x14ac:dyDescent="0.25">
      <c r="A4131" t="str">
        <f>"5217"</f>
        <v>5217</v>
      </c>
      <c r="B4131" t="str">
        <f t="shared" si="269"/>
        <v>1</v>
      </c>
      <c r="C4131" t="str">
        <f t="shared" si="270"/>
        <v>230</v>
      </c>
      <c r="D4131" t="str">
        <f>"16"</f>
        <v>16</v>
      </c>
      <c r="E4131" t="str">
        <f>"1-230-16"</f>
        <v>1-230-16</v>
      </c>
      <c r="F4131" t="s">
        <v>15</v>
      </c>
      <c r="G4131" t="s">
        <v>18</v>
      </c>
      <c r="H4131" t="s">
        <v>19</v>
      </c>
      <c r="I4131">
        <v>1</v>
      </c>
      <c r="J4131">
        <v>0</v>
      </c>
      <c r="K4131">
        <v>0</v>
      </c>
    </row>
    <row r="4132" spans="1:11" x14ac:dyDescent="0.25">
      <c r="A4132" t="str">
        <f>"5218"</f>
        <v>5218</v>
      </c>
      <c r="B4132" t="str">
        <f t="shared" si="269"/>
        <v>1</v>
      </c>
      <c r="C4132" t="str">
        <f t="shared" si="270"/>
        <v>230</v>
      </c>
      <c r="D4132" t="str">
        <f>"6"</f>
        <v>6</v>
      </c>
      <c r="E4132" t="str">
        <f>"1-230-6"</f>
        <v>1-230-6</v>
      </c>
      <c r="F4132" t="s">
        <v>15</v>
      </c>
      <c r="G4132" t="s">
        <v>16</v>
      </c>
      <c r="H4132" t="s">
        <v>17</v>
      </c>
      <c r="I4132">
        <v>1</v>
      </c>
      <c r="J4132">
        <v>0</v>
      </c>
      <c r="K4132">
        <v>0</v>
      </c>
    </row>
    <row r="4133" spans="1:11" x14ac:dyDescent="0.25">
      <c r="A4133" t="str">
        <f>"5219"</f>
        <v>5219</v>
      </c>
      <c r="B4133" t="str">
        <f t="shared" si="269"/>
        <v>1</v>
      </c>
      <c r="C4133" t="str">
        <f t="shared" si="270"/>
        <v>230</v>
      </c>
      <c r="D4133" t="str">
        <f>"17"</f>
        <v>17</v>
      </c>
      <c r="E4133" t="str">
        <f>"1-230-17"</f>
        <v>1-230-17</v>
      </c>
      <c r="F4133" t="s">
        <v>15</v>
      </c>
      <c r="G4133" t="s">
        <v>16</v>
      </c>
      <c r="H4133" t="s">
        <v>17</v>
      </c>
      <c r="I4133">
        <v>1</v>
      </c>
      <c r="J4133">
        <v>0</v>
      </c>
      <c r="K4133">
        <v>0</v>
      </c>
    </row>
    <row r="4134" spans="1:11" x14ac:dyDescent="0.25">
      <c r="A4134" t="str">
        <f>"5220"</f>
        <v>5220</v>
      </c>
      <c r="B4134" t="str">
        <f t="shared" si="269"/>
        <v>1</v>
      </c>
      <c r="C4134" t="str">
        <f t="shared" si="270"/>
        <v>230</v>
      </c>
      <c r="D4134" t="str">
        <f>"14"</f>
        <v>14</v>
      </c>
      <c r="E4134" t="str">
        <f>"1-230-14"</f>
        <v>1-230-14</v>
      </c>
      <c r="F4134" t="s">
        <v>15</v>
      </c>
      <c r="G4134" t="s">
        <v>16</v>
      </c>
      <c r="H4134" t="s">
        <v>17</v>
      </c>
      <c r="I4134">
        <v>0</v>
      </c>
      <c r="J4134">
        <v>1</v>
      </c>
      <c r="K4134">
        <v>0</v>
      </c>
    </row>
    <row r="4135" spans="1:11" x14ac:dyDescent="0.25">
      <c r="A4135" t="str">
        <f>"5221"</f>
        <v>5221</v>
      </c>
      <c r="B4135" t="str">
        <f t="shared" si="269"/>
        <v>1</v>
      </c>
      <c r="C4135" t="str">
        <f t="shared" si="270"/>
        <v>230</v>
      </c>
      <c r="D4135" t="str">
        <f>"18"</f>
        <v>18</v>
      </c>
      <c r="E4135" t="str">
        <f>"1-230-18"</f>
        <v>1-230-18</v>
      </c>
      <c r="F4135" t="s">
        <v>15</v>
      </c>
      <c r="G4135" t="s">
        <v>16</v>
      </c>
      <c r="H4135" t="s">
        <v>17</v>
      </c>
      <c r="I4135">
        <v>1</v>
      </c>
      <c r="J4135">
        <v>0</v>
      </c>
      <c r="K4135">
        <v>0</v>
      </c>
    </row>
    <row r="4136" spans="1:11" x14ac:dyDescent="0.25">
      <c r="A4136" t="str">
        <f>"5222"</f>
        <v>5222</v>
      </c>
      <c r="B4136" t="str">
        <f t="shared" si="269"/>
        <v>1</v>
      </c>
      <c r="C4136" t="str">
        <f t="shared" si="270"/>
        <v>230</v>
      </c>
      <c r="D4136" t="str">
        <f>"1"</f>
        <v>1</v>
      </c>
      <c r="E4136" t="str">
        <f>"1-230-1"</f>
        <v>1-230-1</v>
      </c>
      <c r="F4136" t="s">
        <v>15</v>
      </c>
      <c r="G4136" t="s">
        <v>16</v>
      </c>
      <c r="H4136" t="s">
        <v>17</v>
      </c>
      <c r="I4136">
        <v>0</v>
      </c>
      <c r="J4136">
        <v>0</v>
      </c>
      <c r="K4136">
        <v>1</v>
      </c>
    </row>
    <row r="4137" spans="1:11" x14ac:dyDescent="0.25">
      <c r="A4137" t="str">
        <f>"5223"</f>
        <v>5223</v>
      </c>
      <c r="B4137" t="str">
        <f t="shared" si="269"/>
        <v>1</v>
      </c>
      <c r="C4137" t="str">
        <f t="shared" si="270"/>
        <v>230</v>
      </c>
      <c r="D4137" t="str">
        <f>"19"</f>
        <v>19</v>
      </c>
      <c r="E4137" t="str">
        <f>"1-230-19"</f>
        <v>1-230-19</v>
      </c>
      <c r="F4137" t="s">
        <v>15</v>
      </c>
      <c r="G4137" t="s">
        <v>16</v>
      </c>
      <c r="H4137" t="s">
        <v>17</v>
      </c>
      <c r="I4137">
        <v>1</v>
      </c>
      <c r="J4137">
        <v>0</v>
      </c>
      <c r="K4137">
        <v>0</v>
      </c>
    </row>
    <row r="4138" spans="1:11" x14ac:dyDescent="0.25">
      <c r="A4138" t="str">
        <f>"5224"</f>
        <v>5224</v>
      </c>
      <c r="B4138" t="str">
        <f t="shared" si="269"/>
        <v>1</v>
      </c>
      <c r="C4138" t="str">
        <f t="shared" si="270"/>
        <v>230</v>
      </c>
      <c r="D4138" t="str">
        <f>"3"</f>
        <v>3</v>
      </c>
      <c r="E4138" t="str">
        <f>"1-230-3"</f>
        <v>1-230-3</v>
      </c>
      <c r="F4138" t="s">
        <v>15</v>
      </c>
      <c r="G4138" t="s">
        <v>16</v>
      </c>
      <c r="H4138" t="s">
        <v>17</v>
      </c>
      <c r="I4138">
        <v>1</v>
      </c>
      <c r="J4138">
        <v>0</v>
      </c>
      <c r="K4138">
        <v>0</v>
      </c>
    </row>
    <row r="4139" spans="1:11" x14ac:dyDescent="0.25">
      <c r="A4139" t="str">
        <f>"5225"</f>
        <v>5225</v>
      </c>
      <c r="B4139" t="str">
        <f t="shared" si="269"/>
        <v>1</v>
      </c>
      <c r="C4139" t="str">
        <f t="shared" si="270"/>
        <v>230</v>
      </c>
      <c r="D4139" t="str">
        <f>"20"</f>
        <v>20</v>
      </c>
      <c r="E4139" t="str">
        <f>"1-230-20"</f>
        <v>1-230-20</v>
      </c>
      <c r="F4139" t="s">
        <v>15</v>
      </c>
      <c r="G4139" t="s">
        <v>16</v>
      </c>
      <c r="H4139" t="s">
        <v>17</v>
      </c>
      <c r="I4139">
        <v>0</v>
      </c>
      <c r="J4139">
        <v>1</v>
      </c>
      <c r="K4139">
        <v>0</v>
      </c>
    </row>
    <row r="4140" spans="1:11" x14ac:dyDescent="0.25">
      <c r="A4140" t="str">
        <f>"5226"</f>
        <v>5226</v>
      </c>
      <c r="B4140" t="str">
        <f t="shared" si="269"/>
        <v>1</v>
      </c>
      <c r="C4140" t="str">
        <f t="shared" si="270"/>
        <v>230</v>
      </c>
      <c r="D4140" t="str">
        <f>"11"</f>
        <v>11</v>
      </c>
      <c r="E4140" t="str">
        <f>"1-230-11"</f>
        <v>1-230-11</v>
      </c>
      <c r="F4140" t="s">
        <v>15</v>
      </c>
      <c r="G4140" t="s">
        <v>16</v>
      </c>
      <c r="H4140" t="s">
        <v>17</v>
      </c>
      <c r="I4140">
        <v>0</v>
      </c>
      <c r="J4140">
        <v>0</v>
      </c>
      <c r="K4140">
        <v>1</v>
      </c>
    </row>
    <row r="4141" spans="1:11" x14ac:dyDescent="0.25">
      <c r="A4141" t="str">
        <f>"5227"</f>
        <v>5227</v>
      </c>
      <c r="B4141" t="str">
        <f t="shared" si="269"/>
        <v>1</v>
      </c>
      <c r="C4141" t="str">
        <f t="shared" si="270"/>
        <v>230</v>
      </c>
      <c r="D4141" t="str">
        <f>"21"</f>
        <v>21</v>
      </c>
      <c r="E4141" t="str">
        <f>"1-230-21"</f>
        <v>1-230-21</v>
      </c>
      <c r="F4141" t="s">
        <v>15</v>
      </c>
      <c r="G4141" t="s">
        <v>16</v>
      </c>
      <c r="H4141" t="s">
        <v>17</v>
      </c>
      <c r="I4141">
        <v>1</v>
      </c>
      <c r="J4141">
        <v>0</v>
      </c>
      <c r="K4141">
        <v>0</v>
      </c>
    </row>
    <row r="4142" spans="1:11" x14ac:dyDescent="0.25">
      <c r="A4142" t="str">
        <f>"5228"</f>
        <v>5228</v>
      </c>
      <c r="B4142" t="str">
        <f t="shared" si="269"/>
        <v>1</v>
      </c>
      <c r="C4142" t="str">
        <f t="shared" si="270"/>
        <v>230</v>
      </c>
      <c r="D4142" t="str">
        <f>"8"</f>
        <v>8</v>
      </c>
      <c r="E4142" t="str">
        <f>"1-230-8"</f>
        <v>1-230-8</v>
      </c>
      <c r="F4142" t="s">
        <v>15</v>
      </c>
      <c r="G4142" t="s">
        <v>18</v>
      </c>
      <c r="H4142" t="s">
        <v>19</v>
      </c>
      <c r="I4142">
        <v>1</v>
      </c>
      <c r="J4142">
        <v>0</v>
      </c>
      <c r="K4142">
        <v>0</v>
      </c>
    </row>
    <row r="4143" spans="1:11" x14ac:dyDescent="0.25">
      <c r="A4143" t="str">
        <f>"5229"</f>
        <v>5229</v>
      </c>
      <c r="B4143" t="str">
        <f t="shared" si="269"/>
        <v>1</v>
      </c>
      <c r="C4143" t="str">
        <f t="shared" si="270"/>
        <v>230</v>
      </c>
      <c r="D4143" t="str">
        <f>"22"</f>
        <v>22</v>
      </c>
      <c r="E4143" t="str">
        <f>"1-230-22"</f>
        <v>1-230-22</v>
      </c>
      <c r="F4143" t="s">
        <v>15</v>
      </c>
      <c r="G4143" t="s">
        <v>16</v>
      </c>
      <c r="H4143" t="s">
        <v>17</v>
      </c>
      <c r="I4143">
        <v>1</v>
      </c>
      <c r="J4143">
        <v>0</v>
      </c>
      <c r="K4143">
        <v>0</v>
      </c>
    </row>
    <row r="4144" spans="1:11" x14ac:dyDescent="0.25">
      <c r="A4144" t="str">
        <f>"5230"</f>
        <v>5230</v>
      </c>
      <c r="B4144" t="str">
        <f t="shared" si="269"/>
        <v>1</v>
      </c>
      <c r="C4144" t="str">
        <f t="shared" si="270"/>
        <v>230</v>
      </c>
      <c r="D4144" t="str">
        <f>"12"</f>
        <v>12</v>
      </c>
      <c r="E4144" t="str">
        <f>"1-230-12"</f>
        <v>1-230-12</v>
      </c>
      <c r="F4144" t="s">
        <v>15</v>
      </c>
      <c r="G4144" t="s">
        <v>18</v>
      </c>
      <c r="H4144" t="s">
        <v>19</v>
      </c>
      <c r="I4144">
        <v>1</v>
      </c>
      <c r="J4144">
        <v>0</v>
      </c>
      <c r="K4144">
        <v>0</v>
      </c>
    </row>
    <row r="4145" spans="1:11" x14ac:dyDescent="0.25">
      <c r="A4145" t="str">
        <f>"5231"</f>
        <v>5231</v>
      </c>
      <c r="B4145" t="str">
        <f t="shared" si="269"/>
        <v>1</v>
      </c>
      <c r="C4145" t="str">
        <f t="shared" si="270"/>
        <v>230</v>
      </c>
      <c r="D4145" t="str">
        <f>"23"</f>
        <v>23</v>
      </c>
      <c r="E4145" t="str">
        <f>"1-230-23"</f>
        <v>1-230-23</v>
      </c>
      <c r="F4145" t="s">
        <v>15</v>
      </c>
      <c r="G4145" t="s">
        <v>16</v>
      </c>
      <c r="H4145" t="s">
        <v>17</v>
      </c>
      <c r="I4145">
        <v>0</v>
      </c>
      <c r="J4145">
        <v>1</v>
      </c>
      <c r="K4145">
        <v>0</v>
      </c>
    </row>
    <row r="4146" spans="1:11" x14ac:dyDescent="0.25">
      <c r="A4146" t="str">
        <f>"5232"</f>
        <v>5232</v>
      </c>
      <c r="B4146" t="str">
        <f t="shared" si="269"/>
        <v>1</v>
      </c>
      <c r="C4146" t="str">
        <f t="shared" si="270"/>
        <v>230</v>
      </c>
      <c r="D4146" t="str">
        <f>"7"</f>
        <v>7</v>
      </c>
      <c r="E4146" t="str">
        <f>"1-230-7"</f>
        <v>1-230-7</v>
      </c>
      <c r="F4146" t="s">
        <v>15</v>
      </c>
      <c r="G4146" t="s">
        <v>16</v>
      </c>
      <c r="H4146" t="s">
        <v>17</v>
      </c>
      <c r="I4146">
        <v>1</v>
      </c>
      <c r="J4146">
        <v>0</v>
      </c>
      <c r="K4146">
        <v>0</v>
      </c>
    </row>
    <row r="4147" spans="1:11" x14ac:dyDescent="0.25">
      <c r="A4147" t="str">
        <f>"5233"</f>
        <v>5233</v>
      </c>
      <c r="B4147" t="str">
        <f t="shared" si="269"/>
        <v>1</v>
      </c>
      <c r="C4147" t="str">
        <f t="shared" si="270"/>
        <v>230</v>
      </c>
      <c r="D4147" t="str">
        <f>"24"</f>
        <v>24</v>
      </c>
      <c r="E4147" t="str">
        <f>"1-230-24"</f>
        <v>1-230-24</v>
      </c>
      <c r="F4147" t="s">
        <v>15</v>
      </c>
      <c r="G4147" t="s">
        <v>16</v>
      </c>
      <c r="H4147" t="s">
        <v>17</v>
      </c>
      <c r="I4147">
        <v>1</v>
      </c>
      <c r="J4147">
        <v>0</v>
      </c>
      <c r="K4147">
        <v>0</v>
      </c>
    </row>
    <row r="4148" spans="1:11" x14ac:dyDescent="0.25">
      <c r="A4148" t="str">
        <f>"5234"</f>
        <v>5234</v>
      </c>
      <c r="B4148" t="str">
        <f t="shared" si="269"/>
        <v>1</v>
      </c>
      <c r="C4148" t="str">
        <f t="shared" si="270"/>
        <v>230</v>
      </c>
      <c r="D4148" t="str">
        <f>"13"</f>
        <v>13</v>
      </c>
      <c r="E4148" t="str">
        <f>"1-230-13"</f>
        <v>1-230-13</v>
      </c>
      <c r="F4148" t="s">
        <v>15</v>
      </c>
      <c r="G4148" t="s">
        <v>16</v>
      </c>
      <c r="H4148" t="s">
        <v>17</v>
      </c>
      <c r="I4148">
        <v>0</v>
      </c>
      <c r="J4148">
        <v>1</v>
      </c>
      <c r="K4148">
        <v>0</v>
      </c>
    </row>
    <row r="4149" spans="1:11" x14ac:dyDescent="0.25">
      <c r="A4149" t="str">
        <f>"5235"</f>
        <v>5235</v>
      </c>
      <c r="B4149" t="str">
        <f t="shared" si="269"/>
        <v>1</v>
      </c>
      <c r="C4149" t="str">
        <f t="shared" si="270"/>
        <v>230</v>
      </c>
      <c r="D4149" t="str">
        <f>"2"</f>
        <v>2</v>
      </c>
      <c r="E4149" t="str">
        <f>"1-230-2"</f>
        <v>1-230-2</v>
      </c>
      <c r="F4149" t="s">
        <v>15</v>
      </c>
      <c r="G4149" t="s">
        <v>16</v>
      </c>
      <c r="H4149" t="s">
        <v>17</v>
      </c>
      <c r="I4149">
        <v>0</v>
      </c>
      <c r="J4149">
        <v>1</v>
      </c>
      <c r="K4149">
        <v>0</v>
      </c>
    </row>
    <row r="4150" spans="1:11" x14ac:dyDescent="0.25">
      <c r="A4150" t="str">
        <f>"5236"</f>
        <v>5236</v>
      </c>
      <c r="B4150" t="str">
        <f t="shared" si="269"/>
        <v>1</v>
      </c>
      <c r="C4150" t="str">
        <f t="shared" si="270"/>
        <v>230</v>
      </c>
      <c r="D4150" t="str">
        <f>"10"</f>
        <v>10</v>
      </c>
      <c r="E4150" t="str">
        <f>"1-230-10"</f>
        <v>1-230-10</v>
      </c>
      <c r="F4150" t="s">
        <v>15</v>
      </c>
      <c r="G4150" t="s">
        <v>16</v>
      </c>
      <c r="H4150" t="s">
        <v>17</v>
      </c>
      <c r="I4150">
        <v>1</v>
      </c>
      <c r="J4150">
        <v>0</v>
      </c>
      <c r="K4150">
        <v>0</v>
      </c>
    </row>
    <row r="4151" spans="1:11" x14ac:dyDescent="0.25">
      <c r="A4151" t="str">
        <f>"5237"</f>
        <v>5237</v>
      </c>
      <c r="B4151" t="str">
        <f t="shared" si="269"/>
        <v>1</v>
      </c>
      <c r="C4151" t="str">
        <f t="shared" si="270"/>
        <v>230</v>
      </c>
      <c r="D4151" t="str">
        <f>"9"</f>
        <v>9</v>
      </c>
      <c r="E4151" t="str">
        <f>"1-230-9"</f>
        <v>1-230-9</v>
      </c>
      <c r="F4151" t="s">
        <v>15</v>
      </c>
      <c r="G4151" t="s">
        <v>16</v>
      </c>
      <c r="H4151" t="s">
        <v>17</v>
      </c>
      <c r="I4151">
        <v>1</v>
      </c>
      <c r="J4151">
        <v>0</v>
      </c>
      <c r="K4151">
        <v>0</v>
      </c>
    </row>
    <row r="4152" spans="1:11" x14ac:dyDescent="0.25">
      <c r="A4152" t="str">
        <f>"5238"</f>
        <v>5238</v>
      </c>
      <c r="B4152" t="str">
        <f t="shared" si="269"/>
        <v>1</v>
      </c>
      <c r="C4152" t="str">
        <f t="shared" si="270"/>
        <v>230</v>
      </c>
      <c r="D4152" t="str">
        <f>"5"</f>
        <v>5</v>
      </c>
      <c r="E4152" t="str">
        <f>"1-230-5"</f>
        <v>1-230-5</v>
      </c>
      <c r="F4152" t="s">
        <v>15</v>
      </c>
      <c r="G4152" t="s">
        <v>16</v>
      </c>
      <c r="H4152" t="s">
        <v>17</v>
      </c>
      <c r="I4152">
        <v>1</v>
      </c>
      <c r="J4152">
        <v>0</v>
      </c>
      <c r="K4152">
        <v>0</v>
      </c>
    </row>
    <row r="4153" spans="1:11" x14ac:dyDescent="0.25">
      <c r="A4153" t="str">
        <f>"5239"</f>
        <v>5239</v>
      </c>
      <c r="B4153" t="str">
        <f t="shared" si="269"/>
        <v>1</v>
      </c>
      <c r="C4153" t="str">
        <f t="shared" ref="C4153:C4163" si="271">"231"</f>
        <v>231</v>
      </c>
      <c r="D4153" t="str">
        <f>"3"</f>
        <v>3</v>
      </c>
      <c r="E4153" t="str">
        <f>"1-231-3"</f>
        <v>1-231-3</v>
      </c>
      <c r="F4153" t="s">
        <v>15</v>
      </c>
      <c r="G4153" t="s">
        <v>16</v>
      </c>
      <c r="H4153" t="s">
        <v>17</v>
      </c>
      <c r="I4153">
        <v>1</v>
      </c>
      <c r="J4153">
        <v>0</v>
      </c>
      <c r="K4153">
        <v>0</v>
      </c>
    </row>
    <row r="4154" spans="1:11" x14ac:dyDescent="0.25">
      <c r="A4154" t="str">
        <f>"5240"</f>
        <v>5240</v>
      </c>
      <c r="B4154" t="str">
        <f t="shared" si="269"/>
        <v>1</v>
      </c>
      <c r="C4154" t="str">
        <f t="shared" si="271"/>
        <v>231</v>
      </c>
      <c r="D4154" t="str">
        <f>"6"</f>
        <v>6</v>
      </c>
      <c r="E4154" t="str">
        <f>"1-231-6"</f>
        <v>1-231-6</v>
      </c>
      <c r="F4154" t="s">
        <v>15</v>
      </c>
      <c r="G4154" t="s">
        <v>16</v>
      </c>
      <c r="H4154" t="s">
        <v>17</v>
      </c>
      <c r="I4154">
        <v>0</v>
      </c>
      <c r="J4154">
        <v>0</v>
      </c>
      <c r="K4154">
        <v>1</v>
      </c>
    </row>
    <row r="4155" spans="1:11" x14ac:dyDescent="0.25">
      <c r="A4155" t="str">
        <f>"5241"</f>
        <v>5241</v>
      </c>
      <c r="B4155" t="str">
        <f t="shared" si="269"/>
        <v>1</v>
      </c>
      <c r="C4155" t="str">
        <f t="shared" si="271"/>
        <v>231</v>
      </c>
      <c r="D4155" t="str">
        <f>"11"</f>
        <v>11</v>
      </c>
      <c r="E4155" t="str">
        <f>"1-231-11"</f>
        <v>1-231-11</v>
      </c>
      <c r="F4155" t="s">
        <v>15</v>
      </c>
      <c r="G4155" t="s">
        <v>16</v>
      </c>
      <c r="H4155" t="s">
        <v>17</v>
      </c>
      <c r="I4155">
        <v>0</v>
      </c>
      <c r="J4155">
        <v>0</v>
      </c>
      <c r="K4155">
        <v>1</v>
      </c>
    </row>
    <row r="4156" spans="1:11" x14ac:dyDescent="0.25">
      <c r="A4156" t="str">
        <f>"5242"</f>
        <v>5242</v>
      </c>
      <c r="B4156" t="str">
        <f t="shared" si="269"/>
        <v>1</v>
      </c>
      <c r="C4156" t="str">
        <f t="shared" si="271"/>
        <v>231</v>
      </c>
      <c r="D4156" t="str">
        <f>"1"</f>
        <v>1</v>
      </c>
      <c r="E4156" t="str">
        <f>"1-231-1"</f>
        <v>1-231-1</v>
      </c>
      <c r="F4156" t="s">
        <v>15</v>
      </c>
      <c r="G4156" t="s">
        <v>16</v>
      </c>
      <c r="H4156" t="s">
        <v>17</v>
      </c>
      <c r="I4156">
        <v>0</v>
      </c>
      <c r="J4156">
        <v>1</v>
      </c>
      <c r="K4156">
        <v>0</v>
      </c>
    </row>
    <row r="4157" spans="1:11" x14ac:dyDescent="0.25">
      <c r="A4157" t="str">
        <f>"5243"</f>
        <v>5243</v>
      </c>
      <c r="B4157" t="str">
        <f t="shared" si="269"/>
        <v>1</v>
      </c>
      <c r="C4157" t="str">
        <f t="shared" si="271"/>
        <v>231</v>
      </c>
      <c r="D4157" t="str">
        <f>"10"</f>
        <v>10</v>
      </c>
      <c r="E4157" t="str">
        <f>"1-231-10"</f>
        <v>1-231-10</v>
      </c>
      <c r="F4157" t="s">
        <v>15</v>
      </c>
      <c r="G4157" t="s">
        <v>16</v>
      </c>
      <c r="H4157" t="s">
        <v>17</v>
      </c>
      <c r="I4157">
        <v>0</v>
      </c>
      <c r="J4157">
        <v>0</v>
      </c>
      <c r="K4157">
        <v>1</v>
      </c>
    </row>
    <row r="4158" spans="1:11" x14ac:dyDescent="0.25">
      <c r="A4158" t="str">
        <f>"5244"</f>
        <v>5244</v>
      </c>
      <c r="B4158" t="str">
        <f t="shared" si="269"/>
        <v>1</v>
      </c>
      <c r="C4158" t="str">
        <f t="shared" si="271"/>
        <v>231</v>
      </c>
      <c r="D4158" t="str">
        <f>"8"</f>
        <v>8</v>
      </c>
      <c r="E4158" t="str">
        <f>"1-231-8"</f>
        <v>1-231-8</v>
      </c>
      <c r="F4158" t="s">
        <v>15</v>
      </c>
      <c r="G4158" t="s">
        <v>16</v>
      </c>
      <c r="H4158" t="s">
        <v>17</v>
      </c>
      <c r="I4158">
        <v>0</v>
      </c>
      <c r="J4158">
        <v>1</v>
      </c>
      <c r="K4158">
        <v>0</v>
      </c>
    </row>
    <row r="4159" spans="1:11" x14ac:dyDescent="0.25">
      <c r="A4159" t="str">
        <f>"5245"</f>
        <v>5245</v>
      </c>
      <c r="B4159" t="str">
        <f t="shared" si="269"/>
        <v>1</v>
      </c>
      <c r="C4159" t="str">
        <f t="shared" si="271"/>
        <v>231</v>
      </c>
      <c r="D4159" t="str">
        <f>"5"</f>
        <v>5</v>
      </c>
      <c r="E4159" t="str">
        <f>"1-231-5"</f>
        <v>1-231-5</v>
      </c>
      <c r="F4159" t="s">
        <v>15</v>
      </c>
      <c r="G4159" t="s">
        <v>16</v>
      </c>
      <c r="H4159" t="s">
        <v>17</v>
      </c>
      <c r="I4159">
        <v>0</v>
      </c>
      <c r="J4159">
        <v>0</v>
      </c>
      <c r="K4159">
        <v>1</v>
      </c>
    </row>
    <row r="4160" spans="1:11" x14ac:dyDescent="0.25">
      <c r="A4160" t="str">
        <f>"5246"</f>
        <v>5246</v>
      </c>
      <c r="B4160" t="str">
        <f t="shared" si="269"/>
        <v>1</v>
      </c>
      <c r="C4160" t="str">
        <f t="shared" si="271"/>
        <v>231</v>
      </c>
      <c r="D4160" t="str">
        <f>"2"</f>
        <v>2</v>
      </c>
      <c r="E4160" t="str">
        <f>"1-231-2"</f>
        <v>1-231-2</v>
      </c>
      <c r="F4160" t="s">
        <v>15</v>
      </c>
      <c r="G4160" t="s">
        <v>16</v>
      </c>
      <c r="H4160" t="s">
        <v>17</v>
      </c>
      <c r="I4160">
        <v>1</v>
      </c>
      <c r="J4160">
        <v>0</v>
      </c>
      <c r="K4160">
        <v>0</v>
      </c>
    </row>
    <row r="4161" spans="1:11" x14ac:dyDescent="0.25">
      <c r="A4161" t="str">
        <f>"5247"</f>
        <v>5247</v>
      </c>
      <c r="B4161" t="str">
        <f t="shared" si="269"/>
        <v>1</v>
      </c>
      <c r="C4161" t="str">
        <f t="shared" si="271"/>
        <v>231</v>
      </c>
      <c r="D4161" t="str">
        <f>"7"</f>
        <v>7</v>
      </c>
      <c r="E4161" t="str">
        <f>"1-231-7"</f>
        <v>1-231-7</v>
      </c>
      <c r="F4161" t="s">
        <v>15</v>
      </c>
      <c r="G4161" t="s">
        <v>16</v>
      </c>
      <c r="H4161" t="s">
        <v>17</v>
      </c>
      <c r="I4161">
        <v>0</v>
      </c>
      <c r="J4161">
        <v>0</v>
      </c>
      <c r="K4161">
        <v>1</v>
      </c>
    </row>
    <row r="4162" spans="1:11" x14ac:dyDescent="0.25">
      <c r="A4162" t="str">
        <f>"5248"</f>
        <v>5248</v>
      </c>
      <c r="B4162" t="str">
        <f t="shared" si="269"/>
        <v>1</v>
      </c>
      <c r="C4162" t="str">
        <f t="shared" si="271"/>
        <v>231</v>
      </c>
      <c r="D4162" t="str">
        <f>"9"</f>
        <v>9</v>
      </c>
      <c r="E4162" t="str">
        <f>"1-231-9"</f>
        <v>1-231-9</v>
      </c>
      <c r="F4162" t="s">
        <v>15</v>
      </c>
      <c r="G4162" t="s">
        <v>16</v>
      </c>
      <c r="H4162" t="s">
        <v>17</v>
      </c>
      <c r="I4162">
        <v>0</v>
      </c>
      <c r="J4162">
        <v>1</v>
      </c>
      <c r="K4162">
        <v>0</v>
      </c>
    </row>
    <row r="4163" spans="1:11" x14ac:dyDescent="0.25">
      <c r="A4163" t="str">
        <f>"5249"</f>
        <v>5249</v>
      </c>
      <c r="B4163" t="str">
        <f t="shared" si="269"/>
        <v>1</v>
      </c>
      <c r="C4163" t="str">
        <f t="shared" si="271"/>
        <v>231</v>
      </c>
      <c r="D4163" t="str">
        <f>"4"</f>
        <v>4</v>
      </c>
      <c r="E4163" t="str">
        <f>"1-231-4"</f>
        <v>1-231-4</v>
      </c>
      <c r="F4163" t="s">
        <v>15</v>
      </c>
      <c r="G4163" t="s">
        <v>16</v>
      </c>
      <c r="H4163" t="s">
        <v>17</v>
      </c>
      <c r="I4163">
        <v>0</v>
      </c>
      <c r="J4163">
        <v>0</v>
      </c>
      <c r="K4163">
        <v>0</v>
      </c>
    </row>
    <row r="4164" spans="1:11" x14ac:dyDescent="0.25">
      <c r="A4164" t="str">
        <f>"5250"</f>
        <v>5250</v>
      </c>
      <c r="B4164" t="str">
        <f t="shared" si="269"/>
        <v>1</v>
      </c>
      <c r="C4164" t="str">
        <f t="shared" ref="C4164:C4188" si="272">"232"</f>
        <v>232</v>
      </c>
      <c r="D4164" t="str">
        <f>"24"</f>
        <v>24</v>
      </c>
      <c r="E4164" t="str">
        <f>"1-232-24"</f>
        <v>1-232-24</v>
      </c>
      <c r="F4164" t="s">
        <v>15</v>
      </c>
      <c r="G4164" t="s">
        <v>16</v>
      </c>
      <c r="H4164" t="s">
        <v>17</v>
      </c>
      <c r="I4164">
        <v>1</v>
      </c>
      <c r="J4164">
        <v>0</v>
      </c>
      <c r="K4164">
        <v>0</v>
      </c>
    </row>
    <row r="4165" spans="1:11" x14ac:dyDescent="0.25">
      <c r="A4165" t="str">
        <f>"5251"</f>
        <v>5251</v>
      </c>
      <c r="B4165" t="str">
        <f t="shared" si="269"/>
        <v>1</v>
      </c>
      <c r="C4165" t="str">
        <f t="shared" si="272"/>
        <v>232</v>
      </c>
      <c r="D4165" t="str">
        <f>"15"</f>
        <v>15</v>
      </c>
      <c r="E4165" t="str">
        <f>"1-232-15"</f>
        <v>1-232-15</v>
      </c>
      <c r="F4165" t="s">
        <v>15</v>
      </c>
      <c r="G4165" t="s">
        <v>16</v>
      </c>
      <c r="H4165" t="s">
        <v>17</v>
      </c>
      <c r="I4165">
        <v>1</v>
      </c>
      <c r="J4165">
        <v>0</v>
      </c>
      <c r="K4165">
        <v>0</v>
      </c>
    </row>
    <row r="4166" spans="1:11" x14ac:dyDescent="0.25">
      <c r="A4166" t="str">
        <f>"5252"</f>
        <v>5252</v>
      </c>
      <c r="B4166" t="str">
        <f t="shared" si="269"/>
        <v>1</v>
      </c>
      <c r="C4166" t="str">
        <f t="shared" si="272"/>
        <v>232</v>
      </c>
      <c r="D4166" t="str">
        <f>"4"</f>
        <v>4</v>
      </c>
      <c r="E4166" t="str">
        <f>"1-232-4"</f>
        <v>1-232-4</v>
      </c>
      <c r="F4166" t="s">
        <v>15</v>
      </c>
      <c r="G4166" t="s">
        <v>16</v>
      </c>
      <c r="H4166" t="s">
        <v>17</v>
      </c>
      <c r="I4166">
        <v>0</v>
      </c>
      <c r="J4166">
        <v>1</v>
      </c>
      <c r="K4166">
        <v>0</v>
      </c>
    </row>
    <row r="4167" spans="1:11" x14ac:dyDescent="0.25">
      <c r="A4167" t="str">
        <f>"5253"</f>
        <v>5253</v>
      </c>
      <c r="B4167" t="str">
        <f t="shared" si="269"/>
        <v>1</v>
      </c>
      <c r="C4167" t="str">
        <f t="shared" si="272"/>
        <v>232</v>
      </c>
      <c r="D4167" t="str">
        <f>"17"</f>
        <v>17</v>
      </c>
      <c r="E4167" t="str">
        <f>"1-232-17"</f>
        <v>1-232-17</v>
      </c>
      <c r="F4167" t="s">
        <v>15</v>
      </c>
      <c r="G4167" t="s">
        <v>16</v>
      </c>
      <c r="H4167" t="s">
        <v>17</v>
      </c>
      <c r="I4167">
        <v>1</v>
      </c>
      <c r="J4167">
        <v>0</v>
      </c>
      <c r="K4167">
        <v>0</v>
      </c>
    </row>
    <row r="4168" spans="1:11" x14ac:dyDescent="0.25">
      <c r="A4168" t="str">
        <f>"5254"</f>
        <v>5254</v>
      </c>
      <c r="B4168" t="str">
        <f t="shared" si="269"/>
        <v>1</v>
      </c>
      <c r="C4168" t="str">
        <f t="shared" si="272"/>
        <v>232</v>
      </c>
      <c r="D4168" t="str">
        <f>"18"</f>
        <v>18</v>
      </c>
      <c r="E4168" t="str">
        <f>"1-232-18"</f>
        <v>1-232-18</v>
      </c>
      <c r="F4168" t="s">
        <v>15</v>
      </c>
      <c r="G4168" t="s">
        <v>16</v>
      </c>
      <c r="H4168" t="s">
        <v>17</v>
      </c>
      <c r="I4168">
        <v>1</v>
      </c>
      <c r="J4168">
        <v>0</v>
      </c>
      <c r="K4168">
        <v>0</v>
      </c>
    </row>
    <row r="4169" spans="1:11" x14ac:dyDescent="0.25">
      <c r="A4169" t="str">
        <f>"5255"</f>
        <v>5255</v>
      </c>
      <c r="B4169" t="str">
        <f t="shared" si="269"/>
        <v>1</v>
      </c>
      <c r="C4169" t="str">
        <f t="shared" si="272"/>
        <v>232</v>
      </c>
      <c r="D4169" t="str">
        <f>"10"</f>
        <v>10</v>
      </c>
      <c r="E4169" t="str">
        <f>"1-232-10"</f>
        <v>1-232-10</v>
      </c>
      <c r="F4169" t="s">
        <v>15</v>
      </c>
      <c r="G4169" t="s">
        <v>16</v>
      </c>
      <c r="H4169" t="s">
        <v>17</v>
      </c>
      <c r="I4169">
        <v>0</v>
      </c>
      <c r="J4169">
        <v>1</v>
      </c>
      <c r="K4169">
        <v>0</v>
      </c>
    </row>
    <row r="4170" spans="1:11" x14ac:dyDescent="0.25">
      <c r="A4170" t="str">
        <f>"5256"</f>
        <v>5256</v>
      </c>
      <c r="B4170" t="str">
        <f t="shared" si="269"/>
        <v>1</v>
      </c>
      <c r="C4170" t="str">
        <f t="shared" si="272"/>
        <v>232</v>
      </c>
      <c r="D4170" t="str">
        <f>"19"</f>
        <v>19</v>
      </c>
      <c r="E4170" t="str">
        <f>"1-232-19"</f>
        <v>1-232-19</v>
      </c>
      <c r="F4170" t="s">
        <v>15</v>
      </c>
      <c r="G4170" t="s">
        <v>16</v>
      </c>
      <c r="H4170" t="s">
        <v>17</v>
      </c>
      <c r="I4170">
        <v>1</v>
      </c>
      <c r="J4170">
        <v>0</v>
      </c>
      <c r="K4170">
        <v>0</v>
      </c>
    </row>
    <row r="4171" spans="1:11" x14ac:dyDescent="0.25">
      <c r="A4171" t="str">
        <f>"5257"</f>
        <v>5257</v>
      </c>
      <c r="B4171" t="str">
        <f t="shared" si="269"/>
        <v>1</v>
      </c>
      <c r="C4171" t="str">
        <f t="shared" si="272"/>
        <v>232</v>
      </c>
      <c r="D4171" t="str">
        <f>"5"</f>
        <v>5</v>
      </c>
      <c r="E4171" t="str">
        <f>"1-232-5"</f>
        <v>1-232-5</v>
      </c>
      <c r="F4171" t="s">
        <v>15</v>
      </c>
      <c r="G4171" t="s">
        <v>16</v>
      </c>
      <c r="H4171" t="s">
        <v>17</v>
      </c>
      <c r="I4171">
        <v>0</v>
      </c>
      <c r="J4171">
        <v>1</v>
      </c>
      <c r="K4171">
        <v>0</v>
      </c>
    </row>
    <row r="4172" spans="1:11" x14ac:dyDescent="0.25">
      <c r="A4172" t="str">
        <f>"5258"</f>
        <v>5258</v>
      </c>
      <c r="B4172" t="str">
        <f t="shared" si="269"/>
        <v>1</v>
      </c>
      <c r="C4172" t="str">
        <f t="shared" si="272"/>
        <v>232</v>
      </c>
      <c r="D4172" t="str">
        <f>"20"</f>
        <v>20</v>
      </c>
      <c r="E4172" t="str">
        <f>"1-232-20"</f>
        <v>1-232-20</v>
      </c>
      <c r="F4172" t="s">
        <v>15</v>
      </c>
      <c r="G4172" t="s">
        <v>16</v>
      </c>
      <c r="H4172" t="s">
        <v>17</v>
      </c>
      <c r="I4172">
        <v>1</v>
      </c>
      <c r="J4172">
        <v>0</v>
      </c>
      <c r="K4172">
        <v>0</v>
      </c>
    </row>
    <row r="4173" spans="1:11" x14ac:dyDescent="0.25">
      <c r="A4173" t="str">
        <f>"5259"</f>
        <v>5259</v>
      </c>
      <c r="B4173" t="str">
        <f t="shared" si="269"/>
        <v>1</v>
      </c>
      <c r="C4173" t="str">
        <f t="shared" si="272"/>
        <v>232</v>
      </c>
      <c r="D4173" t="str">
        <f>"12"</f>
        <v>12</v>
      </c>
      <c r="E4173" t="str">
        <f>"1-232-12"</f>
        <v>1-232-12</v>
      </c>
      <c r="F4173" t="s">
        <v>15</v>
      </c>
      <c r="G4173" t="s">
        <v>16</v>
      </c>
      <c r="H4173" t="s">
        <v>17</v>
      </c>
      <c r="I4173">
        <v>0</v>
      </c>
      <c r="J4173">
        <v>0</v>
      </c>
      <c r="K4173">
        <v>1</v>
      </c>
    </row>
    <row r="4174" spans="1:11" x14ac:dyDescent="0.25">
      <c r="A4174" t="str">
        <f>"5260"</f>
        <v>5260</v>
      </c>
      <c r="B4174" t="str">
        <f t="shared" si="269"/>
        <v>1</v>
      </c>
      <c r="C4174" t="str">
        <f t="shared" si="272"/>
        <v>232</v>
      </c>
      <c r="D4174" t="str">
        <f>"21"</f>
        <v>21</v>
      </c>
      <c r="E4174" t="str">
        <f>"1-232-21"</f>
        <v>1-232-21</v>
      </c>
      <c r="F4174" t="s">
        <v>15</v>
      </c>
      <c r="G4174" t="s">
        <v>16</v>
      </c>
      <c r="H4174" t="s">
        <v>17</v>
      </c>
      <c r="I4174">
        <v>1</v>
      </c>
      <c r="J4174">
        <v>0</v>
      </c>
      <c r="K4174">
        <v>0</v>
      </c>
    </row>
    <row r="4175" spans="1:11" x14ac:dyDescent="0.25">
      <c r="A4175" t="str">
        <f>"5261"</f>
        <v>5261</v>
      </c>
      <c r="B4175" t="str">
        <f t="shared" si="269"/>
        <v>1</v>
      </c>
      <c r="C4175" t="str">
        <f t="shared" si="272"/>
        <v>232</v>
      </c>
      <c r="D4175" t="str">
        <f>"6"</f>
        <v>6</v>
      </c>
      <c r="E4175" t="str">
        <f>"1-232-6"</f>
        <v>1-232-6</v>
      </c>
      <c r="F4175" t="s">
        <v>15</v>
      </c>
      <c r="G4175" t="s">
        <v>16</v>
      </c>
      <c r="H4175" t="s">
        <v>17</v>
      </c>
      <c r="I4175">
        <v>1</v>
      </c>
      <c r="J4175">
        <v>0</v>
      </c>
      <c r="K4175">
        <v>0</v>
      </c>
    </row>
    <row r="4176" spans="1:11" x14ac:dyDescent="0.25">
      <c r="A4176" t="str">
        <f>"5262"</f>
        <v>5262</v>
      </c>
      <c r="B4176" t="str">
        <f t="shared" si="269"/>
        <v>1</v>
      </c>
      <c r="C4176" t="str">
        <f t="shared" si="272"/>
        <v>232</v>
      </c>
      <c r="D4176" t="str">
        <f>"9"</f>
        <v>9</v>
      </c>
      <c r="E4176" t="str">
        <f>"1-232-9"</f>
        <v>1-232-9</v>
      </c>
      <c r="F4176" t="s">
        <v>15</v>
      </c>
      <c r="G4176" t="s">
        <v>16</v>
      </c>
      <c r="H4176" t="s">
        <v>17</v>
      </c>
      <c r="I4176">
        <v>0</v>
      </c>
      <c r="J4176">
        <v>1</v>
      </c>
      <c r="K4176">
        <v>0</v>
      </c>
    </row>
    <row r="4177" spans="1:11" x14ac:dyDescent="0.25">
      <c r="A4177" t="str">
        <f>"5263"</f>
        <v>5263</v>
      </c>
      <c r="B4177" t="str">
        <f t="shared" si="269"/>
        <v>1</v>
      </c>
      <c r="C4177" t="str">
        <f t="shared" si="272"/>
        <v>232</v>
      </c>
      <c r="D4177" t="str">
        <f>"23"</f>
        <v>23</v>
      </c>
      <c r="E4177" t="str">
        <f>"1-232-23"</f>
        <v>1-232-23</v>
      </c>
      <c r="F4177" t="s">
        <v>15</v>
      </c>
      <c r="G4177" t="s">
        <v>16</v>
      </c>
      <c r="H4177" t="s">
        <v>17</v>
      </c>
      <c r="I4177">
        <v>1</v>
      </c>
      <c r="J4177">
        <v>0</v>
      </c>
      <c r="K4177">
        <v>0</v>
      </c>
    </row>
    <row r="4178" spans="1:11" x14ac:dyDescent="0.25">
      <c r="A4178" t="str">
        <f>"5264"</f>
        <v>5264</v>
      </c>
      <c r="B4178" t="str">
        <f t="shared" si="269"/>
        <v>1</v>
      </c>
      <c r="C4178" t="str">
        <f t="shared" si="272"/>
        <v>232</v>
      </c>
      <c r="D4178" t="str">
        <f>"13"</f>
        <v>13</v>
      </c>
      <c r="E4178" t="str">
        <f>"1-232-13"</f>
        <v>1-232-13</v>
      </c>
      <c r="F4178" t="s">
        <v>15</v>
      </c>
      <c r="G4178" t="s">
        <v>16</v>
      </c>
      <c r="H4178" t="s">
        <v>17</v>
      </c>
      <c r="I4178">
        <v>1</v>
      </c>
      <c r="J4178">
        <v>0</v>
      </c>
      <c r="K4178">
        <v>0</v>
      </c>
    </row>
    <row r="4179" spans="1:11" x14ac:dyDescent="0.25">
      <c r="A4179" t="str">
        <f>"5265"</f>
        <v>5265</v>
      </c>
      <c r="B4179" t="str">
        <f t="shared" si="269"/>
        <v>1</v>
      </c>
      <c r="C4179" t="str">
        <f t="shared" si="272"/>
        <v>232</v>
      </c>
      <c r="D4179" t="str">
        <f>"25"</f>
        <v>25</v>
      </c>
      <c r="E4179" t="str">
        <f>"1-232-25"</f>
        <v>1-232-25</v>
      </c>
      <c r="F4179" t="s">
        <v>15</v>
      </c>
      <c r="G4179" t="s">
        <v>16</v>
      </c>
      <c r="H4179" t="s">
        <v>17</v>
      </c>
      <c r="I4179">
        <v>1</v>
      </c>
      <c r="J4179">
        <v>0</v>
      </c>
      <c r="K4179">
        <v>0</v>
      </c>
    </row>
    <row r="4180" spans="1:11" x14ac:dyDescent="0.25">
      <c r="A4180" t="str">
        <f>"5266"</f>
        <v>5266</v>
      </c>
      <c r="B4180" t="str">
        <f t="shared" si="269"/>
        <v>1</v>
      </c>
      <c r="C4180" t="str">
        <f t="shared" si="272"/>
        <v>232</v>
      </c>
      <c r="D4180" t="str">
        <f>"7"</f>
        <v>7</v>
      </c>
      <c r="E4180" t="str">
        <f>"1-232-7"</f>
        <v>1-232-7</v>
      </c>
      <c r="F4180" t="s">
        <v>15</v>
      </c>
      <c r="G4180" t="s">
        <v>18</v>
      </c>
      <c r="H4180" t="s">
        <v>19</v>
      </c>
      <c r="I4180">
        <v>1</v>
      </c>
      <c r="J4180">
        <v>0</v>
      </c>
      <c r="K4180">
        <v>0</v>
      </c>
    </row>
    <row r="4181" spans="1:11" x14ac:dyDescent="0.25">
      <c r="A4181" t="str">
        <f>"5267"</f>
        <v>5267</v>
      </c>
      <c r="B4181" t="str">
        <f t="shared" si="269"/>
        <v>1</v>
      </c>
      <c r="C4181" t="str">
        <f t="shared" si="272"/>
        <v>232</v>
      </c>
      <c r="D4181" t="str">
        <f>"14"</f>
        <v>14</v>
      </c>
      <c r="E4181" t="str">
        <f>"1-232-14"</f>
        <v>1-232-14</v>
      </c>
      <c r="F4181" t="s">
        <v>15</v>
      </c>
      <c r="G4181" t="s">
        <v>16</v>
      </c>
      <c r="H4181" t="s">
        <v>17</v>
      </c>
      <c r="I4181">
        <v>1</v>
      </c>
      <c r="J4181">
        <v>0</v>
      </c>
      <c r="K4181">
        <v>0</v>
      </c>
    </row>
    <row r="4182" spans="1:11" x14ac:dyDescent="0.25">
      <c r="A4182" t="str">
        <f>"5268"</f>
        <v>5268</v>
      </c>
      <c r="B4182" t="str">
        <f t="shared" si="269"/>
        <v>1</v>
      </c>
      <c r="C4182" t="str">
        <f t="shared" si="272"/>
        <v>232</v>
      </c>
      <c r="D4182" t="str">
        <f>"8"</f>
        <v>8</v>
      </c>
      <c r="E4182" t="str">
        <f>"1-232-8"</f>
        <v>1-232-8</v>
      </c>
      <c r="F4182" t="s">
        <v>15</v>
      </c>
      <c r="G4182" t="s">
        <v>16</v>
      </c>
      <c r="H4182" t="s">
        <v>17</v>
      </c>
      <c r="I4182">
        <v>0</v>
      </c>
      <c r="J4182">
        <v>0</v>
      </c>
      <c r="K4182">
        <v>1</v>
      </c>
    </row>
    <row r="4183" spans="1:11" x14ac:dyDescent="0.25">
      <c r="A4183" t="str">
        <f>"5269"</f>
        <v>5269</v>
      </c>
      <c r="B4183" t="str">
        <f t="shared" si="269"/>
        <v>1</v>
      </c>
      <c r="C4183" t="str">
        <f t="shared" si="272"/>
        <v>232</v>
      </c>
      <c r="D4183" t="str">
        <f>"11"</f>
        <v>11</v>
      </c>
      <c r="E4183" t="str">
        <f>"1-232-11"</f>
        <v>1-232-11</v>
      </c>
      <c r="F4183" t="s">
        <v>15</v>
      </c>
      <c r="G4183" t="s">
        <v>18</v>
      </c>
      <c r="H4183" t="s">
        <v>19</v>
      </c>
      <c r="I4183">
        <v>1</v>
      </c>
      <c r="J4183">
        <v>0</v>
      </c>
      <c r="K4183">
        <v>0</v>
      </c>
    </row>
    <row r="4184" spans="1:11" x14ac:dyDescent="0.25">
      <c r="A4184" t="str">
        <f>"5270"</f>
        <v>5270</v>
      </c>
      <c r="B4184" t="str">
        <f t="shared" si="269"/>
        <v>1</v>
      </c>
      <c r="C4184" t="str">
        <f t="shared" si="272"/>
        <v>232</v>
      </c>
      <c r="D4184" t="str">
        <f>"16"</f>
        <v>16</v>
      </c>
      <c r="E4184" t="str">
        <f>"1-232-16"</f>
        <v>1-232-16</v>
      </c>
      <c r="F4184" t="s">
        <v>15</v>
      </c>
      <c r="G4184" t="s">
        <v>16</v>
      </c>
      <c r="H4184" t="s">
        <v>17</v>
      </c>
      <c r="I4184">
        <v>1</v>
      </c>
      <c r="J4184">
        <v>0</v>
      </c>
      <c r="K4184">
        <v>0</v>
      </c>
    </row>
    <row r="4185" spans="1:11" x14ac:dyDescent="0.25">
      <c r="A4185" t="str">
        <f>"5271"</f>
        <v>5271</v>
      </c>
      <c r="B4185" t="str">
        <f t="shared" si="269"/>
        <v>1</v>
      </c>
      <c r="C4185" t="str">
        <f t="shared" si="272"/>
        <v>232</v>
      </c>
      <c r="D4185" t="str">
        <f>"22"</f>
        <v>22</v>
      </c>
      <c r="E4185" t="str">
        <f>"1-232-22"</f>
        <v>1-232-22</v>
      </c>
      <c r="F4185" t="s">
        <v>15</v>
      </c>
      <c r="G4185" t="s">
        <v>16</v>
      </c>
      <c r="H4185" t="s">
        <v>17</v>
      </c>
      <c r="I4185">
        <v>0</v>
      </c>
      <c r="J4185">
        <v>0</v>
      </c>
      <c r="K4185">
        <v>0</v>
      </c>
    </row>
    <row r="4186" spans="1:11" x14ac:dyDescent="0.25">
      <c r="A4186" t="str">
        <f>"5272"</f>
        <v>5272</v>
      </c>
      <c r="B4186" t="str">
        <f t="shared" si="269"/>
        <v>1</v>
      </c>
      <c r="C4186" t="str">
        <f t="shared" si="272"/>
        <v>232</v>
      </c>
      <c r="D4186" t="str">
        <f>"3"</f>
        <v>3</v>
      </c>
      <c r="E4186" t="str">
        <f>"1-232-3"</f>
        <v>1-232-3</v>
      </c>
      <c r="F4186" t="s">
        <v>15</v>
      </c>
      <c r="G4186" t="s">
        <v>20</v>
      </c>
      <c r="H4186" t="s">
        <v>21</v>
      </c>
      <c r="I4186">
        <v>0</v>
      </c>
      <c r="J4186">
        <v>0</v>
      </c>
      <c r="K4186">
        <v>0</v>
      </c>
    </row>
    <row r="4187" spans="1:11" x14ac:dyDescent="0.25">
      <c r="A4187" t="str">
        <f>"5273"</f>
        <v>5273</v>
      </c>
      <c r="B4187" t="str">
        <f t="shared" si="269"/>
        <v>1</v>
      </c>
      <c r="C4187" t="str">
        <f t="shared" si="272"/>
        <v>232</v>
      </c>
      <c r="D4187" t="str">
        <f>"1"</f>
        <v>1</v>
      </c>
      <c r="E4187" t="str">
        <f>"1-232-1"</f>
        <v>1-232-1</v>
      </c>
      <c r="F4187" t="s">
        <v>15</v>
      </c>
      <c r="G4187" t="s">
        <v>16</v>
      </c>
      <c r="H4187" t="s">
        <v>17</v>
      </c>
      <c r="I4187">
        <v>0</v>
      </c>
      <c r="J4187">
        <v>0</v>
      </c>
      <c r="K4187">
        <v>0</v>
      </c>
    </row>
    <row r="4188" spans="1:11" x14ac:dyDescent="0.25">
      <c r="A4188" t="str">
        <f>"5274"</f>
        <v>5274</v>
      </c>
      <c r="B4188" t="str">
        <f t="shared" ref="B4188:B4238" si="273">"1"</f>
        <v>1</v>
      </c>
      <c r="C4188" t="str">
        <f t="shared" si="272"/>
        <v>232</v>
      </c>
      <c r="D4188" t="str">
        <f>"2"</f>
        <v>2</v>
      </c>
      <c r="E4188" t="str">
        <f>"1-232-2"</f>
        <v>1-232-2</v>
      </c>
      <c r="F4188" t="s">
        <v>15</v>
      </c>
      <c r="G4188" t="s">
        <v>20</v>
      </c>
      <c r="H4188" t="s">
        <v>21</v>
      </c>
      <c r="I4188">
        <v>0</v>
      </c>
      <c r="J4188">
        <v>0</v>
      </c>
      <c r="K4188">
        <v>0</v>
      </c>
    </row>
    <row r="4189" spans="1:11" x14ac:dyDescent="0.25">
      <c r="A4189" t="str">
        <f>"5275"</f>
        <v>5275</v>
      </c>
      <c r="B4189" t="str">
        <f t="shared" si="273"/>
        <v>1</v>
      </c>
      <c r="C4189" t="str">
        <f t="shared" ref="C4189:C4209" si="274">"233"</f>
        <v>233</v>
      </c>
      <c r="D4189" t="str">
        <f>"15"</f>
        <v>15</v>
      </c>
      <c r="E4189" t="str">
        <f>"1-233-15"</f>
        <v>1-233-15</v>
      </c>
      <c r="F4189" t="s">
        <v>15</v>
      </c>
      <c r="G4189" t="s">
        <v>18</v>
      </c>
      <c r="H4189" t="s">
        <v>19</v>
      </c>
      <c r="I4189">
        <v>0</v>
      </c>
      <c r="J4189">
        <v>0</v>
      </c>
      <c r="K4189">
        <v>1</v>
      </c>
    </row>
    <row r="4190" spans="1:11" x14ac:dyDescent="0.25">
      <c r="A4190" t="str">
        <f>"5277"</f>
        <v>5277</v>
      </c>
      <c r="B4190" t="str">
        <f t="shared" si="273"/>
        <v>1</v>
      </c>
      <c r="C4190" t="str">
        <f t="shared" si="274"/>
        <v>233</v>
      </c>
      <c r="D4190" t="str">
        <f>"23"</f>
        <v>23</v>
      </c>
      <c r="E4190" t="str">
        <f>"1-233-23"</f>
        <v>1-233-23</v>
      </c>
      <c r="F4190" t="s">
        <v>15</v>
      </c>
      <c r="G4190" t="s">
        <v>18</v>
      </c>
      <c r="H4190" t="s">
        <v>19</v>
      </c>
      <c r="I4190">
        <v>0</v>
      </c>
      <c r="J4190">
        <v>1</v>
      </c>
      <c r="K4190">
        <v>0</v>
      </c>
    </row>
    <row r="4191" spans="1:11" x14ac:dyDescent="0.25">
      <c r="A4191" t="str">
        <f>"5279"</f>
        <v>5279</v>
      </c>
      <c r="B4191" t="str">
        <f t="shared" si="273"/>
        <v>1</v>
      </c>
      <c r="C4191" t="str">
        <f t="shared" si="274"/>
        <v>233</v>
      </c>
      <c r="D4191" t="str">
        <f>"6"</f>
        <v>6</v>
      </c>
      <c r="E4191" t="str">
        <f>"1-233-6"</f>
        <v>1-233-6</v>
      </c>
      <c r="F4191" t="s">
        <v>15</v>
      </c>
      <c r="G4191" t="s">
        <v>18</v>
      </c>
      <c r="H4191" t="s">
        <v>19</v>
      </c>
      <c r="I4191">
        <v>0</v>
      </c>
      <c r="J4191">
        <v>0</v>
      </c>
      <c r="K4191">
        <v>1</v>
      </c>
    </row>
    <row r="4192" spans="1:11" x14ac:dyDescent="0.25">
      <c r="A4192" t="str">
        <f>"5280"</f>
        <v>5280</v>
      </c>
      <c r="B4192" t="str">
        <f t="shared" si="273"/>
        <v>1</v>
      </c>
      <c r="C4192" t="str">
        <f t="shared" si="274"/>
        <v>233</v>
      </c>
      <c r="D4192" t="str">
        <f>"17"</f>
        <v>17</v>
      </c>
      <c r="E4192" t="str">
        <f>"1-233-17"</f>
        <v>1-233-17</v>
      </c>
      <c r="F4192" t="s">
        <v>15</v>
      </c>
      <c r="G4192" t="s">
        <v>16</v>
      </c>
      <c r="H4192" t="s">
        <v>17</v>
      </c>
      <c r="I4192">
        <v>0</v>
      </c>
      <c r="J4192">
        <v>1</v>
      </c>
      <c r="K4192">
        <v>0</v>
      </c>
    </row>
    <row r="4193" spans="1:11" x14ac:dyDescent="0.25">
      <c r="A4193" t="str">
        <f>"5281"</f>
        <v>5281</v>
      </c>
      <c r="B4193" t="str">
        <f t="shared" si="273"/>
        <v>1</v>
      </c>
      <c r="C4193" t="str">
        <f t="shared" si="274"/>
        <v>233</v>
      </c>
      <c r="D4193" t="str">
        <f>"14"</f>
        <v>14</v>
      </c>
      <c r="E4193" t="str">
        <f>"1-233-14"</f>
        <v>1-233-14</v>
      </c>
      <c r="F4193" t="s">
        <v>15</v>
      </c>
      <c r="G4193" t="s">
        <v>18</v>
      </c>
      <c r="H4193" t="s">
        <v>19</v>
      </c>
      <c r="I4193">
        <v>0</v>
      </c>
      <c r="J4193">
        <v>0</v>
      </c>
      <c r="K4193">
        <v>1</v>
      </c>
    </row>
    <row r="4194" spans="1:11" x14ac:dyDescent="0.25">
      <c r="A4194" t="str">
        <f>"5282"</f>
        <v>5282</v>
      </c>
      <c r="B4194" t="str">
        <f t="shared" si="273"/>
        <v>1</v>
      </c>
      <c r="C4194" t="str">
        <f t="shared" si="274"/>
        <v>233</v>
      </c>
      <c r="D4194" t="str">
        <f>"18"</f>
        <v>18</v>
      </c>
      <c r="E4194" t="str">
        <f>"1-233-18"</f>
        <v>1-233-18</v>
      </c>
      <c r="F4194" t="s">
        <v>15</v>
      </c>
      <c r="G4194" t="s">
        <v>18</v>
      </c>
      <c r="H4194" t="s">
        <v>19</v>
      </c>
      <c r="I4194">
        <v>1</v>
      </c>
      <c r="J4194">
        <v>0</v>
      </c>
      <c r="K4194">
        <v>0</v>
      </c>
    </row>
    <row r="4195" spans="1:11" x14ac:dyDescent="0.25">
      <c r="A4195" t="str">
        <f>"5283"</f>
        <v>5283</v>
      </c>
      <c r="B4195" t="str">
        <f t="shared" si="273"/>
        <v>1</v>
      </c>
      <c r="C4195" t="str">
        <f t="shared" si="274"/>
        <v>233</v>
      </c>
      <c r="D4195" t="str">
        <f>"19"</f>
        <v>19</v>
      </c>
      <c r="E4195" t="str">
        <f>"1-233-19"</f>
        <v>1-233-19</v>
      </c>
      <c r="F4195" t="s">
        <v>15</v>
      </c>
      <c r="G4195" t="s">
        <v>18</v>
      </c>
      <c r="H4195" t="s">
        <v>19</v>
      </c>
      <c r="I4195">
        <v>0</v>
      </c>
      <c r="J4195">
        <v>0</v>
      </c>
      <c r="K4195">
        <v>1</v>
      </c>
    </row>
    <row r="4196" spans="1:11" x14ac:dyDescent="0.25">
      <c r="A4196" t="str">
        <f>"5284"</f>
        <v>5284</v>
      </c>
      <c r="B4196" t="str">
        <f t="shared" si="273"/>
        <v>1</v>
      </c>
      <c r="C4196" t="str">
        <f t="shared" si="274"/>
        <v>233</v>
      </c>
      <c r="D4196" t="str">
        <f>"3"</f>
        <v>3</v>
      </c>
      <c r="E4196" t="str">
        <f>"1-233-3"</f>
        <v>1-233-3</v>
      </c>
      <c r="F4196" t="s">
        <v>15</v>
      </c>
      <c r="G4196" t="s">
        <v>20</v>
      </c>
      <c r="H4196" t="s">
        <v>21</v>
      </c>
      <c r="I4196">
        <v>0</v>
      </c>
      <c r="J4196">
        <v>0</v>
      </c>
      <c r="K4196">
        <v>1</v>
      </c>
    </row>
    <row r="4197" spans="1:11" x14ac:dyDescent="0.25">
      <c r="A4197" t="str">
        <f>"5285"</f>
        <v>5285</v>
      </c>
      <c r="B4197" t="str">
        <f t="shared" si="273"/>
        <v>1</v>
      </c>
      <c r="C4197" t="str">
        <f t="shared" si="274"/>
        <v>233</v>
      </c>
      <c r="D4197" t="str">
        <f>"20"</f>
        <v>20</v>
      </c>
      <c r="E4197" t="str">
        <f>"1-233-20"</f>
        <v>1-233-20</v>
      </c>
      <c r="F4197" t="s">
        <v>15</v>
      </c>
      <c r="G4197" t="s">
        <v>18</v>
      </c>
      <c r="H4197" t="s">
        <v>19</v>
      </c>
      <c r="I4197">
        <v>1</v>
      </c>
      <c r="J4197">
        <v>0</v>
      </c>
      <c r="K4197">
        <v>0</v>
      </c>
    </row>
    <row r="4198" spans="1:11" x14ac:dyDescent="0.25">
      <c r="A4198" t="str">
        <f>"5286"</f>
        <v>5286</v>
      </c>
      <c r="B4198" t="str">
        <f t="shared" si="273"/>
        <v>1</v>
      </c>
      <c r="C4198" t="str">
        <f t="shared" si="274"/>
        <v>233</v>
      </c>
      <c r="D4198" t="str">
        <f>"4"</f>
        <v>4</v>
      </c>
      <c r="E4198" t="str">
        <f>"1-233-4"</f>
        <v>1-233-4</v>
      </c>
      <c r="F4198" t="s">
        <v>15</v>
      </c>
      <c r="G4198" t="s">
        <v>18</v>
      </c>
      <c r="H4198" t="s">
        <v>19</v>
      </c>
      <c r="I4198">
        <v>0</v>
      </c>
      <c r="J4198">
        <v>1</v>
      </c>
      <c r="K4198">
        <v>0</v>
      </c>
    </row>
    <row r="4199" spans="1:11" x14ac:dyDescent="0.25">
      <c r="A4199" t="str">
        <f>"5287"</f>
        <v>5287</v>
      </c>
      <c r="B4199" t="str">
        <f t="shared" si="273"/>
        <v>1</v>
      </c>
      <c r="C4199" t="str">
        <f t="shared" si="274"/>
        <v>233</v>
      </c>
      <c r="D4199" t="str">
        <f>"21"</f>
        <v>21</v>
      </c>
      <c r="E4199" t="str">
        <f>"1-233-21"</f>
        <v>1-233-21</v>
      </c>
      <c r="F4199" t="s">
        <v>15</v>
      </c>
      <c r="G4199" t="s">
        <v>18</v>
      </c>
      <c r="H4199" t="s">
        <v>19</v>
      </c>
      <c r="I4199">
        <v>0</v>
      </c>
      <c r="J4199">
        <v>0</v>
      </c>
      <c r="K4199">
        <v>1</v>
      </c>
    </row>
    <row r="4200" spans="1:11" x14ac:dyDescent="0.25">
      <c r="A4200" t="str">
        <f>"5288"</f>
        <v>5288</v>
      </c>
      <c r="B4200" t="str">
        <f t="shared" si="273"/>
        <v>1</v>
      </c>
      <c r="C4200" t="str">
        <f t="shared" si="274"/>
        <v>233</v>
      </c>
      <c r="D4200" t="str">
        <f>"8"</f>
        <v>8</v>
      </c>
      <c r="E4200" t="str">
        <f>"1-233-8"</f>
        <v>1-233-8</v>
      </c>
      <c r="F4200" t="s">
        <v>15</v>
      </c>
      <c r="G4200" t="s">
        <v>18</v>
      </c>
      <c r="H4200" t="s">
        <v>19</v>
      </c>
      <c r="I4200">
        <v>0</v>
      </c>
      <c r="J4200">
        <v>1</v>
      </c>
      <c r="K4200">
        <v>0</v>
      </c>
    </row>
    <row r="4201" spans="1:11" x14ac:dyDescent="0.25">
      <c r="A4201" t="str">
        <f>"5289"</f>
        <v>5289</v>
      </c>
      <c r="B4201" t="str">
        <f t="shared" si="273"/>
        <v>1</v>
      </c>
      <c r="C4201" t="str">
        <f t="shared" si="274"/>
        <v>233</v>
      </c>
      <c r="D4201" t="str">
        <f>"22"</f>
        <v>22</v>
      </c>
      <c r="E4201" t="str">
        <f>"1-233-22"</f>
        <v>1-233-22</v>
      </c>
      <c r="F4201" t="s">
        <v>15</v>
      </c>
      <c r="G4201" t="s">
        <v>18</v>
      </c>
      <c r="H4201" t="s">
        <v>19</v>
      </c>
      <c r="I4201">
        <v>0</v>
      </c>
      <c r="J4201">
        <v>1</v>
      </c>
      <c r="K4201">
        <v>0</v>
      </c>
    </row>
    <row r="4202" spans="1:11" x14ac:dyDescent="0.25">
      <c r="A4202" t="str">
        <f>"5290"</f>
        <v>5290</v>
      </c>
      <c r="B4202" t="str">
        <f t="shared" si="273"/>
        <v>1</v>
      </c>
      <c r="C4202" t="str">
        <f t="shared" si="274"/>
        <v>233</v>
      </c>
      <c r="D4202" t="str">
        <f>"5"</f>
        <v>5</v>
      </c>
      <c r="E4202" t="str">
        <f>"1-233-5"</f>
        <v>1-233-5</v>
      </c>
      <c r="F4202" t="s">
        <v>15</v>
      </c>
      <c r="G4202" t="s">
        <v>18</v>
      </c>
      <c r="H4202" t="s">
        <v>19</v>
      </c>
      <c r="I4202">
        <v>0</v>
      </c>
      <c r="J4202">
        <v>0</v>
      </c>
      <c r="K4202">
        <v>1</v>
      </c>
    </row>
    <row r="4203" spans="1:11" x14ac:dyDescent="0.25">
      <c r="A4203" t="str">
        <f>"5291"</f>
        <v>5291</v>
      </c>
      <c r="B4203" t="str">
        <f t="shared" si="273"/>
        <v>1</v>
      </c>
      <c r="C4203" t="str">
        <f t="shared" si="274"/>
        <v>233</v>
      </c>
      <c r="D4203" t="str">
        <f>"10"</f>
        <v>10</v>
      </c>
      <c r="E4203" t="str">
        <f>"1-233-10"</f>
        <v>1-233-10</v>
      </c>
      <c r="F4203" t="s">
        <v>15</v>
      </c>
      <c r="G4203" t="s">
        <v>18</v>
      </c>
      <c r="H4203" t="s">
        <v>19</v>
      </c>
      <c r="I4203">
        <v>0</v>
      </c>
      <c r="J4203">
        <v>0</v>
      </c>
      <c r="K4203">
        <v>1</v>
      </c>
    </row>
    <row r="4204" spans="1:11" x14ac:dyDescent="0.25">
      <c r="A4204" t="str">
        <f>"5292"</f>
        <v>5292</v>
      </c>
      <c r="B4204" t="str">
        <f t="shared" si="273"/>
        <v>1</v>
      </c>
      <c r="C4204" t="str">
        <f t="shared" si="274"/>
        <v>233</v>
      </c>
      <c r="D4204" t="str">
        <f>"9"</f>
        <v>9</v>
      </c>
      <c r="E4204" t="str">
        <f>"1-233-9"</f>
        <v>1-233-9</v>
      </c>
      <c r="F4204" t="s">
        <v>15</v>
      </c>
      <c r="G4204" t="s">
        <v>18</v>
      </c>
      <c r="H4204" t="s">
        <v>19</v>
      </c>
      <c r="I4204">
        <v>0</v>
      </c>
      <c r="J4204">
        <v>0</v>
      </c>
      <c r="K4204">
        <v>1</v>
      </c>
    </row>
    <row r="4205" spans="1:11" x14ac:dyDescent="0.25">
      <c r="A4205" t="str">
        <f>"5293"</f>
        <v>5293</v>
      </c>
      <c r="B4205" t="str">
        <f t="shared" si="273"/>
        <v>1</v>
      </c>
      <c r="C4205" t="str">
        <f t="shared" si="274"/>
        <v>233</v>
      </c>
      <c r="D4205" t="str">
        <f>"1"</f>
        <v>1</v>
      </c>
      <c r="E4205" t="str">
        <f>"1-233-1"</f>
        <v>1-233-1</v>
      </c>
      <c r="F4205" t="s">
        <v>15</v>
      </c>
      <c r="G4205" t="s">
        <v>18</v>
      </c>
      <c r="H4205" t="s">
        <v>19</v>
      </c>
      <c r="I4205">
        <v>0</v>
      </c>
      <c r="J4205">
        <v>1</v>
      </c>
      <c r="K4205">
        <v>0</v>
      </c>
    </row>
    <row r="4206" spans="1:11" x14ac:dyDescent="0.25">
      <c r="A4206" t="str">
        <f>"5294"</f>
        <v>5294</v>
      </c>
      <c r="B4206" t="str">
        <f t="shared" si="273"/>
        <v>1</v>
      </c>
      <c r="C4206" t="str">
        <f t="shared" si="274"/>
        <v>233</v>
      </c>
      <c r="D4206" t="str">
        <f>"13"</f>
        <v>13</v>
      </c>
      <c r="E4206" t="str">
        <f>"1-233-13"</f>
        <v>1-233-13</v>
      </c>
      <c r="F4206" t="s">
        <v>15</v>
      </c>
      <c r="G4206" t="s">
        <v>18</v>
      </c>
      <c r="H4206" t="s">
        <v>19</v>
      </c>
      <c r="I4206">
        <v>0</v>
      </c>
      <c r="J4206">
        <v>0</v>
      </c>
      <c r="K4206">
        <v>1</v>
      </c>
    </row>
    <row r="4207" spans="1:11" x14ac:dyDescent="0.25">
      <c r="A4207" t="str">
        <f>"5295"</f>
        <v>5295</v>
      </c>
      <c r="B4207" t="str">
        <f t="shared" si="273"/>
        <v>1</v>
      </c>
      <c r="C4207" t="str">
        <f t="shared" si="274"/>
        <v>233</v>
      </c>
      <c r="D4207" t="str">
        <f>"12"</f>
        <v>12</v>
      </c>
      <c r="E4207" t="str">
        <f>"1-233-12"</f>
        <v>1-233-12</v>
      </c>
      <c r="F4207" t="s">
        <v>15</v>
      </c>
      <c r="G4207" t="s">
        <v>18</v>
      </c>
      <c r="H4207" t="s">
        <v>19</v>
      </c>
      <c r="I4207">
        <v>1</v>
      </c>
      <c r="J4207">
        <v>0</v>
      </c>
      <c r="K4207">
        <v>0</v>
      </c>
    </row>
    <row r="4208" spans="1:11" x14ac:dyDescent="0.25">
      <c r="A4208" t="str">
        <f>"5296"</f>
        <v>5296</v>
      </c>
      <c r="B4208" t="str">
        <f t="shared" si="273"/>
        <v>1</v>
      </c>
      <c r="C4208" t="str">
        <f t="shared" si="274"/>
        <v>233</v>
      </c>
      <c r="D4208" t="str">
        <f>"11"</f>
        <v>11</v>
      </c>
      <c r="E4208" t="str">
        <f>"1-233-11"</f>
        <v>1-233-11</v>
      </c>
      <c r="F4208" t="s">
        <v>15</v>
      </c>
      <c r="G4208" t="s">
        <v>18</v>
      </c>
      <c r="H4208" t="s">
        <v>19</v>
      </c>
      <c r="I4208">
        <v>0</v>
      </c>
      <c r="J4208">
        <v>1</v>
      </c>
      <c r="K4208">
        <v>0</v>
      </c>
    </row>
    <row r="4209" spans="1:11" x14ac:dyDescent="0.25">
      <c r="A4209" t="str">
        <f>"5297"</f>
        <v>5297</v>
      </c>
      <c r="B4209" t="str">
        <f t="shared" si="273"/>
        <v>1</v>
      </c>
      <c r="C4209" t="str">
        <f t="shared" si="274"/>
        <v>233</v>
      </c>
      <c r="D4209" t="str">
        <f>"7"</f>
        <v>7</v>
      </c>
      <c r="E4209" t="str">
        <f>"1-233-7"</f>
        <v>1-233-7</v>
      </c>
      <c r="F4209" t="s">
        <v>15</v>
      </c>
      <c r="G4209" t="s">
        <v>18</v>
      </c>
      <c r="H4209" t="s">
        <v>19</v>
      </c>
      <c r="I4209">
        <v>0</v>
      </c>
      <c r="J4209">
        <v>0</v>
      </c>
      <c r="K4209">
        <v>0</v>
      </c>
    </row>
    <row r="4210" spans="1:11" x14ac:dyDescent="0.25">
      <c r="A4210" t="str">
        <f>"5298"</f>
        <v>5298</v>
      </c>
      <c r="B4210" t="str">
        <f t="shared" si="273"/>
        <v>1</v>
      </c>
      <c r="C4210" t="str">
        <f t="shared" ref="C4210:C4229" si="275">"234"</f>
        <v>234</v>
      </c>
      <c r="D4210" t="str">
        <f>"24"</f>
        <v>24</v>
      </c>
      <c r="E4210" t="str">
        <f>"1-234-24"</f>
        <v>1-234-24</v>
      </c>
      <c r="F4210" t="s">
        <v>15</v>
      </c>
      <c r="G4210" t="s">
        <v>20</v>
      </c>
      <c r="H4210" t="s">
        <v>21</v>
      </c>
      <c r="I4210">
        <v>0</v>
      </c>
      <c r="J4210">
        <v>1</v>
      </c>
      <c r="K4210">
        <v>0</v>
      </c>
    </row>
    <row r="4211" spans="1:11" x14ac:dyDescent="0.25">
      <c r="A4211" t="str">
        <f>"5299"</f>
        <v>5299</v>
      </c>
      <c r="B4211" t="str">
        <f t="shared" si="273"/>
        <v>1</v>
      </c>
      <c r="C4211" t="str">
        <f t="shared" si="275"/>
        <v>234</v>
      </c>
      <c r="D4211" t="str">
        <f>"17"</f>
        <v>17</v>
      </c>
      <c r="E4211" t="str">
        <f>"1-234-17"</f>
        <v>1-234-17</v>
      </c>
      <c r="F4211" t="s">
        <v>15</v>
      </c>
      <c r="G4211" t="s">
        <v>20</v>
      </c>
      <c r="H4211" t="s">
        <v>21</v>
      </c>
      <c r="I4211">
        <v>0</v>
      </c>
      <c r="J4211">
        <v>0</v>
      </c>
      <c r="K4211">
        <v>1</v>
      </c>
    </row>
    <row r="4212" spans="1:11" x14ac:dyDescent="0.25">
      <c r="A4212" t="str">
        <f>"5300"</f>
        <v>5300</v>
      </c>
      <c r="B4212" t="str">
        <f t="shared" si="273"/>
        <v>1</v>
      </c>
      <c r="C4212" t="str">
        <f t="shared" si="275"/>
        <v>234</v>
      </c>
      <c r="D4212" t="str">
        <f>"15"</f>
        <v>15</v>
      </c>
      <c r="E4212" t="str">
        <f>"1-234-15"</f>
        <v>1-234-15</v>
      </c>
      <c r="F4212" t="s">
        <v>15</v>
      </c>
      <c r="G4212" t="s">
        <v>20</v>
      </c>
      <c r="H4212" t="s">
        <v>21</v>
      </c>
      <c r="I4212">
        <v>0</v>
      </c>
      <c r="J4212">
        <v>0</v>
      </c>
      <c r="K4212">
        <v>1</v>
      </c>
    </row>
    <row r="4213" spans="1:11" x14ac:dyDescent="0.25">
      <c r="A4213" t="str">
        <f>"5301"</f>
        <v>5301</v>
      </c>
      <c r="B4213" t="str">
        <f t="shared" si="273"/>
        <v>1</v>
      </c>
      <c r="C4213" t="str">
        <f t="shared" si="275"/>
        <v>234</v>
      </c>
      <c r="D4213" t="str">
        <f>"2"</f>
        <v>2</v>
      </c>
      <c r="E4213" t="str">
        <f>"1-234-2"</f>
        <v>1-234-2</v>
      </c>
      <c r="F4213" t="s">
        <v>15</v>
      </c>
      <c r="G4213" t="s">
        <v>20</v>
      </c>
      <c r="H4213" t="s">
        <v>21</v>
      </c>
      <c r="I4213">
        <v>0</v>
      </c>
      <c r="J4213">
        <v>1</v>
      </c>
      <c r="K4213">
        <v>0</v>
      </c>
    </row>
    <row r="4214" spans="1:11" x14ac:dyDescent="0.25">
      <c r="A4214" t="str">
        <f>"5303"</f>
        <v>5303</v>
      </c>
      <c r="B4214" t="str">
        <f t="shared" si="273"/>
        <v>1</v>
      </c>
      <c r="C4214" t="str">
        <f t="shared" si="275"/>
        <v>234</v>
      </c>
      <c r="D4214" t="str">
        <f>"19"</f>
        <v>19</v>
      </c>
      <c r="E4214" t="str">
        <f>"1-234-19"</f>
        <v>1-234-19</v>
      </c>
      <c r="F4214" t="s">
        <v>15</v>
      </c>
      <c r="G4214" t="s">
        <v>20</v>
      </c>
      <c r="H4214" t="s">
        <v>21</v>
      </c>
      <c r="I4214">
        <v>0</v>
      </c>
      <c r="J4214">
        <v>0</v>
      </c>
      <c r="K4214">
        <v>1</v>
      </c>
    </row>
    <row r="4215" spans="1:11" x14ac:dyDescent="0.25">
      <c r="A4215" t="str">
        <f>"5306"</f>
        <v>5306</v>
      </c>
      <c r="B4215" t="str">
        <f t="shared" si="273"/>
        <v>1</v>
      </c>
      <c r="C4215" t="str">
        <f t="shared" si="275"/>
        <v>234</v>
      </c>
      <c r="D4215" t="str">
        <f>"3"</f>
        <v>3</v>
      </c>
      <c r="E4215" t="str">
        <f>"1-234-3"</f>
        <v>1-234-3</v>
      </c>
      <c r="F4215" t="s">
        <v>15</v>
      </c>
      <c r="G4215" t="s">
        <v>20</v>
      </c>
      <c r="H4215" t="s">
        <v>21</v>
      </c>
      <c r="I4215">
        <v>0</v>
      </c>
      <c r="J4215">
        <v>0</v>
      </c>
      <c r="K4215">
        <v>1</v>
      </c>
    </row>
    <row r="4216" spans="1:11" x14ac:dyDescent="0.25">
      <c r="A4216" t="str">
        <f>"5307"</f>
        <v>5307</v>
      </c>
      <c r="B4216" t="str">
        <f t="shared" si="273"/>
        <v>1</v>
      </c>
      <c r="C4216" t="str">
        <f t="shared" si="275"/>
        <v>234</v>
      </c>
      <c r="D4216" t="str">
        <f>"21"</f>
        <v>21</v>
      </c>
      <c r="E4216" t="str">
        <f>"1-234-21"</f>
        <v>1-234-21</v>
      </c>
      <c r="F4216" t="s">
        <v>15</v>
      </c>
      <c r="G4216" t="s">
        <v>20</v>
      </c>
      <c r="H4216" t="s">
        <v>21</v>
      </c>
      <c r="I4216">
        <v>0</v>
      </c>
      <c r="J4216">
        <v>0</v>
      </c>
      <c r="K4216">
        <v>1</v>
      </c>
    </row>
    <row r="4217" spans="1:11" x14ac:dyDescent="0.25">
      <c r="A4217" t="str">
        <f>"5309"</f>
        <v>5309</v>
      </c>
      <c r="B4217" t="str">
        <f t="shared" si="273"/>
        <v>1</v>
      </c>
      <c r="C4217" t="str">
        <f t="shared" si="275"/>
        <v>234</v>
      </c>
      <c r="D4217" t="str">
        <f>"8"</f>
        <v>8</v>
      </c>
      <c r="E4217" t="str">
        <f>"1-234-8"</f>
        <v>1-234-8</v>
      </c>
      <c r="F4217" t="s">
        <v>15</v>
      </c>
      <c r="G4217" t="s">
        <v>20</v>
      </c>
      <c r="H4217" t="s">
        <v>21</v>
      </c>
      <c r="I4217">
        <v>1</v>
      </c>
      <c r="J4217">
        <v>0</v>
      </c>
      <c r="K4217">
        <v>0</v>
      </c>
    </row>
    <row r="4218" spans="1:11" x14ac:dyDescent="0.25">
      <c r="A4218" t="str">
        <f>"5310"</f>
        <v>5310</v>
      </c>
      <c r="B4218" t="str">
        <f t="shared" si="273"/>
        <v>1</v>
      </c>
      <c r="C4218" t="str">
        <f t="shared" si="275"/>
        <v>234</v>
      </c>
      <c r="D4218" t="str">
        <f>"23"</f>
        <v>23</v>
      </c>
      <c r="E4218" t="str">
        <f>"1-234-23"</f>
        <v>1-234-23</v>
      </c>
      <c r="F4218" t="s">
        <v>15</v>
      </c>
      <c r="G4218" t="s">
        <v>20</v>
      </c>
      <c r="H4218" t="s">
        <v>21</v>
      </c>
      <c r="I4218">
        <v>0</v>
      </c>
      <c r="J4218">
        <v>0</v>
      </c>
      <c r="K4218">
        <v>1</v>
      </c>
    </row>
    <row r="4219" spans="1:11" x14ac:dyDescent="0.25">
      <c r="A4219" t="str">
        <f>"5311"</f>
        <v>5311</v>
      </c>
      <c r="B4219" t="str">
        <f t="shared" si="273"/>
        <v>1</v>
      </c>
      <c r="C4219" t="str">
        <f t="shared" si="275"/>
        <v>234</v>
      </c>
      <c r="D4219" t="str">
        <f>"13"</f>
        <v>13</v>
      </c>
      <c r="E4219" t="str">
        <f>"1-234-13"</f>
        <v>1-234-13</v>
      </c>
      <c r="F4219" t="s">
        <v>15</v>
      </c>
      <c r="G4219" t="s">
        <v>20</v>
      </c>
      <c r="H4219" t="s">
        <v>21</v>
      </c>
      <c r="I4219">
        <v>0</v>
      </c>
      <c r="J4219">
        <v>0</v>
      </c>
      <c r="K4219">
        <v>1</v>
      </c>
    </row>
    <row r="4220" spans="1:11" x14ac:dyDescent="0.25">
      <c r="A4220" t="str">
        <f>"5312"</f>
        <v>5312</v>
      </c>
      <c r="B4220" t="str">
        <f t="shared" si="273"/>
        <v>1</v>
      </c>
      <c r="C4220" t="str">
        <f t="shared" si="275"/>
        <v>234</v>
      </c>
      <c r="D4220" t="str">
        <f>"14"</f>
        <v>14</v>
      </c>
      <c r="E4220" t="str">
        <f>"1-234-14"</f>
        <v>1-234-14</v>
      </c>
      <c r="F4220" t="s">
        <v>15</v>
      </c>
      <c r="G4220" t="s">
        <v>20</v>
      </c>
      <c r="H4220" t="s">
        <v>21</v>
      </c>
      <c r="I4220">
        <v>0</v>
      </c>
      <c r="J4220">
        <v>0</v>
      </c>
      <c r="K4220">
        <v>1</v>
      </c>
    </row>
    <row r="4221" spans="1:11" x14ac:dyDescent="0.25">
      <c r="A4221" t="str">
        <f>"5313"</f>
        <v>5313</v>
      </c>
      <c r="B4221" t="str">
        <f t="shared" si="273"/>
        <v>1</v>
      </c>
      <c r="C4221" t="str">
        <f t="shared" si="275"/>
        <v>234</v>
      </c>
      <c r="D4221" t="str">
        <f>"6"</f>
        <v>6</v>
      </c>
      <c r="E4221" t="str">
        <f>"1-234-6"</f>
        <v>1-234-6</v>
      </c>
      <c r="F4221" t="s">
        <v>15</v>
      </c>
      <c r="G4221" t="s">
        <v>20</v>
      </c>
      <c r="H4221" t="s">
        <v>21</v>
      </c>
      <c r="I4221">
        <v>0</v>
      </c>
      <c r="J4221">
        <v>0</v>
      </c>
      <c r="K4221">
        <v>1</v>
      </c>
    </row>
    <row r="4222" spans="1:11" x14ac:dyDescent="0.25">
      <c r="A4222" t="str">
        <f>"5314"</f>
        <v>5314</v>
      </c>
      <c r="B4222" t="str">
        <f t="shared" si="273"/>
        <v>1</v>
      </c>
      <c r="C4222" t="str">
        <f t="shared" si="275"/>
        <v>234</v>
      </c>
      <c r="D4222" t="str">
        <f>"9"</f>
        <v>9</v>
      </c>
      <c r="E4222" t="str">
        <f>"1-234-9"</f>
        <v>1-234-9</v>
      </c>
      <c r="F4222" t="s">
        <v>15</v>
      </c>
      <c r="G4222" t="s">
        <v>20</v>
      </c>
      <c r="H4222" t="s">
        <v>21</v>
      </c>
      <c r="I4222">
        <v>0</v>
      </c>
      <c r="J4222">
        <v>0</v>
      </c>
      <c r="K4222">
        <v>1</v>
      </c>
    </row>
    <row r="4223" spans="1:11" x14ac:dyDescent="0.25">
      <c r="A4223" t="str">
        <f>"5315"</f>
        <v>5315</v>
      </c>
      <c r="B4223" t="str">
        <f t="shared" si="273"/>
        <v>1</v>
      </c>
      <c r="C4223" t="str">
        <f t="shared" si="275"/>
        <v>234</v>
      </c>
      <c r="D4223" t="str">
        <f>"11"</f>
        <v>11</v>
      </c>
      <c r="E4223" t="str">
        <f>"1-234-11"</f>
        <v>1-234-11</v>
      </c>
      <c r="F4223" t="s">
        <v>15</v>
      </c>
      <c r="G4223" t="s">
        <v>20</v>
      </c>
      <c r="H4223" t="s">
        <v>21</v>
      </c>
      <c r="I4223">
        <v>0</v>
      </c>
      <c r="J4223">
        <v>0</v>
      </c>
      <c r="K4223">
        <v>1</v>
      </c>
    </row>
    <row r="4224" spans="1:11" x14ac:dyDescent="0.25">
      <c r="A4224" t="str">
        <f>"5316"</f>
        <v>5316</v>
      </c>
      <c r="B4224" t="str">
        <f t="shared" si="273"/>
        <v>1</v>
      </c>
      <c r="C4224" t="str">
        <f t="shared" si="275"/>
        <v>234</v>
      </c>
      <c r="D4224" t="str">
        <f>"7"</f>
        <v>7</v>
      </c>
      <c r="E4224" t="str">
        <f>"1-234-7"</f>
        <v>1-234-7</v>
      </c>
      <c r="F4224" t="s">
        <v>15</v>
      </c>
      <c r="G4224" t="s">
        <v>20</v>
      </c>
      <c r="H4224" t="s">
        <v>21</v>
      </c>
      <c r="I4224">
        <v>0</v>
      </c>
      <c r="J4224">
        <v>0</v>
      </c>
      <c r="K4224">
        <v>0</v>
      </c>
    </row>
    <row r="4225" spans="1:11" x14ac:dyDescent="0.25">
      <c r="A4225" t="str">
        <f>"5317"</f>
        <v>5317</v>
      </c>
      <c r="B4225" t="str">
        <f t="shared" si="273"/>
        <v>1</v>
      </c>
      <c r="C4225" t="str">
        <f t="shared" si="275"/>
        <v>234</v>
      </c>
      <c r="D4225" t="str">
        <f>"18"</f>
        <v>18</v>
      </c>
      <c r="E4225" t="str">
        <f>"1-234-18"</f>
        <v>1-234-18</v>
      </c>
      <c r="F4225" t="s">
        <v>15</v>
      </c>
      <c r="G4225" t="s">
        <v>20</v>
      </c>
      <c r="H4225" t="s">
        <v>21</v>
      </c>
      <c r="I4225">
        <v>0</v>
      </c>
      <c r="J4225">
        <v>0</v>
      </c>
      <c r="K4225">
        <v>0</v>
      </c>
    </row>
    <row r="4226" spans="1:11" x14ac:dyDescent="0.25">
      <c r="A4226" t="str">
        <f>"5318"</f>
        <v>5318</v>
      </c>
      <c r="B4226" t="str">
        <f t="shared" si="273"/>
        <v>1</v>
      </c>
      <c r="C4226" t="str">
        <f t="shared" si="275"/>
        <v>234</v>
      </c>
      <c r="D4226" t="str">
        <f>"22"</f>
        <v>22</v>
      </c>
      <c r="E4226" t="str">
        <f>"1-234-22"</f>
        <v>1-234-22</v>
      </c>
      <c r="F4226" t="s">
        <v>15</v>
      </c>
      <c r="G4226" t="s">
        <v>20</v>
      </c>
      <c r="H4226" t="s">
        <v>21</v>
      </c>
      <c r="I4226">
        <v>0</v>
      </c>
      <c r="J4226">
        <v>0</v>
      </c>
      <c r="K4226">
        <v>0</v>
      </c>
    </row>
    <row r="4227" spans="1:11" x14ac:dyDescent="0.25">
      <c r="A4227" t="str">
        <f>"5319"</f>
        <v>5319</v>
      </c>
      <c r="B4227" t="str">
        <f t="shared" si="273"/>
        <v>1</v>
      </c>
      <c r="C4227" t="str">
        <f t="shared" si="275"/>
        <v>234</v>
      </c>
      <c r="D4227" t="str">
        <f>"16"</f>
        <v>16</v>
      </c>
      <c r="E4227" t="str">
        <f>"1-234-16"</f>
        <v>1-234-16</v>
      </c>
      <c r="F4227" t="s">
        <v>15</v>
      </c>
      <c r="G4227" t="s">
        <v>20</v>
      </c>
      <c r="H4227" t="s">
        <v>21</v>
      </c>
      <c r="I4227">
        <v>0</v>
      </c>
      <c r="J4227">
        <v>0</v>
      </c>
      <c r="K4227">
        <v>0</v>
      </c>
    </row>
    <row r="4228" spans="1:11" x14ac:dyDescent="0.25">
      <c r="A4228" t="str">
        <f>"5320"</f>
        <v>5320</v>
      </c>
      <c r="B4228" t="str">
        <f t="shared" si="273"/>
        <v>1</v>
      </c>
      <c r="C4228" t="str">
        <f t="shared" si="275"/>
        <v>234</v>
      </c>
      <c r="D4228" t="str">
        <f>"5"</f>
        <v>5</v>
      </c>
      <c r="E4228" t="str">
        <f>"1-234-5"</f>
        <v>1-234-5</v>
      </c>
      <c r="F4228" t="s">
        <v>15</v>
      </c>
      <c r="G4228" t="s">
        <v>20</v>
      </c>
      <c r="H4228" t="s">
        <v>21</v>
      </c>
      <c r="I4228">
        <v>0</v>
      </c>
      <c r="J4228">
        <v>0</v>
      </c>
      <c r="K4228">
        <v>0</v>
      </c>
    </row>
    <row r="4229" spans="1:11" x14ac:dyDescent="0.25">
      <c r="A4229" t="str">
        <f>"5321"</f>
        <v>5321</v>
      </c>
      <c r="B4229" t="str">
        <f t="shared" si="273"/>
        <v>1</v>
      </c>
      <c r="C4229" t="str">
        <f t="shared" si="275"/>
        <v>234</v>
      </c>
      <c r="D4229" t="str">
        <f>"10"</f>
        <v>10</v>
      </c>
      <c r="E4229" t="str">
        <f>"1-234-10"</f>
        <v>1-234-10</v>
      </c>
      <c r="F4229" t="s">
        <v>15</v>
      </c>
      <c r="G4229" t="s">
        <v>20</v>
      </c>
      <c r="H4229" t="s">
        <v>21</v>
      </c>
      <c r="I4229">
        <v>0</v>
      </c>
      <c r="J4229">
        <v>0</v>
      </c>
      <c r="K4229">
        <v>0</v>
      </c>
    </row>
    <row r="4230" spans="1:11" x14ac:dyDescent="0.25">
      <c r="A4230" t="str">
        <f>"5322"</f>
        <v>5322</v>
      </c>
      <c r="B4230" t="str">
        <f t="shared" si="273"/>
        <v>1</v>
      </c>
      <c r="C4230" t="str">
        <f t="shared" ref="C4230:C4237" si="276">"235"</f>
        <v>235</v>
      </c>
      <c r="D4230" t="str">
        <f>"15"</f>
        <v>15</v>
      </c>
      <c r="E4230" t="str">
        <f>"1-235-15"</f>
        <v>1-235-15</v>
      </c>
      <c r="F4230" t="s">
        <v>15</v>
      </c>
      <c r="G4230" t="s">
        <v>18</v>
      </c>
      <c r="H4230" t="s">
        <v>19</v>
      </c>
      <c r="I4230">
        <v>0</v>
      </c>
      <c r="J4230">
        <v>0</v>
      </c>
      <c r="K4230">
        <v>1</v>
      </c>
    </row>
    <row r="4231" spans="1:11" x14ac:dyDescent="0.25">
      <c r="A4231" t="str">
        <f>"5325"</f>
        <v>5325</v>
      </c>
      <c r="B4231" t="str">
        <f t="shared" si="273"/>
        <v>1</v>
      </c>
      <c r="C4231" t="str">
        <f t="shared" si="276"/>
        <v>235</v>
      </c>
      <c r="D4231" t="str">
        <f>"1"</f>
        <v>1</v>
      </c>
      <c r="E4231" t="str">
        <f>"1-235-1"</f>
        <v>1-235-1</v>
      </c>
      <c r="F4231" t="s">
        <v>15</v>
      </c>
      <c r="G4231" t="s">
        <v>16</v>
      </c>
      <c r="H4231" t="s">
        <v>17</v>
      </c>
      <c r="I4231">
        <v>0</v>
      </c>
      <c r="J4231">
        <v>1</v>
      </c>
      <c r="K4231">
        <v>0</v>
      </c>
    </row>
    <row r="4232" spans="1:11" x14ac:dyDescent="0.25">
      <c r="A4232" t="str">
        <f>"5331"</f>
        <v>5331</v>
      </c>
      <c r="B4232" t="str">
        <f t="shared" si="273"/>
        <v>1</v>
      </c>
      <c r="C4232" t="str">
        <f t="shared" si="276"/>
        <v>235</v>
      </c>
      <c r="D4232" t="str">
        <f>"5"</f>
        <v>5</v>
      </c>
      <c r="E4232" t="str">
        <f>"1-235-5"</f>
        <v>1-235-5</v>
      </c>
      <c r="F4232" t="s">
        <v>15</v>
      </c>
      <c r="G4232" t="s">
        <v>20</v>
      </c>
      <c r="H4232" t="s">
        <v>21</v>
      </c>
      <c r="I4232">
        <v>1</v>
      </c>
      <c r="J4232">
        <v>0</v>
      </c>
      <c r="K4232">
        <v>0</v>
      </c>
    </row>
    <row r="4233" spans="1:11" x14ac:dyDescent="0.25">
      <c r="A4233" t="str">
        <f>"5332"</f>
        <v>5332</v>
      </c>
      <c r="B4233" t="str">
        <f t="shared" si="273"/>
        <v>1</v>
      </c>
      <c r="C4233" t="str">
        <f t="shared" si="276"/>
        <v>235</v>
      </c>
      <c r="D4233" t="str">
        <f>"6"</f>
        <v>6</v>
      </c>
      <c r="E4233" t="str">
        <f>"1-235-6"</f>
        <v>1-235-6</v>
      </c>
      <c r="F4233" t="s">
        <v>15</v>
      </c>
      <c r="G4233" t="s">
        <v>16</v>
      </c>
      <c r="H4233" t="s">
        <v>17</v>
      </c>
      <c r="I4233">
        <v>1</v>
      </c>
      <c r="J4233">
        <v>0</v>
      </c>
      <c r="K4233">
        <v>0</v>
      </c>
    </row>
    <row r="4234" spans="1:11" x14ac:dyDescent="0.25">
      <c r="A4234" t="str">
        <f>"5333"</f>
        <v>5333</v>
      </c>
      <c r="B4234" t="str">
        <f t="shared" si="273"/>
        <v>1</v>
      </c>
      <c r="C4234" t="str">
        <f t="shared" si="276"/>
        <v>235</v>
      </c>
      <c r="D4234" t="str">
        <f>"8"</f>
        <v>8</v>
      </c>
      <c r="E4234" t="str">
        <f>"1-235-8"</f>
        <v>1-235-8</v>
      </c>
      <c r="F4234" t="s">
        <v>15</v>
      </c>
      <c r="G4234" t="s">
        <v>16</v>
      </c>
      <c r="H4234" t="s">
        <v>17</v>
      </c>
      <c r="I4234">
        <v>0</v>
      </c>
      <c r="J4234">
        <v>1</v>
      </c>
      <c r="K4234">
        <v>0</v>
      </c>
    </row>
    <row r="4235" spans="1:11" x14ac:dyDescent="0.25">
      <c r="A4235" t="str">
        <f>"5334"</f>
        <v>5334</v>
      </c>
      <c r="B4235" t="str">
        <f t="shared" si="273"/>
        <v>1</v>
      </c>
      <c r="C4235" t="str">
        <f t="shared" si="276"/>
        <v>235</v>
      </c>
      <c r="D4235" t="str">
        <f>"9"</f>
        <v>9</v>
      </c>
      <c r="E4235" t="str">
        <f>"1-235-9"</f>
        <v>1-235-9</v>
      </c>
      <c r="F4235" t="s">
        <v>15</v>
      </c>
      <c r="G4235" t="s">
        <v>16</v>
      </c>
      <c r="H4235" t="s">
        <v>17</v>
      </c>
      <c r="I4235">
        <v>1</v>
      </c>
      <c r="J4235">
        <v>0</v>
      </c>
      <c r="K4235">
        <v>0</v>
      </c>
    </row>
    <row r="4236" spans="1:11" x14ac:dyDescent="0.25">
      <c r="A4236" t="str">
        <f>"5335"</f>
        <v>5335</v>
      </c>
      <c r="B4236" t="str">
        <f t="shared" si="273"/>
        <v>1</v>
      </c>
      <c r="C4236" t="str">
        <f t="shared" si="276"/>
        <v>235</v>
      </c>
      <c r="D4236" t="str">
        <f>"7"</f>
        <v>7</v>
      </c>
      <c r="E4236" t="str">
        <f>"1-235-7"</f>
        <v>1-235-7</v>
      </c>
      <c r="F4236" t="s">
        <v>15</v>
      </c>
      <c r="G4236" t="s">
        <v>18</v>
      </c>
      <c r="H4236" t="s">
        <v>19</v>
      </c>
      <c r="I4236">
        <v>0</v>
      </c>
      <c r="J4236">
        <v>0</v>
      </c>
      <c r="K4236">
        <v>1</v>
      </c>
    </row>
    <row r="4237" spans="1:11" x14ac:dyDescent="0.25">
      <c r="A4237" t="str">
        <f>"5336"</f>
        <v>5336</v>
      </c>
      <c r="B4237" t="str">
        <f t="shared" si="273"/>
        <v>1</v>
      </c>
      <c r="C4237" t="str">
        <f t="shared" si="276"/>
        <v>235</v>
      </c>
      <c r="D4237" t="str">
        <f>"3"</f>
        <v>3</v>
      </c>
      <c r="E4237" t="str">
        <f>"1-235-3"</f>
        <v>1-235-3</v>
      </c>
      <c r="F4237" t="s">
        <v>15</v>
      </c>
      <c r="G4237" t="s">
        <v>18</v>
      </c>
      <c r="H4237" t="s">
        <v>19</v>
      </c>
      <c r="I4237">
        <v>0</v>
      </c>
      <c r="J4237">
        <v>0</v>
      </c>
      <c r="K4237">
        <v>0</v>
      </c>
    </row>
    <row r="4238" spans="1:11" x14ac:dyDescent="0.25">
      <c r="A4238" t="str">
        <f>"5337"</f>
        <v>5337</v>
      </c>
      <c r="B4238" t="str">
        <f t="shared" si="273"/>
        <v>1</v>
      </c>
      <c r="C4238" t="str">
        <f t="shared" ref="C4238:C4257" si="277">"236"</f>
        <v>236</v>
      </c>
      <c r="D4238" t="str">
        <f>"21"</f>
        <v>21</v>
      </c>
      <c r="E4238" t="str">
        <f>"1-236-21"</f>
        <v>1-236-21</v>
      </c>
      <c r="F4238" t="s">
        <v>15</v>
      </c>
      <c r="G4238" t="s">
        <v>16</v>
      </c>
      <c r="H4238" t="s">
        <v>17</v>
      </c>
      <c r="I4238">
        <v>0</v>
      </c>
      <c r="J4238">
        <v>1</v>
      </c>
      <c r="K4238">
        <v>0</v>
      </c>
    </row>
    <row r="4239" spans="1:11" x14ac:dyDescent="0.25">
      <c r="A4239" t="str">
        <f>"5338"</f>
        <v>5338</v>
      </c>
      <c r="B4239" t="str">
        <f t="shared" ref="B4239:B4293" si="278">"1"</f>
        <v>1</v>
      </c>
      <c r="C4239" t="str">
        <f t="shared" si="277"/>
        <v>236</v>
      </c>
      <c r="D4239" t="str">
        <f>"20"</f>
        <v>20</v>
      </c>
      <c r="E4239" t="str">
        <f>"1-236-20"</f>
        <v>1-236-20</v>
      </c>
      <c r="F4239" t="s">
        <v>15</v>
      </c>
      <c r="G4239" t="s">
        <v>16</v>
      </c>
      <c r="H4239" t="s">
        <v>17</v>
      </c>
      <c r="I4239">
        <v>0</v>
      </c>
      <c r="J4239">
        <v>1</v>
      </c>
      <c r="K4239">
        <v>0</v>
      </c>
    </row>
    <row r="4240" spans="1:11" x14ac:dyDescent="0.25">
      <c r="A4240" t="str">
        <f>"5339"</f>
        <v>5339</v>
      </c>
      <c r="B4240" t="str">
        <f t="shared" si="278"/>
        <v>1</v>
      </c>
      <c r="C4240" t="str">
        <f t="shared" si="277"/>
        <v>236</v>
      </c>
      <c r="D4240" t="str">
        <f>"17"</f>
        <v>17</v>
      </c>
      <c r="E4240" t="str">
        <f>"1-236-17"</f>
        <v>1-236-17</v>
      </c>
      <c r="F4240" t="s">
        <v>15</v>
      </c>
      <c r="G4240" t="s">
        <v>16</v>
      </c>
      <c r="H4240" t="s">
        <v>17</v>
      </c>
      <c r="I4240">
        <v>0</v>
      </c>
      <c r="J4240">
        <v>1</v>
      </c>
      <c r="K4240">
        <v>0</v>
      </c>
    </row>
    <row r="4241" spans="1:11" x14ac:dyDescent="0.25">
      <c r="A4241" t="str">
        <f>"5340"</f>
        <v>5340</v>
      </c>
      <c r="B4241" t="str">
        <f t="shared" si="278"/>
        <v>1</v>
      </c>
      <c r="C4241" t="str">
        <f t="shared" si="277"/>
        <v>236</v>
      </c>
      <c r="D4241" t="str">
        <f>"15"</f>
        <v>15</v>
      </c>
      <c r="E4241" t="str">
        <f>"1-236-15"</f>
        <v>1-236-15</v>
      </c>
      <c r="F4241" t="s">
        <v>15</v>
      </c>
      <c r="G4241" t="s">
        <v>18</v>
      </c>
      <c r="H4241" t="s">
        <v>19</v>
      </c>
      <c r="I4241">
        <v>1</v>
      </c>
      <c r="J4241">
        <v>0</v>
      </c>
      <c r="K4241">
        <v>0</v>
      </c>
    </row>
    <row r="4242" spans="1:11" x14ac:dyDescent="0.25">
      <c r="A4242" t="str">
        <f>"5341"</f>
        <v>5341</v>
      </c>
      <c r="B4242" t="str">
        <f t="shared" si="278"/>
        <v>1</v>
      </c>
      <c r="C4242" t="str">
        <f t="shared" si="277"/>
        <v>236</v>
      </c>
      <c r="D4242" t="str">
        <f>"2"</f>
        <v>2</v>
      </c>
      <c r="E4242" t="str">
        <f>"1-236-2"</f>
        <v>1-236-2</v>
      </c>
      <c r="F4242" t="s">
        <v>15</v>
      </c>
      <c r="G4242" t="s">
        <v>20</v>
      </c>
      <c r="H4242" t="s">
        <v>21</v>
      </c>
      <c r="I4242">
        <v>0</v>
      </c>
      <c r="J4242">
        <v>0</v>
      </c>
      <c r="K4242">
        <v>1</v>
      </c>
    </row>
    <row r="4243" spans="1:11" x14ac:dyDescent="0.25">
      <c r="A4243" t="str">
        <f>"5343"</f>
        <v>5343</v>
      </c>
      <c r="B4243" t="str">
        <f t="shared" si="278"/>
        <v>1</v>
      </c>
      <c r="C4243" t="str">
        <f t="shared" si="277"/>
        <v>236</v>
      </c>
      <c r="D4243" t="str">
        <f>"16"</f>
        <v>16</v>
      </c>
      <c r="E4243" t="str">
        <f>"1-236-16"</f>
        <v>1-236-16</v>
      </c>
      <c r="F4243" t="s">
        <v>15</v>
      </c>
      <c r="G4243" t="s">
        <v>18</v>
      </c>
      <c r="H4243" t="s">
        <v>19</v>
      </c>
      <c r="I4243">
        <v>1</v>
      </c>
      <c r="J4243">
        <v>0</v>
      </c>
      <c r="K4243">
        <v>0</v>
      </c>
    </row>
    <row r="4244" spans="1:11" x14ac:dyDescent="0.25">
      <c r="A4244" t="str">
        <f>"5345"</f>
        <v>5345</v>
      </c>
      <c r="B4244" t="str">
        <f t="shared" si="278"/>
        <v>1</v>
      </c>
      <c r="C4244" t="str">
        <f t="shared" si="277"/>
        <v>236</v>
      </c>
      <c r="D4244" t="str">
        <f>"18"</f>
        <v>18</v>
      </c>
      <c r="E4244" t="str">
        <f>"1-236-18"</f>
        <v>1-236-18</v>
      </c>
      <c r="F4244" t="s">
        <v>15</v>
      </c>
      <c r="G4244" t="s">
        <v>16</v>
      </c>
      <c r="H4244" t="s">
        <v>17</v>
      </c>
      <c r="I4244">
        <v>1</v>
      </c>
      <c r="J4244">
        <v>0</v>
      </c>
      <c r="K4244">
        <v>0</v>
      </c>
    </row>
    <row r="4245" spans="1:11" x14ac:dyDescent="0.25">
      <c r="A4245" t="str">
        <f>"5347"</f>
        <v>5347</v>
      </c>
      <c r="B4245" t="str">
        <f t="shared" si="278"/>
        <v>1</v>
      </c>
      <c r="C4245" t="str">
        <f t="shared" si="277"/>
        <v>236</v>
      </c>
      <c r="D4245" t="str">
        <f>"19"</f>
        <v>19</v>
      </c>
      <c r="E4245" t="str">
        <f>"1-236-19"</f>
        <v>1-236-19</v>
      </c>
      <c r="F4245" t="s">
        <v>15</v>
      </c>
      <c r="G4245" t="s">
        <v>16</v>
      </c>
      <c r="H4245" t="s">
        <v>17</v>
      </c>
      <c r="I4245">
        <v>1</v>
      </c>
      <c r="J4245">
        <v>0</v>
      </c>
      <c r="K4245">
        <v>0</v>
      </c>
    </row>
    <row r="4246" spans="1:11" x14ac:dyDescent="0.25">
      <c r="A4246" t="str">
        <f>"5350"</f>
        <v>5350</v>
      </c>
      <c r="B4246" t="str">
        <f t="shared" si="278"/>
        <v>1</v>
      </c>
      <c r="C4246" t="str">
        <f t="shared" si="277"/>
        <v>236</v>
      </c>
      <c r="D4246" t="str">
        <f>"5"</f>
        <v>5</v>
      </c>
      <c r="E4246" t="str">
        <f>"1-236-5"</f>
        <v>1-236-5</v>
      </c>
      <c r="F4246" t="s">
        <v>15</v>
      </c>
      <c r="G4246" t="s">
        <v>16</v>
      </c>
      <c r="H4246" t="s">
        <v>17</v>
      </c>
      <c r="I4246">
        <v>0</v>
      </c>
      <c r="J4246">
        <v>1</v>
      </c>
      <c r="K4246">
        <v>0</v>
      </c>
    </row>
    <row r="4247" spans="1:11" x14ac:dyDescent="0.25">
      <c r="A4247" t="str">
        <f>"5351"</f>
        <v>5351</v>
      </c>
      <c r="B4247" t="str">
        <f t="shared" si="278"/>
        <v>1</v>
      </c>
      <c r="C4247" t="str">
        <f t="shared" si="277"/>
        <v>236</v>
      </c>
      <c r="D4247" t="str">
        <f>"23"</f>
        <v>23</v>
      </c>
      <c r="E4247" t="str">
        <f>"1-236-23"</f>
        <v>1-236-23</v>
      </c>
      <c r="F4247" t="s">
        <v>15</v>
      </c>
      <c r="G4247" t="s">
        <v>16</v>
      </c>
      <c r="H4247" t="s">
        <v>17</v>
      </c>
      <c r="I4247">
        <v>1</v>
      </c>
      <c r="J4247">
        <v>0</v>
      </c>
      <c r="K4247">
        <v>0</v>
      </c>
    </row>
    <row r="4248" spans="1:11" x14ac:dyDescent="0.25">
      <c r="A4248" t="str">
        <f>"5352"</f>
        <v>5352</v>
      </c>
      <c r="B4248" t="str">
        <f t="shared" si="278"/>
        <v>1</v>
      </c>
      <c r="C4248" t="str">
        <f t="shared" si="277"/>
        <v>236</v>
      </c>
      <c r="D4248" t="str">
        <f>"8"</f>
        <v>8</v>
      </c>
      <c r="E4248" t="str">
        <f>"1-236-8"</f>
        <v>1-236-8</v>
      </c>
      <c r="F4248" t="s">
        <v>15</v>
      </c>
      <c r="G4248" t="s">
        <v>16</v>
      </c>
      <c r="H4248" t="s">
        <v>17</v>
      </c>
      <c r="I4248">
        <v>0</v>
      </c>
      <c r="J4248">
        <v>0</v>
      </c>
      <c r="K4248">
        <v>1</v>
      </c>
    </row>
    <row r="4249" spans="1:11" x14ac:dyDescent="0.25">
      <c r="A4249" t="str">
        <f>"5353"</f>
        <v>5353</v>
      </c>
      <c r="B4249" t="str">
        <f t="shared" si="278"/>
        <v>1</v>
      </c>
      <c r="C4249" t="str">
        <f t="shared" si="277"/>
        <v>236</v>
      </c>
      <c r="D4249" t="str">
        <f>"24"</f>
        <v>24</v>
      </c>
      <c r="E4249" t="str">
        <f>"1-236-24"</f>
        <v>1-236-24</v>
      </c>
      <c r="F4249" t="s">
        <v>15</v>
      </c>
      <c r="G4249" t="s">
        <v>18</v>
      </c>
      <c r="H4249" t="s">
        <v>19</v>
      </c>
      <c r="I4249">
        <v>0</v>
      </c>
      <c r="J4249">
        <v>0</v>
      </c>
      <c r="K4249">
        <v>1</v>
      </c>
    </row>
    <row r="4250" spans="1:11" x14ac:dyDescent="0.25">
      <c r="A4250" t="str">
        <f>"5354"</f>
        <v>5354</v>
      </c>
      <c r="B4250" t="str">
        <f t="shared" si="278"/>
        <v>1</v>
      </c>
      <c r="C4250" t="str">
        <f t="shared" si="277"/>
        <v>236</v>
      </c>
      <c r="D4250" t="str">
        <f>"4"</f>
        <v>4</v>
      </c>
      <c r="E4250" t="str">
        <f>"1-236-4"</f>
        <v>1-236-4</v>
      </c>
      <c r="F4250" t="s">
        <v>15</v>
      </c>
      <c r="G4250" t="s">
        <v>18</v>
      </c>
      <c r="H4250" t="s">
        <v>19</v>
      </c>
      <c r="I4250">
        <v>0</v>
      </c>
      <c r="J4250">
        <v>0</v>
      </c>
      <c r="K4250">
        <v>1</v>
      </c>
    </row>
    <row r="4251" spans="1:11" x14ac:dyDescent="0.25">
      <c r="A4251" t="str">
        <f>"5355"</f>
        <v>5355</v>
      </c>
      <c r="B4251" t="str">
        <f t="shared" si="278"/>
        <v>1</v>
      </c>
      <c r="C4251" t="str">
        <f t="shared" si="277"/>
        <v>236</v>
      </c>
      <c r="D4251" t="str">
        <f>"10"</f>
        <v>10</v>
      </c>
      <c r="E4251" t="str">
        <f>"1-236-10"</f>
        <v>1-236-10</v>
      </c>
      <c r="F4251" t="s">
        <v>15</v>
      </c>
      <c r="G4251" t="s">
        <v>16</v>
      </c>
      <c r="H4251" t="s">
        <v>17</v>
      </c>
      <c r="I4251">
        <v>0</v>
      </c>
      <c r="J4251">
        <v>0</v>
      </c>
      <c r="K4251">
        <v>1</v>
      </c>
    </row>
    <row r="4252" spans="1:11" x14ac:dyDescent="0.25">
      <c r="A4252" t="str">
        <f>"5356"</f>
        <v>5356</v>
      </c>
      <c r="B4252" t="str">
        <f t="shared" si="278"/>
        <v>1</v>
      </c>
      <c r="C4252" t="str">
        <f t="shared" si="277"/>
        <v>236</v>
      </c>
      <c r="D4252" t="str">
        <f>"12"</f>
        <v>12</v>
      </c>
      <c r="E4252" t="str">
        <f>"1-236-12"</f>
        <v>1-236-12</v>
      </c>
      <c r="F4252" t="s">
        <v>15</v>
      </c>
      <c r="G4252" t="s">
        <v>18</v>
      </c>
      <c r="H4252" t="s">
        <v>19</v>
      </c>
      <c r="I4252">
        <v>0</v>
      </c>
      <c r="J4252">
        <v>1</v>
      </c>
      <c r="K4252">
        <v>0</v>
      </c>
    </row>
    <row r="4253" spans="1:11" x14ac:dyDescent="0.25">
      <c r="A4253" t="str">
        <f>"5357"</f>
        <v>5357</v>
      </c>
      <c r="B4253" t="str">
        <f t="shared" si="278"/>
        <v>1</v>
      </c>
      <c r="C4253" t="str">
        <f t="shared" si="277"/>
        <v>236</v>
      </c>
      <c r="D4253" t="str">
        <f>"11"</f>
        <v>11</v>
      </c>
      <c r="E4253" t="str">
        <f>"1-236-11"</f>
        <v>1-236-11</v>
      </c>
      <c r="F4253" t="s">
        <v>15</v>
      </c>
      <c r="G4253" t="s">
        <v>16</v>
      </c>
      <c r="H4253" t="s">
        <v>17</v>
      </c>
      <c r="I4253">
        <v>0</v>
      </c>
      <c r="J4253">
        <v>0</v>
      </c>
      <c r="K4253">
        <v>1</v>
      </c>
    </row>
    <row r="4254" spans="1:11" x14ac:dyDescent="0.25">
      <c r="A4254" t="str">
        <f>"5358"</f>
        <v>5358</v>
      </c>
      <c r="B4254" t="str">
        <f t="shared" si="278"/>
        <v>1</v>
      </c>
      <c r="C4254" t="str">
        <f t="shared" si="277"/>
        <v>236</v>
      </c>
      <c r="D4254" t="str">
        <f>"3"</f>
        <v>3</v>
      </c>
      <c r="E4254" t="str">
        <f>"1-236-3"</f>
        <v>1-236-3</v>
      </c>
      <c r="F4254" t="s">
        <v>15</v>
      </c>
      <c r="G4254" t="s">
        <v>18</v>
      </c>
      <c r="H4254" t="s">
        <v>19</v>
      </c>
      <c r="I4254">
        <v>0</v>
      </c>
      <c r="J4254">
        <v>0</v>
      </c>
      <c r="K4254">
        <v>1</v>
      </c>
    </row>
    <row r="4255" spans="1:11" x14ac:dyDescent="0.25">
      <c r="A4255" t="str">
        <f>"5359"</f>
        <v>5359</v>
      </c>
      <c r="B4255" t="str">
        <f t="shared" si="278"/>
        <v>1</v>
      </c>
      <c r="C4255" t="str">
        <f t="shared" si="277"/>
        <v>236</v>
      </c>
      <c r="D4255" t="str">
        <f>"13"</f>
        <v>13</v>
      </c>
      <c r="E4255" t="str">
        <f>"1-236-13"</f>
        <v>1-236-13</v>
      </c>
      <c r="F4255" t="s">
        <v>15</v>
      </c>
      <c r="G4255" t="s">
        <v>18</v>
      </c>
      <c r="H4255" t="s">
        <v>19</v>
      </c>
      <c r="I4255">
        <v>0</v>
      </c>
      <c r="J4255">
        <v>1</v>
      </c>
      <c r="K4255">
        <v>0</v>
      </c>
    </row>
    <row r="4256" spans="1:11" x14ac:dyDescent="0.25">
      <c r="A4256" t="str">
        <f>"5360"</f>
        <v>5360</v>
      </c>
      <c r="B4256" t="str">
        <f t="shared" si="278"/>
        <v>1</v>
      </c>
      <c r="C4256" t="str">
        <f t="shared" si="277"/>
        <v>236</v>
      </c>
      <c r="D4256" t="str">
        <f>"9"</f>
        <v>9</v>
      </c>
      <c r="E4256" t="str">
        <f>"1-236-9"</f>
        <v>1-236-9</v>
      </c>
      <c r="F4256" t="s">
        <v>15</v>
      </c>
      <c r="G4256" t="s">
        <v>18</v>
      </c>
      <c r="H4256" t="s">
        <v>19</v>
      </c>
      <c r="I4256">
        <v>0</v>
      </c>
      <c r="J4256">
        <v>0</v>
      </c>
      <c r="K4256">
        <v>0</v>
      </c>
    </row>
    <row r="4257" spans="1:11" x14ac:dyDescent="0.25">
      <c r="A4257" t="str">
        <f>"5361"</f>
        <v>5361</v>
      </c>
      <c r="B4257" t="str">
        <f t="shared" si="278"/>
        <v>1</v>
      </c>
      <c r="C4257" t="str">
        <f t="shared" si="277"/>
        <v>236</v>
      </c>
      <c r="D4257" t="str">
        <f>"14"</f>
        <v>14</v>
      </c>
      <c r="E4257" t="str">
        <f>"1-236-14"</f>
        <v>1-236-14</v>
      </c>
      <c r="F4257" t="s">
        <v>15</v>
      </c>
      <c r="G4257" t="s">
        <v>18</v>
      </c>
      <c r="H4257" t="s">
        <v>19</v>
      </c>
      <c r="I4257">
        <v>0</v>
      </c>
      <c r="J4257">
        <v>0</v>
      </c>
      <c r="K4257">
        <v>0</v>
      </c>
    </row>
    <row r="4258" spans="1:11" x14ac:dyDescent="0.25">
      <c r="A4258" t="str">
        <f>"5362"</f>
        <v>5362</v>
      </c>
      <c r="B4258" t="str">
        <f t="shared" si="278"/>
        <v>1</v>
      </c>
      <c r="C4258" t="str">
        <f t="shared" ref="C4258:C4283" si="279">"237"</f>
        <v>237</v>
      </c>
      <c r="D4258" t="str">
        <f>"19"</f>
        <v>19</v>
      </c>
      <c r="E4258" t="str">
        <f>"1-237-19"</f>
        <v>1-237-19</v>
      </c>
      <c r="F4258" t="s">
        <v>15</v>
      </c>
      <c r="G4258" t="s">
        <v>18</v>
      </c>
      <c r="H4258" t="s">
        <v>19</v>
      </c>
      <c r="I4258">
        <v>0</v>
      </c>
      <c r="J4258">
        <v>0</v>
      </c>
      <c r="K4258">
        <v>1</v>
      </c>
    </row>
    <row r="4259" spans="1:11" x14ac:dyDescent="0.25">
      <c r="A4259" t="str">
        <f>"5363"</f>
        <v>5363</v>
      </c>
      <c r="B4259" t="str">
        <f t="shared" si="278"/>
        <v>1</v>
      </c>
      <c r="C4259" t="str">
        <f t="shared" si="279"/>
        <v>237</v>
      </c>
      <c r="D4259" t="str">
        <f>"15"</f>
        <v>15</v>
      </c>
      <c r="E4259" t="str">
        <f>"1-237-15"</f>
        <v>1-237-15</v>
      </c>
      <c r="F4259" t="s">
        <v>15</v>
      </c>
      <c r="G4259" t="s">
        <v>16</v>
      </c>
      <c r="H4259" t="s">
        <v>17</v>
      </c>
      <c r="I4259">
        <v>1</v>
      </c>
      <c r="J4259">
        <v>0</v>
      </c>
      <c r="K4259">
        <v>0</v>
      </c>
    </row>
    <row r="4260" spans="1:11" x14ac:dyDescent="0.25">
      <c r="A4260" t="str">
        <f>"5365"</f>
        <v>5365</v>
      </c>
      <c r="B4260" t="str">
        <f t="shared" si="278"/>
        <v>1</v>
      </c>
      <c r="C4260" t="str">
        <f t="shared" si="279"/>
        <v>237</v>
      </c>
      <c r="D4260" t="str">
        <f>"22"</f>
        <v>22</v>
      </c>
      <c r="E4260" t="str">
        <f>"1-237-22"</f>
        <v>1-237-22</v>
      </c>
      <c r="F4260" t="s">
        <v>15</v>
      </c>
      <c r="G4260" t="s">
        <v>16</v>
      </c>
      <c r="H4260" t="s">
        <v>17</v>
      </c>
      <c r="I4260">
        <v>0</v>
      </c>
      <c r="J4260">
        <v>1</v>
      </c>
      <c r="K4260">
        <v>0</v>
      </c>
    </row>
    <row r="4261" spans="1:11" x14ac:dyDescent="0.25">
      <c r="A4261" t="str">
        <f>"5366"</f>
        <v>5366</v>
      </c>
      <c r="B4261" t="str">
        <f t="shared" si="278"/>
        <v>1</v>
      </c>
      <c r="C4261" t="str">
        <f t="shared" si="279"/>
        <v>237</v>
      </c>
      <c r="D4261" t="str">
        <f>"16"</f>
        <v>16</v>
      </c>
      <c r="E4261" t="str">
        <f>"1-237-16"</f>
        <v>1-237-16</v>
      </c>
      <c r="F4261" t="s">
        <v>15</v>
      </c>
      <c r="G4261" t="s">
        <v>16</v>
      </c>
      <c r="H4261" t="s">
        <v>17</v>
      </c>
      <c r="I4261">
        <v>1</v>
      </c>
      <c r="J4261">
        <v>0</v>
      </c>
      <c r="K4261">
        <v>0</v>
      </c>
    </row>
    <row r="4262" spans="1:11" x14ac:dyDescent="0.25">
      <c r="A4262" t="str">
        <f>"5368"</f>
        <v>5368</v>
      </c>
      <c r="B4262" t="str">
        <f t="shared" si="278"/>
        <v>1</v>
      </c>
      <c r="C4262" t="str">
        <f t="shared" si="279"/>
        <v>237</v>
      </c>
      <c r="D4262" t="str">
        <f>"17"</f>
        <v>17</v>
      </c>
      <c r="E4262" t="str">
        <f>"1-237-17"</f>
        <v>1-237-17</v>
      </c>
      <c r="F4262" t="s">
        <v>15</v>
      </c>
      <c r="G4262" t="s">
        <v>16</v>
      </c>
      <c r="H4262" t="s">
        <v>17</v>
      </c>
      <c r="I4262">
        <v>1</v>
      </c>
      <c r="J4262">
        <v>0</v>
      </c>
      <c r="K4262">
        <v>0</v>
      </c>
    </row>
    <row r="4263" spans="1:11" x14ac:dyDescent="0.25">
      <c r="A4263" t="str">
        <f>"5369"</f>
        <v>5369</v>
      </c>
      <c r="B4263" t="str">
        <f t="shared" si="278"/>
        <v>1</v>
      </c>
      <c r="C4263" t="str">
        <f t="shared" si="279"/>
        <v>237</v>
      </c>
      <c r="D4263" t="str">
        <f>"8"</f>
        <v>8</v>
      </c>
      <c r="E4263" t="str">
        <f>"1-237-8"</f>
        <v>1-237-8</v>
      </c>
      <c r="F4263" t="s">
        <v>15</v>
      </c>
      <c r="G4263" t="s">
        <v>16</v>
      </c>
      <c r="H4263" t="s">
        <v>17</v>
      </c>
      <c r="I4263">
        <v>0</v>
      </c>
      <c r="J4263">
        <v>1</v>
      </c>
      <c r="K4263">
        <v>0</v>
      </c>
    </row>
    <row r="4264" spans="1:11" x14ac:dyDescent="0.25">
      <c r="A4264" t="str">
        <f>"5370"</f>
        <v>5370</v>
      </c>
      <c r="B4264" t="str">
        <f t="shared" si="278"/>
        <v>1</v>
      </c>
      <c r="C4264" t="str">
        <f t="shared" si="279"/>
        <v>237</v>
      </c>
      <c r="D4264" t="str">
        <f>"27"</f>
        <v>27</v>
      </c>
      <c r="E4264" t="str">
        <f>"1-237-27"</f>
        <v>1-237-27</v>
      </c>
      <c r="F4264" t="s">
        <v>15</v>
      </c>
      <c r="G4264" t="s">
        <v>16</v>
      </c>
      <c r="H4264" t="s">
        <v>17</v>
      </c>
      <c r="I4264">
        <v>0</v>
      </c>
      <c r="J4264">
        <v>1</v>
      </c>
      <c r="K4264">
        <v>0</v>
      </c>
    </row>
    <row r="4265" spans="1:11" x14ac:dyDescent="0.25">
      <c r="A4265" t="str">
        <f>"5371"</f>
        <v>5371</v>
      </c>
      <c r="B4265" t="str">
        <f t="shared" si="278"/>
        <v>1</v>
      </c>
      <c r="C4265" t="str">
        <f t="shared" si="279"/>
        <v>237</v>
      </c>
      <c r="D4265" t="str">
        <f>"18"</f>
        <v>18</v>
      </c>
      <c r="E4265" t="str">
        <f>"1-237-18"</f>
        <v>1-237-18</v>
      </c>
      <c r="F4265" t="s">
        <v>15</v>
      </c>
      <c r="G4265" t="s">
        <v>16</v>
      </c>
      <c r="H4265" t="s">
        <v>17</v>
      </c>
      <c r="I4265">
        <v>0</v>
      </c>
      <c r="J4265">
        <v>1</v>
      </c>
      <c r="K4265">
        <v>0</v>
      </c>
    </row>
    <row r="4266" spans="1:11" x14ac:dyDescent="0.25">
      <c r="A4266" t="str">
        <f>"5372"</f>
        <v>5372</v>
      </c>
      <c r="B4266" t="str">
        <f t="shared" si="278"/>
        <v>1</v>
      </c>
      <c r="C4266" t="str">
        <f t="shared" si="279"/>
        <v>237</v>
      </c>
      <c r="D4266" t="str">
        <f>"9"</f>
        <v>9</v>
      </c>
      <c r="E4266" t="str">
        <f>"1-237-9"</f>
        <v>1-237-9</v>
      </c>
      <c r="F4266" t="s">
        <v>15</v>
      </c>
      <c r="G4266" t="s">
        <v>16</v>
      </c>
      <c r="H4266" t="s">
        <v>17</v>
      </c>
      <c r="I4266">
        <v>0</v>
      </c>
      <c r="J4266">
        <v>0</v>
      </c>
      <c r="K4266">
        <v>1</v>
      </c>
    </row>
    <row r="4267" spans="1:11" x14ac:dyDescent="0.25">
      <c r="A4267" t="str">
        <f>"5373"</f>
        <v>5373</v>
      </c>
      <c r="B4267" t="str">
        <f t="shared" si="278"/>
        <v>1</v>
      </c>
      <c r="C4267" t="str">
        <f t="shared" si="279"/>
        <v>237</v>
      </c>
      <c r="D4267" t="str">
        <f>"21"</f>
        <v>21</v>
      </c>
      <c r="E4267" t="str">
        <f>"1-237-21"</f>
        <v>1-237-21</v>
      </c>
      <c r="F4267" t="s">
        <v>15</v>
      </c>
      <c r="G4267" t="s">
        <v>16</v>
      </c>
      <c r="H4267" t="s">
        <v>17</v>
      </c>
      <c r="I4267">
        <v>0</v>
      </c>
      <c r="J4267">
        <v>0</v>
      </c>
      <c r="K4267">
        <v>1</v>
      </c>
    </row>
    <row r="4268" spans="1:11" x14ac:dyDescent="0.25">
      <c r="A4268" t="str">
        <f>"5375"</f>
        <v>5375</v>
      </c>
      <c r="B4268" t="str">
        <f t="shared" si="278"/>
        <v>1</v>
      </c>
      <c r="C4268" t="str">
        <f t="shared" si="279"/>
        <v>237</v>
      </c>
      <c r="D4268" t="str">
        <f>"5"</f>
        <v>5</v>
      </c>
      <c r="E4268" t="str">
        <f>"1-237-5"</f>
        <v>1-237-5</v>
      </c>
      <c r="F4268" t="s">
        <v>15</v>
      </c>
      <c r="G4268" t="s">
        <v>20</v>
      </c>
      <c r="H4268" t="s">
        <v>21</v>
      </c>
      <c r="I4268">
        <v>0</v>
      </c>
      <c r="J4268">
        <v>0</v>
      </c>
      <c r="K4268">
        <v>1</v>
      </c>
    </row>
    <row r="4269" spans="1:11" x14ac:dyDescent="0.25">
      <c r="A4269" t="str">
        <f>"5376"</f>
        <v>5376</v>
      </c>
      <c r="B4269" t="str">
        <f t="shared" si="278"/>
        <v>1</v>
      </c>
      <c r="C4269" t="str">
        <f t="shared" si="279"/>
        <v>237</v>
      </c>
      <c r="D4269" t="str">
        <f>"24"</f>
        <v>24</v>
      </c>
      <c r="E4269" t="str">
        <f>"1-237-24"</f>
        <v>1-237-24</v>
      </c>
      <c r="F4269" t="s">
        <v>15</v>
      </c>
      <c r="G4269" t="s">
        <v>18</v>
      </c>
      <c r="H4269" t="s">
        <v>19</v>
      </c>
      <c r="I4269">
        <v>0</v>
      </c>
      <c r="J4269">
        <v>1</v>
      </c>
      <c r="K4269">
        <v>0</v>
      </c>
    </row>
    <row r="4270" spans="1:11" x14ac:dyDescent="0.25">
      <c r="A4270" t="str">
        <f>"5377"</f>
        <v>5377</v>
      </c>
      <c r="B4270" t="str">
        <f t="shared" si="278"/>
        <v>1</v>
      </c>
      <c r="C4270" t="str">
        <f t="shared" si="279"/>
        <v>237</v>
      </c>
      <c r="D4270" t="str">
        <f>"7"</f>
        <v>7</v>
      </c>
      <c r="E4270" t="str">
        <f>"1-237-7"</f>
        <v>1-237-7</v>
      </c>
      <c r="F4270" t="s">
        <v>15</v>
      </c>
      <c r="G4270" t="s">
        <v>16</v>
      </c>
      <c r="H4270" t="s">
        <v>17</v>
      </c>
      <c r="I4270">
        <v>1</v>
      </c>
      <c r="J4270">
        <v>0</v>
      </c>
      <c r="K4270">
        <v>0</v>
      </c>
    </row>
    <row r="4271" spans="1:11" x14ac:dyDescent="0.25">
      <c r="A4271" t="str">
        <f>"5378"</f>
        <v>5378</v>
      </c>
      <c r="B4271" t="str">
        <f t="shared" si="278"/>
        <v>1</v>
      </c>
      <c r="C4271" t="str">
        <f t="shared" si="279"/>
        <v>237</v>
      </c>
      <c r="D4271" t="str">
        <f>"25"</f>
        <v>25</v>
      </c>
      <c r="E4271" t="str">
        <f>"1-237-25"</f>
        <v>1-237-25</v>
      </c>
      <c r="F4271" t="s">
        <v>15</v>
      </c>
      <c r="G4271" t="s">
        <v>18</v>
      </c>
      <c r="H4271" t="s">
        <v>19</v>
      </c>
      <c r="I4271">
        <v>1</v>
      </c>
      <c r="J4271">
        <v>0</v>
      </c>
      <c r="K4271">
        <v>0</v>
      </c>
    </row>
    <row r="4272" spans="1:11" x14ac:dyDescent="0.25">
      <c r="A4272" t="str">
        <f>"5379"</f>
        <v>5379</v>
      </c>
      <c r="B4272" t="str">
        <f t="shared" si="278"/>
        <v>1</v>
      </c>
      <c r="C4272" t="str">
        <f t="shared" si="279"/>
        <v>237</v>
      </c>
      <c r="D4272" t="str">
        <f>"2"</f>
        <v>2</v>
      </c>
      <c r="E4272" t="str">
        <f>"1-237-2"</f>
        <v>1-237-2</v>
      </c>
      <c r="F4272" t="s">
        <v>15</v>
      </c>
      <c r="G4272" t="s">
        <v>16</v>
      </c>
      <c r="H4272" t="s">
        <v>17</v>
      </c>
      <c r="I4272">
        <v>0</v>
      </c>
      <c r="J4272">
        <v>0</v>
      </c>
      <c r="K4272">
        <v>1</v>
      </c>
    </row>
    <row r="4273" spans="1:11" x14ac:dyDescent="0.25">
      <c r="A4273" t="str">
        <f>"5380"</f>
        <v>5380</v>
      </c>
      <c r="B4273" t="str">
        <f t="shared" si="278"/>
        <v>1</v>
      </c>
      <c r="C4273" t="str">
        <f t="shared" si="279"/>
        <v>237</v>
      </c>
      <c r="D4273" t="str">
        <f>"14"</f>
        <v>14</v>
      </c>
      <c r="E4273" t="str">
        <f>"1-237-14"</f>
        <v>1-237-14</v>
      </c>
      <c r="F4273" t="s">
        <v>15</v>
      </c>
      <c r="G4273" t="s">
        <v>18</v>
      </c>
      <c r="H4273" t="s">
        <v>19</v>
      </c>
      <c r="I4273">
        <v>1</v>
      </c>
      <c r="J4273">
        <v>0</v>
      </c>
      <c r="K4273">
        <v>0</v>
      </c>
    </row>
    <row r="4274" spans="1:11" x14ac:dyDescent="0.25">
      <c r="A4274" t="str">
        <f>"5381"</f>
        <v>5381</v>
      </c>
      <c r="B4274" t="str">
        <f t="shared" si="278"/>
        <v>1</v>
      </c>
      <c r="C4274" t="str">
        <f t="shared" si="279"/>
        <v>237</v>
      </c>
      <c r="D4274" t="str">
        <f>"28"</f>
        <v>28</v>
      </c>
      <c r="E4274" t="str">
        <f>"1-237-28"</f>
        <v>1-237-28</v>
      </c>
      <c r="F4274" t="s">
        <v>15</v>
      </c>
      <c r="G4274" t="s">
        <v>16</v>
      </c>
      <c r="H4274" t="s">
        <v>17</v>
      </c>
      <c r="I4274">
        <v>0</v>
      </c>
      <c r="J4274">
        <v>1</v>
      </c>
      <c r="K4274">
        <v>0</v>
      </c>
    </row>
    <row r="4275" spans="1:11" x14ac:dyDescent="0.25">
      <c r="A4275" t="str">
        <f>"5382"</f>
        <v>5382</v>
      </c>
      <c r="B4275" t="str">
        <f t="shared" si="278"/>
        <v>1</v>
      </c>
      <c r="C4275" t="str">
        <f t="shared" si="279"/>
        <v>237</v>
      </c>
      <c r="D4275" t="str">
        <f>"6"</f>
        <v>6</v>
      </c>
      <c r="E4275" t="str">
        <f>"1-237-6"</f>
        <v>1-237-6</v>
      </c>
      <c r="F4275" t="s">
        <v>15</v>
      </c>
      <c r="G4275" t="s">
        <v>20</v>
      </c>
      <c r="H4275" t="s">
        <v>21</v>
      </c>
      <c r="I4275">
        <v>0</v>
      </c>
      <c r="J4275">
        <v>0</v>
      </c>
      <c r="K4275">
        <v>1</v>
      </c>
    </row>
    <row r="4276" spans="1:11" x14ac:dyDescent="0.25">
      <c r="A4276" t="str">
        <f>"5383"</f>
        <v>5383</v>
      </c>
      <c r="B4276" t="str">
        <f t="shared" si="278"/>
        <v>1</v>
      </c>
      <c r="C4276" t="str">
        <f t="shared" si="279"/>
        <v>237</v>
      </c>
      <c r="D4276" t="str">
        <f>"4"</f>
        <v>4</v>
      </c>
      <c r="E4276" t="str">
        <f>"1-237-4"</f>
        <v>1-237-4</v>
      </c>
      <c r="F4276" t="s">
        <v>15</v>
      </c>
      <c r="G4276" t="s">
        <v>16</v>
      </c>
      <c r="H4276" t="s">
        <v>17</v>
      </c>
      <c r="I4276">
        <v>1</v>
      </c>
      <c r="J4276">
        <v>0</v>
      </c>
      <c r="K4276">
        <v>0</v>
      </c>
    </row>
    <row r="4277" spans="1:11" x14ac:dyDescent="0.25">
      <c r="A4277" t="str">
        <f>"5384"</f>
        <v>5384</v>
      </c>
      <c r="B4277" t="str">
        <f t="shared" si="278"/>
        <v>1</v>
      </c>
      <c r="C4277" t="str">
        <f t="shared" si="279"/>
        <v>237</v>
      </c>
      <c r="D4277" t="str">
        <f>"13"</f>
        <v>13</v>
      </c>
      <c r="E4277" t="str">
        <f>"1-237-13"</f>
        <v>1-237-13</v>
      </c>
      <c r="F4277" t="s">
        <v>15</v>
      </c>
      <c r="G4277" t="s">
        <v>16</v>
      </c>
      <c r="H4277" t="s">
        <v>17</v>
      </c>
      <c r="I4277">
        <v>0</v>
      </c>
      <c r="J4277">
        <v>1</v>
      </c>
      <c r="K4277">
        <v>0</v>
      </c>
    </row>
    <row r="4278" spans="1:11" x14ac:dyDescent="0.25">
      <c r="A4278" t="str">
        <f>"5385"</f>
        <v>5385</v>
      </c>
      <c r="B4278" t="str">
        <f t="shared" si="278"/>
        <v>1</v>
      </c>
      <c r="C4278" t="str">
        <f t="shared" si="279"/>
        <v>237</v>
      </c>
      <c r="D4278" t="str">
        <f>"10"</f>
        <v>10</v>
      </c>
      <c r="E4278" t="str">
        <f>"1-237-10"</f>
        <v>1-237-10</v>
      </c>
      <c r="F4278" t="s">
        <v>15</v>
      </c>
      <c r="G4278" t="s">
        <v>16</v>
      </c>
      <c r="H4278" t="s">
        <v>17</v>
      </c>
      <c r="I4278">
        <v>1</v>
      </c>
      <c r="J4278">
        <v>0</v>
      </c>
      <c r="K4278">
        <v>0</v>
      </c>
    </row>
    <row r="4279" spans="1:11" x14ac:dyDescent="0.25">
      <c r="A4279" t="str">
        <f>"5386"</f>
        <v>5386</v>
      </c>
      <c r="B4279" t="str">
        <f t="shared" si="278"/>
        <v>1</v>
      </c>
      <c r="C4279" t="str">
        <f t="shared" si="279"/>
        <v>237</v>
      </c>
      <c r="D4279" t="str">
        <f>"11"</f>
        <v>11</v>
      </c>
      <c r="E4279" t="str">
        <f>"1-237-11"</f>
        <v>1-237-11</v>
      </c>
      <c r="F4279" t="s">
        <v>15</v>
      </c>
      <c r="G4279" t="s">
        <v>16</v>
      </c>
      <c r="H4279" t="s">
        <v>17</v>
      </c>
      <c r="I4279">
        <v>1</v>
      </c>
      <c r="J4279">
        <v>0</v>
      </c>
      <c r="K4279">
        <v>0</v>
      </c>
    </row>
    <row r="4280" spans="1:11" x14ac:dyDescent="0.25">
      <c r="A4280" t="str">
        <f>"5387"</f>
        <v>5387</v>
      </c>
      <c r="B4280" t="str">
        <f t="shared" si="278"/>
        <v>1</v>
      </c>
      <c r="C4280" t="str">
        <f t="shared" si="279"/>
        <v>237</v>
      </c>
      <c r="D4280" t="str">
        <f>"29"</f>
        <v>29</v>
      </c>
      <c r="E4280" t="str">
        <f>"1-237-29"</f>
        <v>1-237-29</v>
      </c>
      <c r="F4280" t="s">
        <v>15</v>
      </c>
      <c r="G4280" t="s">
        <v>16</v>
      </c>
      <c r="H4280" t="s">
        <v>17</v>
      </c>
      <c r="I4280">
        <v>0</v>
      </c>
      <c r="J4280">
        <v>1</v>
      </c>
      <c r="K4280">
        <v>0</v>
      </c>
    </row>
    <row r="4281" spans="1:11" x14ac:dyDescent="0.25">
      <c r="A4281" t="str">
        <f>"5388"</f>
        <v>5388</v>
      </c>
      <c r="B4281" t="str">
        <f t="shared" si="278"/>
        <v>1</v>
      </c>
      <c r="C4281" t="str">
        <f t="shared" si="279"/>
        <v>237</v>
      </c>
      <c r="D4281" t="str">
        <f>"20"</f>
        <v>20</v>
      </c>
      <c r="E4281" t="str">
        <f>"1-237-20"</f>
        <v>1-237-20</v>
      </c>
      <c r="F4281" t="s">
        <v>15</v>
      </c>
      <c r="G4281" t="s">
        <v>16</v>
      </c>
      <c r="H4281" t="s">
        <v>17</v>
      </c>
      <c r="I4281">
        <v>0</v>
      </c>
      <c r="J4281">
        <v>0</v>
      </c>
      <c r="K4281">
        <v>0</v>
      </c>
    </row>
    <row r="4282" spans="1:11" x14ac:dyDescent="0.25">
      <c r="A4282" t="str">
        <f>"5389"</f>
        <v>5389</v>
      </c>
      <c r="B4282" t="str">
        <f t="shared" si="278"/>
        <v>1</v>
      </c>
      <c r="C4282" t="str">
        <f t="shared" si="279"/>
        <v>237</v>
      </c>
      <c r="D4282" t="str">
        <f>"26"</f>
        <v>26</v>
      </c>
      <c r="E4282" t="str">
        <f>"1-237-26"</f>
        <v>1-237-26</v>
      </c>
      <c r="F4282" t="s">
        <v>15</v>
      </c>
      <c r="G4282" t="s">
        <v>18</v>
      </c>
      <c r="H4282" t="s">
        <v>19</v>
      </c>
      <c r="I4282">
        <v>0</v>
      </c>
      <c r="J4282">
        <v>0</v>
      </c>
      <c r="K4282">
        <v>0</v>
      </c>
    </row>
    <row r="4283" spans="1:11" x14ac:dyDescent="0.25">
      <c r="A4283" t="str">
        <f>"5390"</f>
        <v>5390</v>
      </c>
      <c r="B4283" t="str">
        <f t="shared" si="278"/>
        <v>1</v>
      </c>
      <c r="C4283" t="str">
        <f t="shared" si="279"/>
        <v>237</v>
      </c>
      <c r="D4283" t="str">
        <f>"12"</f>
        <v>12</v>
      </c>
      <c r="E4283" t="str">
        <f>"1-237-12"</f>
        <v>1-237-12</v>
      </c>
      <c r="F4283" t="s">
        <v>15</v>
      </c>
      <c r="G4283" t="s">
        <v>16</v>
      </c>
      <c r="H4283" t="s">
        <v>17</v>
      </c>
      <c r="I4283">
        <v>0</v>
      </c>
      <c r="J4283">
        <v>0</v>
      </c>
      <c r="K4283">
        <v>0</v>
      </c>
    </row>
    <row r="4284" spans="1:11" x14ac:dyDescent="0.25">
      <c r="A4284" t="str">
        <f>"5392"</f>
        <v>5392</v>
      </c>
      <c r="B4284" t="str">
        <f t="shared" si="278"/>
        <v>1</v>
      </c>
      <c r="C4284" t="str">
        <f t="shared" ref="C4284:C4310" si="280">"238"</f>
        <v>238</v>
      </c>
      <c r="D4284" t="str">
        <f>"15"</f>
        <v>15</v>
      </c>
      <c r="E4284" t="str">
        <f>"1-238-15"</f>
        <v>1-238-15</v>
      </c>
      <c r="F4284" t="s">
        <v>15</v>
      </c>
      <c r="G4284" t="s">
        <v>16</v>
      </c>
      <c r="H4284" t="s">
        <v>17</v>
      </c>
      <c r="I4284">
        <v>0</v>
      </c>
      <c r="J4284">
        <v>1</v>
      </c>
      <c r="K4284">
        <v>0</v>
      </c>
    </row>
    <row r="4285" spans="1:11" x14ac:dyDescent="0.25">
      <c r="A4285" t="str">
        <f>"5393"</f>
        <v>5393</v>
      </c>
      <c r="B4285" t="str">
        <f t="shared" si="278"/>
        <v>1</v>
      </c>
      <c r="C4285" t="str">
        <f t="shared" si="280"/>
        <v>238</v>
      </c>
      <c r="D4285" t="str">
        <f>"9"</f>
        <v>9</v>
      </c>
      <c r="E4285" t="str">
        <f>"1-238-9"</f>
        <v>1-238-9</v>
      </c>
      <c r="F4285" t="s">
        <v>15</v>
      </c>
      <c r="G4285" t="s">
        <v>16</v>
      </c>
      <c r="H4285" t="s">
        <v>17</v>
      </c>
      <c r="I4285">
        <v>0</v>
      </c>
      <c r="J4285">
        <v>0</v>
      </c>
      <c r="K4285">
        <v>1</v>
      </c>
    </row>
    <row r="4286" spans="1:11" x14ac:dyDescent="0.25">
      <c r="A4286" t="str">
        <f>"5394"</f>
        <v>5394</v>
      </c>
      <c r="B4286" t="str">
        <f t="shared" si="278"/>
        <v>1</v>
      </c>
      <c r="C4286" t="str">
        <f t="shared" si="280"/>
        <v>238</v>
      </c>
      <c r="D4286" t="str">
        <f>"26"</f>
        <v>26</v>
      </c>
      <c r="E4286" t="str">
        <f>"1-238-26"</f>
        <v>1-238-26</v>
      </c>
      <c r="F4286" t="s">
        <v>15</v>
      </c>
      <c r="G4286" t="s">
        <v>16</v>
      </c>
      <c r="H4286" t="s">
        <v>17</v>
      </c>
      <c r="I4286">
        <v>0</v>
      </c>
      <c r="J4286">
        <v>0</v>
      </c>
      <c r="K4286">
        <v>1</v>
      </c>
    </row>
    <row r="4287" spans="1:11" x14ac:dyDescent="0.25">
      <c r="A4287" t="str">
        <f>"5395"</f>
        <v>5395</v>
      </c>
      <c r="B4287" t="str">
        <f t="shared" si="278"/>
        <v>1</v>
      </c>
      <c r="C4287" t="str">
        <f t="shared" si="280"/>
        <v>238</v>
      </c>
      <c r="D4287" t="str">
        <f>"16"</f>
        <v>16</v>
      </c>
      <c r="E4287" t="str">
        <f>"1-238-16"</f>
        <v>1-238-16</v>
      </c>
      <c r="F4287" t="s">
        <v>15</v>
      </c>
      <c r="G4287" t="s">
        <v>16</v>
      </c>
      <c r="H4287" t="s">
        <v>17</v>
      </c>
      <c r="I4287">
        <v>1</v>
      </c>
      <c r="J4287">
        <v>0</v>
      </c>
      <c r="K4287">
        <v>0</v>
      </c>
    </row>
    <row r="4288" spans="1:11" x14ac:dyDescent="0.25">
      <c r="A4288" t="str">
        <f>"5396"</f>
        <v>5396</v>
      </c>
      <c r="B4288" t="str">
        <f t="shared" si="278"/>
        <v>1</v>
      </c>
      <c r="C4288" t="str">
        <f t="shared" si="280"/>
        <v>238</v>
      </c>
      <c r="D4288" t="str">
        <f>"12"</f>
        <v>12</v>
      </c>
      <c r="E4288" t="str">
        <f>"1-238-12"</f>
        <v>1-238-12</v>
      </c>
      <c r="F4288" t="s">
        <v>15</v>
      </c>
      <c r="G4288" t="s">
        <v>16</v>
      </c>
      <c r="H4288" t="s">
        <v>17</v>
      </c>
      <c r="I4288">
        <v>0</v>
      </c>
      <c r="J4288">
        <v>1</v>
      </c>
      <c r="K4288">
        <v>0</v>
      </c>
    </row>
    <row r="4289" spans="1:11" x14ac:dyDescent="0.25">
      <c r="A4289" t="str">
        <f>"5397"</f>
        <v>5397</v>
      </c>
      <c r="B4289" t="str">
        <f t="shared" si="278"/>
        <v>1</v>
      </c>
      <c r="C4289" t="str">
        <f t="shared" si="280"/>
        <v>238</v>
      </c>
      <c r="D4289" t="str">
        <f>"17"</f>
        <v>17</v>
      </c>
      <c r="E4289" t="str">
        <f>"1-238-17"</f>
        <v>1-238-17</v>
      </c>
      <c r="F4289" t="s">
        <v>15</v>
      </c>
      <c r="G4289" t="s">
        <v>16</v>
      </c>
      <c r="H4289" t="s">
        <v>17</v>
      </c>
      <c r="I4289">
        <v>1</v>
      </c>
      <c r="J4289">
        <v>0</v>
      </c>
      <c r="K4289">
        <v>0</v>
      </c>
    </row>
    <row r="4290" spans="1:11" x14ac:dyDescent="0.25">
      <c r="A4290" t="str">
        <f>"5398"</f>
        <v>5398</v>
      </c>
      <c r="B4290" t="str">
        <f t="shared" si="278"/>
        <v>1</v>
      </c>
      <c r="C4290" t="str">
        <f t="shared" si="280"/>
        <v>238</v>
      </c>
      <c r="D4290" t="str">
        <f>"7"</f>
        <v>7</v>
      </c>
      <c r="E4290" t="str">
        <f>"1-238-7"</f>
        <v>1-238-7</v>
      </c>
      <c r="F4290" t="s">
        <v>15</v>
      </c>
      <c r="G4290" t="s">
        <v>16</v>
      </c>
      <c r="H4290" t="s">
        <v>17</v>
      </c>
      <c r="I4290">
        <v>0</v>
      </c>
      <c r="J4290">
        <v>0</v>
      </c>
      <c r="K4290">
        <v>1</v>
      </c>
    </row>
    <row r="4291" spans="1:11" x14ac:dyDescent="0.25">
      <c r="A4291" t="str">
        <f>"5399"</f>
        <v>5399</v>
      </c>
      <c r="B4291" t="str">
        <f t="shared" si="278"/>
        <v>1</v>
      </c>
      <c r="C4291" t="str">
        <f t="shared" si="280"/>
        <v>238</v>
      </c>
      <c r="D4291" t="str">
        <f>"18"</f>
        <v>18</v>
      </c>
      <c r="E4291" t="str">
        <f>"1-238-18"</f>
        <v>1-238-18</v>
      </c>
      <c r="F4291" t="s">
        <v>15</v>
      </c>
      <c r="G4291" t="s">
        <v>16</v>
      </c>
      <c r="H4291" t="s">
        <v>17</v>
      </c>
      <c r="I4291">
        <v>1</v>
      </c>
      <c r="J4291">
        <v>0</v>
      </c>
      <c r="K4291">
        <v>0</v>
      </c>
    </row>
    <row r="4292" spans="1:11" x14ac:dyDescent="0.25">
      <c r="A4292" t="str">
        <f>"5400"</f>
        <v>5400</v>
      </c>
      <c r="B4292" t="str">
        <f t="shared" si="278"/>
        <v>1</v>
      </c>
      <c r="C4292" t="str">
        <f t="shared" si="280"/>
        <v>238</v>
      </c>
      <c r="D4292" t="str">
        <f>"6"</f>
        <v>6</v>
      </c>
      <c r="E4292" t="str">
        <f>"1-238-6"</f>
        <v>1-238-6</v>
      </c>
      <c r="F4292" t="s">
        <v>15</v>
      </c>
      <c r="G4292" t="s">
        <v>18</v>
      </c>
      <c r="H4292" t="s">
        <v>19</v>
      </c>
      <c r="I4292">
        <v>0</v>
      </c>
      <c r="J4292">
        <v>0</v>
      </c>
      <c r="K4292">
        <v>1</v>
      </c>
    </row>
    <row r="4293" spans="1:11" x14ac:dyDescent="0.25">
      <c r="A4293" t="str">
        <f>"5401"</f>
        <v>5401</v>
      </c>
      <c r="B4293" t="str">
        <f t="shared" si="278"/>
        <v>1</v>
      </c>
      <c r="C4293" t="str">
        <f t="shared" si="280"/>
        <v>238</v>
      </c>
      <c r="D4293" t="str">
        <f>"19"</f>
        <v>19</v>
      </c>
      <c r="E4293" t="str">
        <f>"1-238-19"</f>
        <v>1-238-19</v>
      </c>
      <c r="F4293" t="s">
        <v>15</v>
      </c>
      <c r="G4293" t="s">
        <v>16</v>
      </c>
      <c r="H4293" t="s">
        <v>17</v>
      </c>
      <c r="I4293">
        <v>1</v>
      </c>
      <c r="J4293">
        <v>0</v>
      </c>
      <c r="K4293">
        <v>0</v>
      </c>
    </row>
    <row r="4294" spans="1:11" x14ac:dyDescent="0.25">
      <c r="A4294" t="str">
        <f>"5402"</f>
        <v>5402</v>
      </c>
      <c r="B4294" t="str">
        <f t="shared" ref="B4294:B4332" si="281">"1"</f>
        <v>1</v>
      </c>
      <c r="C4294" t="str">
        <f t="shared" si="280"/>
        <v>238</v>
      </c>
      <c r="D4294" t="str">
        <f>"1"</f>
        <v>1</v>
      </c>
      <c r="E4294" t="str">
        <f>"1-238-1"</f>
        <v>1-238-1</v>
      </c>
      <c r="F4294" t="s">
        <v>15</v>
      </c>
      <c r="G4294" t="s">
        <v>16</v>
      </c>
      <c r="H4294" t="s">
        <v>17</v>
      </c>
      <c r="I4294">
        <v>1</v>
      </c>
      <c r="J4294">
        <v>0</v>
      </c>
      <c r="K4294">
        <v>0</v>
      </c>
    </row>
    <row r="4295" spans="1:11" x14ac:dyDescent="0.25">
      <c r="A4295" t="str">
        <f>"5403"</f>
        <v>5403</v>
      </c>
      <c r="B4295" t="str">
        <f t="shared" si="281"/>
        <v>1</v>
      </c>
      <c r="C4295" t="str">
        <f t="shared" si="280"/>
        <v>238</v>
      </c>
      <c r="D4295" t="str">
        <f>"20"</f>
        <v>20</v>
      </c>
      <c r="E4295" t="str">
        <f>"1-238-20"</f>
        <v>1-238-20</v>
      </c>
      <c r="F4295" t="s">
        <v>15</v>
      </c>
      <c r="G4295" t="s">
        <v>18</v>
      </c>
      <c r="H4295" t="s">
        <v>19</v>
      </c>
      <c r="I4295">
        <v>0</v>
      </c>
      <c r="J4295">
        <v>0</v>
      </c>
      <c r="K4295">
        <v>1</v>
      </c>
    </row>
    <row r="4296" spans="1:11" x14ac:dyDescent="0.25">
      <c r="A4296" t="str">
        <f>"5404"</f>
        <v>5404</v>
      </c>
      <c r="B4296" t="str">
        <f t="shared" si="281"/>
        <v>1</v>
      </c>
      <c r="C4296" t="str">
        <f t="shared" si="280"/>
        <v>238</v>
      </c>
      <c r="D4296" t="str">
        <f>"13"</f>
        <v>13</v>
      </c>
      <c r="E4296" t="str">
        <f>"1-238-13"</f>
        <v>1-238-13</v>
      </c>
      <c r="F4296" t="s">
        <v>15</v>
      </c>
      <c r="G4296" t="s">
        <v>18</v>
      </c>
      <c r="H4296" t="s">
        <v>19</v>
      </c>
      <c r="I4296">
        <v>0</v>
      </c>
      <c r="J4296">
        <v>1</v>
      </c>
      <c r="K4296">
        <v>0</v>
      </c>
    </row>
    <row r="4297" spans="1:11" x14ac:dyDescent="0.25">
      <c r="A4297" t="str">
        <f>"5405"</f>
        <v>5405</v>
      </c>
      <c r="B4297" t="str">
        <f t="shared" si="281"/>
        <v>1</v>
      </c>
      <c r="C4297" t="str">
        <f t="shared" si="280"/>
        <v>238</v>
      </c>
      <c r="D4297" t="str">
        <f>"21"</f>
        <v>21</v>
      </c>
      <c r="E4297" t="str">
        <f>"1-238-21"</f>
        <v>1-238-21</v>
      </c>
      <c r="F4297" t="s">
        <v>15</v>
      </c>
      <c r="G4297" t="s">
        <v>16</v>
      </c>
      <c r="H4297" t="s">
        <v>17</v>
      </c>
      <c r="I4297">
        <v>1</v>
      </c>
      <c r="J4297">
        <v>0</v>
      </c>
      <c r="K4297">
        <v>0</v>
      </c>
    </row>
    <row r="4298" spans="1:11" x14ac:dyDescent="0.25">
      <c r="A4298" t="str">
        <f>"5406"</f>
        <v>5406</v>
      </c>
      <c r="B4298" t="str">
        <f t="shared" si="281"/>
        <v>1</v>
      </c>
      <c r="C4298" t="str">
        <f t="shared" si="280"/>
        <v>238</v>
      </c>
      <c r="D4298" t="str">
        <f>"4"</f>
        <v>4</v>
      </c>
      <c r="E4298" t="str">
        <f>"1-238-4"</f>
        <v>1-238-4</v>
      </c>
      <c r="F4298" t="s">
        <v>15</v>
      </c>
      <c r="G4298" t="s">
        <v>16</v>
      </c>
      <c r="H4298" t="s">
        <v>17</v>
      </c>
      <c r="I4298">
        <v>1</v>
      </c>
      <c r="J4298">
        <v>0</v>
      </c>
      <c r="K4298">
        <v>0</v>
      </c>
    </row>
    <row r="4299" spans="1:11" x14ac:dyDescent="0.25">
      <c r="A4299" t="str">
        <f>"5407"</f>
        <v>5407</v>
      </c>
      <c r="B4299" t="str">
        <f t="shared" si="281"/>
        <v>1</v>
      </c>
      <c r="C4299" t="str">
        <f t="shared" si="280"/>
        <v>238</v>
      </c>
      <c r="D4299" t="str">
        <f>"22"</f>
        <v>22</v>
      </c>
      <c r="E4299" t="str">
        <f>"1-238-22"</f>
        <v>1-238-22</v>
      </c>
      <c r="F4299" t="s">
        <v>15</v>
      </c>
      <c r="G4299" t="s">
        <v>16</v>
      </c>
      <c r="H4299" t="s">
        <v>17</v>
      </c>
      <c r="I4299">
        <v>1</v>
      </c>
      <c r="J4299">
        <v>0</v>
      </c>
      <c r="K4299">
        <v>0</v>
      </c>
    </row>
    <row r="4300" spans="1:11" x14ac:dyDescent="0.25">
      <c r="A4300" t="str">
        <f>"5408"</f>
        <v>5408</v>
      </c>
      <c r="B4300" t="str">
        <f t="shared" si="281"/>
        <v>1</v>
      </c>
      <c r="C4300" t="str">
        <f t="shared" si="280"/>
        <v>238</v>
      </c>
      <c r="D4300" t="str">
        <f>"10"</f>
        <v>10</v>
      </c>
      <c r="E4300" t="str">
        <f>"1-238-10"</f>
        <v>1-238-10</v>
      </c>
      <c r="F4300" t="s">
        <v>15</v>
      </c>
      <c r="G4300" t="s">
        <v>16</v>
      </c>
      <c r="H4300" t="s">
        <v>17</v>
      </c>
      <c r="I4300">
        <v>0</v>
      </c>
      <c r="J4300">
        <v>0</v>
      </c>
      <c r="K4300">
        <v>1</v>
      </c>
    </row>
    <row r="4301" spans="1:11" x14ac:dyDescent="0.25">
      <c r="A4301" t="str">
        <f>"5409"</f>
        <v>5409</v>
      </c>
      <c r="B4301" t="str">
        <f t="shared" si="281"/>
        <v>1</v>
      </c>
      <c r="C4301" t="str">
        <f t="shared" si="280"/>
        <v>238</v>
      </c>
      <c r="D4301" t="str">
        <f>"23"</f>
        <v>23</v>
      </c>
      <c r="E4301" t="str">
        <f>"1-238-23"</f>
        <v>1-238-23</v>
      </c>
      <c r="F4301" t="s">
        <v>15</v>
      </c>
      <c r="G4301" t="s">
        <v>16</v>
      </c>
      <c r="H4301" t="s">
        <v>17</v>
      </c>
      <c r="I4301">
        <v>0</v>
      </c>
      <c r="J4301">
        <v>1</v>
      </c>
      <c r="K4301">
        <v>0</v>
      </c>
    </row>
    <row r="4302" spans="1:11" x14ac:dyDescent="0.25">
      <c r="A4302" t="str">
        <f>"5410"</f>
        <v>5410</v>
      </c>
      <c r="B4302" t="str">
        <f t="shared" si="281"/>
        <v>1</v>
      </c>
      <c r="C4302" t="str">
        <f t="shared" si="280"/>
        <v>238</v>
      </c>
      <c r="D4302" t="str">
        <f>"8"</f>
        <v>8</v>
      </c>
      <c r="E4302" t="str">
        <f>"1-238-8"</f>
        <v>1-238-8</v>
      </c>
      <c r="F4302" t="s">
        <v>15</v>
      </c>
      <c r="G4302" t="s">
        <v>16</v>
      </c>
      <c r="H4302" t="s">
        <v>17</v>
      </c>
      <c r="I4302">
        <v>1</v>
      </c>
      <c r="J4302">
        <v>0</v>
      </c>
      <c r="K4302">
        <v>0</v>
      </c>
    </row>
    <row r="4303" spans="1:11" x14ac:dyDescent="0.25">
      <c r="A4303" t="str">
        <f>"5411"</f>
        <v>5411</v>
      </c>
      <c r="B4303" t="str">
        <f t="shared" si="281"/>
        <v>1</v>
      </c>
      <c r="C4303" t="str">
        <f t="shared" si="280"/>
        <v>238</v>
      </c>
      <c r="D4303" t="str">
        <f>"24"</f>
        <v>24</v>
      </c>
      <c r="E4303" t="str">
        <f>"1-238-24"</f>
        <v>1-238-24</v>
      </c>
      <c r="F4303" t="s">
        <v>15</v>
      </c>
      <c r="G4303" t="s">
        <v>16</v>
      </c>
      <c r="H4303" t="s">
        <v>17</v>
      </c>
      <c r="I4303">
        <v>0</v>
      </c>
      <c r="J4303">
        <v>1</v>
      </c>
      <c r="K4303">
        <v>0</v>
      </c>
    </row>
    <row r="4304" spans="1:11" x14ac:dyDescent="0.25">
      <c r="A4304" t="str">
        <f>"5412"</f>
        <v>5412</v>
      </c>
      <c r="B4304" t="str">
        <f t="shared" si="281"/>
        <v>1</v>
      </c>
      <c r="C4304" t="str">
        <f t="shared" si="280"/>
        <v>238</v>
      </c>
      <c r="D4304" t="str">
        <f>"14"</f>
        <v>14</v>
      </c>
      <c r="E4304" t="str">
        <f>"1-238-14"</f>
        <v>1-238-14</v>
      </c>
      <c r="F4304" t="s">
        <v>15</v>
      </c>
      <c r="G4304" t="s">
        <v>16</v>
      </c>
      <c r="H4304" t="s">
        <v>17</v>
      </c>
      <c r="I4304">
        <v>0</v>
      </c>
      <c r="J4304">
        <v>1</v>
      </c>
      <c r="K4304">
        <v>0</v>
      </c>
    </row>
    <row r="4305" spans="1:11" x14ac:dyDescent="0.25">
      <c r="A4305" t="str">
        <f>"5413"</f>
        <v>5413</v>
      </c>
      <c r="B4305" t="str">
        <f t="shared" si="281"/>
        <v>1</v>
      </c>
      <c r="C4305" t="str">
        <f t="shared" si="280"/>
        <v>238</v>
      </c>
      <c r="D4305" t="str">
        <f>"27"</f>
        <v>27</v>
      </c>
      <c r="E4305" t="str">
        <f>"1-238-27"</f>
        <v>1-238-27</v>
      </c>
      <c r="F4305" t="s">
        <v>15</v>
      </c>
      <c r="G4305" t="s">
        <v>16</v>
      </c>
      <c r="H4305" t="s">
        <v>17</v>
      </c>
      <c r="I4305">
        <v>0</v>
      </c>
      <c r="J4305">
        <v>1</v>
      </c>
      <c r="K4305">
        <v>0</v>
      </c>
    </row>
    <row r="4306" spans="1:11" x14ac:dyDescent="0.25">
      <c r="A4306" t="str">
        <f>"5414"</f>
        <v>5414</v>
      </c>
      <c r="B4306" t="str">
        <f t="shared" si="281"/>
        <v>1</v>
      </c>
      <c r="C4306" t="str">
        <f t="shared" si="280"/>
        <v>238</v>
      </c>
      <c r="D4306" t="str">
        <f>"5"</f>
        <v>5</v>
      </c>
      <c r="E4306" t="str">
        <f>"1-238-5"</f>
        <v>1-238-5</v>
      </c>
      <c r="F4306" t="s">
        <v>15</v>
      </c>
      <c r="G4306" t="s">
        <v>16</v>
      </c>
      <c r="H4306" t="s">
        <v>17</v>
      </c>
      <c r="I4306">
        <v>0</v>
      </c>
      <c r="J4306">
        <v>0</v>
      </c>
      <c r="K4306">
        <v>1</v>
      </c>
    </row>
    <row r="4307" spans="1:11" x14ac:dyDescent="0.25">
      <c r="A4307" t="str">
        <f>"5415"</f>
        <v>5415</v>
      </c>
      <c r="B4307" t="str">
        <f t="shared" si="281"/>
        <v>1</v>
      </c>
      <c r="C4307" t="str">
        <f t="shared" si="280"/>
        <v>238</v>
      </c>
      <c r="D4307" t="str">
        <f>"28"</f>
        <v>28</v>
      </c>
      <c r="E4307" t="str">
        <f>"1-238-28"</f>
        <v>1-238-28</v>
      </c>
      <c r="F4307" t="s">
        <v>15</v>
      </c>
      <c r="G4307" t="s">
        <v>16</v>
      </c>
      <c r="H4307" t="s">
        <v>17</v>
      </c>
      <c r="I4307">
        <v>0</v>
      </c>
      <c r="J4307">
        <v>1</v>
      </c>
      <c r="K4307">
        <v>0</v>
      </c>
    </row>
    <row r="4308" spans="1:11" x14ac:dyDescent="0.25">
      <c r="A4308" t="str">
        <f>"5416"</f>
        <v>5416</v>
      </c>
      <c r="B4308" t="str">
        <f t="shared" si="281"/>
        <v>1</v>
      </c>
      <c r="C4308" t="str">
        <f t="shared" si="280"/>
        <v>238</v>
      </c>
      <c r="D4308" t="str">
        <f>"11"</f>
        <v>11</v>
      </c>
      <c r="E4308" t="str">
        <f>"1-238-11"</f>
        <v>1-238-11</v>
      </c>
      <c r="F4308" t="s">
        <v>15</v>
      </c>
      <c r="G4308" t="s">
        <v>16</v>
      </c>
      <c r="H4308" t="s">
        <v>17</v>
      </c>
      <c r="I4308">
        <v>0</v>
      </c>
      <c r="J4308">
        <v>0</v>
      </c>
      <c r="K4308">
        <v>1</v>
      </c>
    </row>
    <row r="4309" spans="1:11" x14ac:dyDescent="0.25">
      <c r="A4309" t="str">
        <f>"5418"</f>
        <v>5418</v>
      </c>
      <c r="B4309" t="str">
        <f t="shared" si="281"/>
        <v>1</v>
      </c>
      <c r="C4309" t="str">
        <f t="shared" si="280"/>
        <v>238</v>
      </c>
      <c r="D4309" t="str">
        <f>"3"</f>
        <v>3</v>
      </c>
      <c r="E4309" t="str">
        <f>"1-238-3"</f>
        <v>1-238-3</v>
      </c>
      <c r="F4309" t="s">
        <v>15</v>
      </c>
      <c r="G4309" t="s">
        <v>16</v>
      </c>
      <c r="H4309" t="s">
        <v>17</v>
      </c>
      <c r="I4309">
        <v>0</v>
      </c>
      <c r="J4309">
        <v>1</v>
      </c>
      <c r="K4309">
        <v>0</v>
      </c>
    </row>
    <row r="4310" spans="1:11" x14ac:dyDescent="0.25">
      <c r="A4310" t="str">
        <f>"5419"</f>
        <v>5419</v>
      </c>
      <c r="B4310" t="str">
        <f t="shared" si="281"/>
        <v>1</v>
      </c>
      <c r="C4310" t="str">
        <f t="shared" si="280"/>
        <v>238</v>
      </c>
      <c r="D4310" t="str">
        <f>"2"</f>
        <v>2</v>
      </c>
      <c r="E4310" t="str">
        <f>"1-238-2"</f>
        <v>1-238-2</v>
      </c>
      <c r="F4310" t="s">
        <v>15</v>
      </c>
      <c r="G4310" t="s">
        <v>16</v>
      </c>
      <c r="H4310" t="s">
        <v>17</v>
      </c>
      <c r="I4310">
        <v>0</v>
      </c>
      <c r="J4310">
        <v>1</v>
      </c>
      <c r="K4310">
        <v>0</v>
      </c>
    </row>
    <row r="4311" spans="1:11" x14ac:dyDescent="0.25">
      <c r="A4311" t="str">
        <f>"5420"</f>
        <v>5420</v>
      </c>
      <c r="B4311" t="str">
        <f t="shared" si="281"/>
        <v>1</v>
      </c>
      <c r="C4311" t="str">
        <f t="shared" ref="C4311:C4328" si="282">"239"</f>
        <v>239</v>
      </c>
      <c r="D4311" t="str">
        <f>"15"</f>
        <v>15</v>
      </c>
      <c r="E4311" t="str">
        <f>"1-239-15"</f>
        <v>1-239-15</v>
      </c>
      <c r="F4311" t="s">
        <v>15</v>
      </c>
      <c r="G4311" t="s">
        <v>18</v>
      </c>
      <c r="H4311" t="s">
        <v>19</v>
      </c>
      <c r="I4311">
        <v>0</v>
      </c>
      <c r="J4311">
        <v>0</v>
      </c>
      <c r="K4311">
        <v>1</v>
      </c>
    </row>
    <row r="4312" spans="1:11" x14ac:dyDescent="0.25">
      <c r="A4312" t="str">
        <f>"5421"</f>
        <v>5421</v>
      </c>
      <c r="B4312" t="str">
        <f t="shared" si="281"/>
        <v>1</v>
      </c>
      <c r="C4312" t="str">
        <f t="shared" si="282"/>
        <v>239</v>
      </c>
      <c r="D4312" t="str">
        <f>"2"</f>
        <v>2</v>
      </c>
      <c r="E4312" t="str">
        <f>"1-239-2"</f>
        <v>1-239-2</v>
      </c>
      <c r="F4312" t="s">
        <v>15</v>
      </c>
      <c r="G4312" t="s">
        <v>20</v>
      </c>
      <c r="H4312" t="s">
        <v>21</v>
      </c>
      <c r="I4312">
        <v>0</v>
      </c>
      <c r="J4312">
        <v>1</v>
      </c>
      <c r="K4312">
        <v>0</v>
      </c>
    </row>
    <row r="4313" spans="1:11" x14ac:dyDescent="0.25">
      <c r="A4313" t="str">
        <f>"5422"</f>
        <v>5422</v>
      </c>
      <c r="B4313" t="str">
        <f t="shared" si="281"/>
        <v>1</v>
      </c>
      <c r="C4313" t="str">
        <f t="shared" si="282"/>
        <v>239</v>
      </c>
      <c r="D4313" t="str">
        <f>"16"</f>
        <v>16</v>
      </c>
      <c r="E4313" t="str">
        <f>"1-239-16"</f>
        <v>1-239-16</v>
      </c>
      <c r="F4313" t="s">
        <v>15</v>
      </c>
      <c r="G4313" t="s">
        <v>18</v>
      </c>
      <c r="H4313" t="s">
        <v>19</v>
      </c>
      <c r="I4313">
        <v>1</v>
      </c>
      <c r="J4313">
        <v>0</v>
      </c>
      <c r="K4313">
        <v>0</v>
      </c>
    </row>
    <row r="4314" spans="1:11" x14ac:dyDescent="0.25">
      <c r="A4314" t="str">
        <f>"5423"</f>
        <v>5423</v>
      </c>
      <c r="B4314" t="str">
        <f t="shared" si="281"/>
        <v>1</v>
      </c>
      <c r="C4314" t="str">
        <f t="shared" si="282"/>
        <v>239</v>
      </c>
      <c r="D4314" t="str">
        <f>"3"</f>
        <v>3</v>
      </c>
      <c r="E4314" t="str">
        <f>"1-239-3"</f>
        <v>1-239-3</v>
      </c>
      <c r="F4314" t="s">
        <v>15</v>
      </c>
      <c r="G4314" t="s">
        <v>20</v>
      </c>
      <c r="H4314" t="s">
        <v>21</v>
      </c>
      <c r="I4314">
        <v>0</v>
      </c>
      <c r="J4314">
        <v>0</v>
      </c>
      <c r="K4314">
        <v>1</v>
      </c>
    </row>
    <row r="4315" spans="1:11" x14ac:dyDescent="0.25">
      <c r="A4315" t="str">
        <f>"5424"</f>
        <v>5424</v>
      </c>
      <c r="B4315" t="str">
        <f t="shared" si="281"/>
        <v>1</v>
      </c>
      <c r="C4315" t="str">
        <f t="shared" si="282"/>
        <v>239</v>
      </c>
      <c r="D4315" t="str">
        <f>"17"</f>
        <v>17</v>
      </c>
      <c r="E4315" t="str">
        <f>"1-239-17"</f>
        <v>1-239-17</v>
      </c>
      <c r="F4315" t="s">
        <v>15</v>
      </c>
      <c r="G4315" t="s">
        <v>18</v>
      </c>
      <c r="H4315" t="s">
        <v>19</v>
      </c>
      <c r="I4315">
        <v>0</v>
      </c>
      <c r="J4315">
        <v>1</v>
      </c>
      <c r="K4315">
        <v>0</v>
      </c>
    </row>
    <row r="4316" spans="1:11" x14ac:dyDescent="0.25">
      <c r="A4316" t="str">
        <f>"5425"</f>
        <v>5425</v>
      </c>
      <c r="B4316" t="str">
        <f t="shared" si="281"/>
        <v>1</v>
      </c>
      <c r="C4316" t="str">
        <f t="shared" si="282"/>
        <v>239</v>
      </c>
      <c r="D4316" t="str">
        <f>"1"</f>
        <v>1</v>
      </c>
      <c r="E4316" t="str">
        <f>"1-239-1"</f>
        <v>1-239-1</v>
      </c>
      <c r="F4316" t="s">
        <v>15</v>
      </c>
      <c r="G4316" t="s">
        <v>16</v>
      </c>
      <c r="H4316" t="s">
        <v>17</v>
      </c>
      <c r="I4316">
        <v>1</v>
      </c>
      <c r="J4316">
        <v>0</v>
      </c>
      <c r="K4316">
        <v>0</v>
      </c>
    </row>
    <row r="4317" spans="1:11" x14ac:dyDescent="0.25">
      <c r="A4317" t="str">
        <f>"5426"</f>
        <v>5426</v>
      </c>
      <c r="B4317" t="str">
        <f t="shared" si="281"/>
        <v>1</v>
      </c>
      <c r="C4317" t="str">
        <f t="shared" si="282"/>
        <v>239</v>
      </c>
      <c r="D4317" t="str">
        <f>"18"</f>
        <v>18</v>
      </c>
      <c r="E4317" t="str">
        <f>"1-239-18"</f>
        <v>1-239-18</v>
      </c>
      <c r="F4317" t="s">
        <v>15</v>
      </c>
      <c r="G4317" t="s">
        <v>16</v>
      </c>
      <c r="H4317" t="s">
        <v>17</v>
      </c>
      <c r="I4317">
        <v>0</v>
      </c>
      <c r="J4317">
        <v>1</v>
      </c>
      <c r="K4317">
        <v>0</v>
      </c>
    </row>
    <row r="4318" spans="1:11" x14ac:dyDescent="0.25">
      <c r="A4318" t="str">
        <f>"5427"</f>
        <v>5427</v>
      </c>
      <c r="B4318" t="str">
        <f t="shared" si="281"/>
        <v>1</v>
      </c>
      <c r="C4318" t="str">
        <f t="shared" si="282"/>
        <v>239</v>
      </c>
      <c r="D4318" t="str">
        <f>"13"</f>
        <v>13</v>
      </c>
      <c r="E4318" t="str">
        <f>"1-239-13"</f>
        <v>1-239-13</v>
      </c>
      <c r="F4318" t="s">
        <v>15</v>
      </c>
      <c r="G4318" t="s">
        <v>18</v>
      </c>
      <c r="H4318" t="s">
        <v>19</v>
      </c>
      <c r="I4318">
        <v>1</v>
      </c>
      <c r="J4318">
        <v>0</v>
      </c>
      <c r="K4318">
        <v>0</v>
      </c>
    </row>
    <row r="4319" spans="1:11" x14ac:dyDescent="0.25">
      <c r="A4319" t="str">
        <f>"5428"</f>
        <v>5428</v>
      </c>
      <c r="B4319" t="str">
        <f t="shared" si="281"/>
        <v>1</v>
      </c>
      <c r="C4319" t="str">
        <f t="shared" si="282"/>
        <v>239</v>
      </c>
      <c r="D4319" t="str">
        <f>"9"</f>
        <v>9</v>
      </c>
      <c r="E4319" t="str">
        <f>"1-239-9"</f>
        <v>1-239-9</v>
      </c>
      <c r="F4319" t="s">
        <v>15</v>
      </c>
      <c r="G4319" t="s">
        <v>18</v>
      </c>
      <c r="H4319" t="s">
        <v>19</v>
      </c>
      <c r="I4319">
        <v>1</v>
      </c>
      <c r="J4319">
        <v>0</v>
      </c>
      <c r="K4319">
        <v>0</v>
      </c>
    </row>
    <row r="4320" spans="1:11" x14ac:dyDescent="0.25">
      <c r="A4320" t="str">
        <f>"5429"</f>
        <v>5429</v>
      </c>
      <c r="B4320" t="str">
        <f t="shared" si="281"/>
        <v>1</v>
      </c>
      <c r="C4320" t="str">
        <f t="shared" si="282"/>
        <v>239</v>
      </c>
      <c r="D4320" t="str">
        <f>"6"</f>
        <v>6</v>
      </c>
      <c r="E4320" t="str">
        <f>"1-239-6"</f>
        <v>1-239-6</v>
      </c>
      <c r="F4320" t="s">
        <v>15</v>
      </c>
      <c r="G4320" t="s">
        <v>16</v>
      </c>
      <c r="H4320" t="s">
        <v>17</v>
      </c>
      <c r="I4320">
        <v>1</v>
      </c>
      <c r="J4320">
        <v>0</v>
      </c>
      <c r="K4320">
        <v>0</v>
      </c>
    </row>
    <row r="4321" spans="1:11" x14ac:dyDescent="0.25">
      <c r="A4321" t="str">
        <f>"5430"</f>
        <v>5430</v>
      </c>
      <c r="B4321" t="str">
        <f t="shared" si="281"/>
        <v>1</v>
      </c>
      <c r="C4321" t="str">
        <f t="shared" si="282"/>
        <v>239</v>
      </c>
      <c r="D4321" t="str">
        <f>"4"</f>
        <v>4</v>
      </c>
      <c r="E4321" t="str">
        <f>"1-239-4"</f>
        <v>1-239-4</v>
      </c>
      <c r="F4321" t="s">
        <v>15</v>
      </c>
      <c r="G4321" t="s">
        <v>20</v>
      </c>
      <c r="H4321" t="s">
        <v>21</v>
      </c>
      <c r="I4321">
        <v>0</v>
      </c>
      <c r="J4321">
        <v>1</v>
      </c>
      <c r="K4321">
        <v>0</v>
      </c>
    </row>
    <row r="4322" spans="1:11" x14ac:dyDescent="0.25">
      <c r="A4322" t="str">
        <f>"5431"</f>
        <v>5431</v>
      </c>
      <c r="B4322" t="str">
        <f t="shared" si="281"/>
        <v>1</v>
      </c>
      <c r="C4322" t="str">
        <f t="shared" si="282"/>
        <v>239</v>
      </c>
      <c r="D4322" t="str">
        <f>"8"</f>
        <v>8</v>
      </c>
      <c r="E4322" t="str">
        <f>"1-239-8"</f>
        <v>1-239-8</v>
      </c>
      <c r="F4322" t="s">
        <v>15</v>
      </c>
      <c r="G4322" t="s">
        <v>20</v>
      </c>
      <c r="H4322" t="s">
        <v>21</v>
      </c>
      <c r="I4322">
        <v>1</v>
      </c>
      <c r="J4322">
        <v>0</v>
      </c>
      <c r="K4322">
        <v>0</v>
      </c>
    </row>
    <row r="4323" spans="1:11" x14ac:dyDescent="0.25">
      <c r="A4323" t="str">
        <f>"5432"</f>
        <v>5432</v>
      </c>
      <c r="B4323" t="str">
        <f t="shared" si="281"/>
        <v>1</v>
      </c>
      <c r="C4323" t="str">
        <f t="shared" si="282"/>
        <v>239</v>
      </c>
      <c r="D4323" t="str">
        <f>"11"</f>
        <v>11</v>
      </c>
      <c r="E4323" t="str">
        <f>"1-239-11"</f>
        <v>1-239-11</v>
      </c>
      <c r="F4323" t="s">
        <v>15</v>
      </c>
      <c r="G4323" t="s">
        <v>18</v>
      </c>
      <c r="H4323" t="s">
        <v>19</v>
      </c>
      <c r="I4323">
        <v>0</v>
      </c>
      <c r="J4323">
        <v>0</v>
      </c>
      <c r="K4323">
        <v>1</v>
      </c>
    </row>
    <row r="4324" spans="1:11" x14ac:dyDescent="0.25">
      <c r="A4324" t="str">
        <f>"5433"</f>
        <v>5433</v>
      </c>
      <c r="B4324" t="str">
        <f t="shared" si="281"/>
        <v>1</v>
      </c>
      <c r="C4324" t="str">
        <f t="shared" si="282"/>
        <v>239</v>
      </c>
      <c r="D4324" t="str">
        <f>"10"</f>
        <v>10</v>
      </c>
      <c r="E4324" t="str">
        <f>"1-239-10"</f>
        <v>1-239-10</v>
      </c>
      <c r="F4324" t="s">
        <v>15</v>
      </c>
      <c r="G4324" t="s">
        <v>16</v>
      </c>
      <c r="H4324" t="s">
        <v>17</v>
      </c>
      <c r="I4324">
        <v>0</v>
      </c>
      <c r="J4324">
        <v>0</v>
      </c>
      <c r="K4324">
        <v>1</v>
      </c>
    </row>
    <row r="4325" spans="1:11" x14ac:dyDescent="0.25">
      <c r="A4325" t="str">
        <f>"5434"</f>
        <v>5434</v>
      </c>
      <c r="B4325" t="str">
        <f t="shared" si="281"/>
        <v>1</v>
      </c>
      <c r="C4325" t="str">
        <f t="shared" si="282"/>
        <v>239</v>
      </c>
      <c r="D4325" t="str">
        <f>"7"</f>
        <v>7</v>
      </c>
      <c r="E4325" t="str">
        <f>"1-239-7"</f>
        <v>1-239-7</v>
      </c>
      <c r="F4325" t="s">
        <v>15</v>
      </c>
      <c r="G4325" t="s">
        <v>16</v>
      </c>
      <c r="H4325" t="s">
        <v>17</v>
      </c>
      <c r="I4325">
        <v>0</v>
      </c>
      <c r="J4325">
        <v>0</v>
      </c>
      <c r="K4325">
        <v>1</v>
      </c>
    </row>
    <row r="4326" spans="1:11" x14ac:dyDescent="0.25">
      <c r="A4326" t="str">
        <f>"5435"</f>
        <v>5435</v>
      </c>
      <c r="B4326" t="str">
        <f t="shared" si="281"/>
        <v>1</v>
      </c>
      <c r="C4326" t="str">
        <f t="shared" si="282"/>
        <v>239</v>
      </c>
      <c r="D4326" t="str">
        <f>"5"</f>
        <v>5</v>
      </c>
      <c r="E4326" t="str">
        <f>"1-239-5"</f>
        <v>1-239-5</v>
      </c>
      <c r="F4326" t="s">
        <v>15</v>
      </c>
      <c r="G4326" t="s">
        <v>20</v>
      </c>
      <c r="H4326" t="s">
        <v>21</v>
      </c>
      <c r="I4326">
        <v>0</v>
      </c>
      <c r="J4326">
        <v>0</v>
      </c>
      <c r="K4326">
        <v>0</v>
      </c>
    </row>
    <row r="4327" spans="1:11" x14ac:dyDescent="0.25">
      <c r="A4327" t="str">
        <f>"5436"</f>
        <v>5436</v>
      </c>
      <c r="B4327" t="str">
        <f t="shared" si="281"/>
        <v>1</v>
      </c>
      <c r="C4327" t="str">
        <f t="shared" si="282"/>
        <v>239</v>
      </c>
      <c r="D4327" t="str">
        <f>"12"</f>
        <v>12</v>
      </c>
      <c r="E4327" t="str">
        <f>"1-239-12"</f>
        <v>1-239-12</v>
      </c>
      <c r="F4327" t="s">
        <v>15</v>
      </c>
      <c r="G4327" t="s">
        <v>16</v>
      </c>
      <c r="H4327" t="s">
        <v>17</v>
      </c>
      <c r="I4327">
        <v>0</v>
      </c>
      <c r="J4327">
        <v>0</v>
      </c>
      <c r="K4327">
        <v>0</v>
      </c>
    </row>
    <row r="4328" spans="1:11" x14ac:dyDescent="0.25">
      <c r="A4328" t="str">
        <f>"5437"</f>
        <v>5437</v>
      </c>
      <c r="B4328" t="str">
        <f t="shared" si="281"/>
        <v>1</v>
      </c>
      <c r="C4328" t="str">
        <f t="shared" si="282"/>
        <v>239</v>
      </c>
      <c r="D4328" t="str">
        <f>"14"</f>
        <v>14</v>
      </c>
      <c r="E4328" t="str">
        <f>"1-239-14"</f>
        <v>1-239-14</v>
      </c>
      <c r="F4328" t="s">
        <v>15</v>
      </c>
      <c r="G4328" t="s">
        <v>18</v>
      </c>
      <c r="H4328" t="s">
        <v>19</v>
      </c>
      <c r="I4328">
        <v>0</v>
      </c>
      <c r="J4328">
        <v>0</v>
      </c>
      <c r="K4328">
        <v>0</v>
      </c>
    </row>
    <row r="4329" spans="1:11" x14ac:dyDescent="0.25">
      <c r="A4329" t="str">
        <f>"5443"</f>
        <v>5443</v>
      </c>
      <c r="B4329" t="str">
        <f t="shared" si="281"/>
        <v>1</v>
      </c>
      <c r="C4329" t="str">
        <f t="shared" ref="C4329:C4332" si="283">"240"</f>
        <v>240</v>
      </c>
      <c r="D4329" t="str">
        <f>"4"</f>
        <v>4</v>
      </c>
      <c r="E4329" t="str">
        <f>"1-240-4"</f>
        <v>1-240-4</v>
      </c>
      <c r="F4329" t="s">
        <v>15</v>
      </c>
      <c r="G4329" t="s">
        <v>16</v>
      </c>
      <c r="H4329" t="s">
        <v>17</v>
      </c>
      <c r="I4329">
        <v>1</v>
      </c>
      <c r="J4329">
        <v>0</v>
      </c>
      <c r="K4329">
        <v>0</v>
      </c>
    </row>
    <row r="4330" spans="1:11" x14ac:dyDescent="0.25">
      <c r="A4330" t="str">
        <f>"5447"</f>
        <v>5447</v>
      </c>
      <c r="B4330" t="str">
        <f t="shared" si="281"/>
        <v>1</v>
      </c>
      <c r="C4330" t="str">
        <f t="shared" si="283"/>
        <v>240</v>
      </c>
      <c r="D4330" t="str">
        <f>"1"</f>
        <v>1</v>
      </c>
      <c r="E4330" t="str">
        <f>"1-240-1"</f>
        <v>1-240-1</v>
      </c>
      <c r="F4330" t="s">
        <v>15</v>
      </c>
      <c r="G4330" t="s">
        <v>16</v>
      </c>
      <c r="H4330" t="s">
        <v>17</v>
      </c>
      <c r="I4330">
        <v>1</v>
      </c>
      <c r="J4330">
        <v>0</v>
      </c>
      <c r="K4330">
        <v>0</v>
      </c>
    </row>
    <row r="4331" spans="1:11" x14ac:dyDescent="0.25">
      <c r="A4331" t="str">
        <f>"5457"</f>
        <v>5457</v>
      </c>
      <c r="B4331" t="str">
        <f t="shared" si="281"/>
        <v>1</v>
      </c>
      <c r="C4331" t="str">
        <f t="shared" si="283"/>
        <v>240</v>
      </c>
      <c r="D4331" t="str">
        <f>"3"</f>
        <v>3</v>
      </c>
      <c r="E4331" t="str">
        <f>"1-240-3"</f>
        <v>1-240-3</v>
      </c>
      <c r="F4331" t="s">
        <v>15</v>
      </c>
      <c r="G4331" t="s">
        <v>16</v>
      </c>
      <c r="H4331" t="s">
        <v>17</v>
      </c>
      <c r="I4331">
        <v>0</v>
      </c>
      <c r="J4331">
        <v>0</v>
      </c>
      <c r="K4331">
        <v>1</v>
      </c>
    </row>
    <row r="4332" spans="1:11" x14ac:dyDescent="0.25">
      <c r="A4332" t="str">
        <f>"5459"</f>
        <v>5459</v>
      </c>
      <c r="B4332" t="str">
        <f t="shared" si="281"/>
        <v>1</v>
      </c>
      <c r="C4332" t="str">
        <f t="shared" si="283"/>
        <v>240</v>
      </c>
      <c r="D4332" t="str">
        <f>"2"</f>
        <v>2</v>
      </c>
      <c r="E4332" t="str">
        <f>"1-240-2"</f>
        <v>1-240-2</v>
      </c>
      <c r="F4332" t="s">
        <v>15</v>
      </c>
      <c r="G4332" t="s">
        <v>16</v>
      </c>
      <c r="H4332" t="s">
        <v>17</v>
      </c>
      <c r="I4332">
        <v>1</v>
      </c>
      <c r="J4332">
        <v>0</v>
      </c>
      <c r="K4332">
        <v>0</v>
      </c>
    </row>
    <row r="4333" spans="1:11" x14ac:dyDescent="0.25">
      <c r="A4333" t="str">
        <f>"5467"</f>
        <v>5467</v>
      </c>
      <c r="B4333" t="str">
        <f t="shared" ref="B4333:B4393" si="284">"1"</f>
        <v>1</v>
      </c>
      <c r="C4333" t="str">
        <f t="shared" ref="C4333:C4354" si="285">"241"</f>
        <v>241</v>
      </c>
      <c r="D4333" t="str">
        <f>"2"</f>
        <v>2</v>
      </c>
      <c r="E4333" t="str">
        <f>"1-241-2"</f>
        <v>1-241-2</v>
      </c>
      <c r="F4333" t="s">
        <v>15</v>
      </c>
      <c r="G4333" t="s">
        <v>16</v>
      </c>
      <c r="H4333" t="s">
        <v>17</v>
      </c>
      <c r="I4333">
        <v>0</v>
      </c>
      <c r="J4333">
        <v>1</v>
      </c>
      <c r="K4333">
        <v>0</v>
      </c>
    </row>
    <row r="4334" spans="1:11" x14ac:dyDescent="0.25">
      <c r="A4334" t="str">
        <f>"5468"</f>
        <v>5468</v>
      </c>
      <c r="B4334" t="str">
        <f t="shared" si="284"/>
        <v>1</v>
      </c>
      <c r="C4334" t="str">
        <f t="shared" si="285"/>
        <v>241</v>
      </c>
      <c r="D4334" t="str">
        <f>"24"</f>
        <v>24</v>
      </c>
      <c r="E4334" t="str">
        <f>"1-241-24"</f>
        <v>1-241-24</v>
      </c>
      <c r="F4334" t="s">
        <v>15</v>
      </c>
      <c r="G4334" t="s">
        <v>16</v>
      </c>
      <c r="H4334" t="s">
        <v>17</v>
      </c>
      <c r="I4334">
        <v>0</v>
      </c>
      <c r="J4334">
        <v>0</v>
      </c>
      <c r="K4334">
        <v>1</v>
      </c>
    </row>
    <row r="4335" spans="1:11" x14ac:dyDescent="0.25">
      <c r="A4335" t="str">
        <f>"5469"</f>
        <v>5469</v>
      </c>
      <c r="B4335" t="str">
        <f t="shared" si="284"/>
        <v>1</v>
      </c>
      <c r="C4335" t="str">
        <f t="shared" si="285"/>
        <v>241</v>
      </c>
      <c r="D4335" t="str">
        <f>"16"</f>
        <v>16</v>
      </c>
      <c r="E4335" t="str">
        <f>"1-241-16"</f>
        <v>1-241-16</v>
      </c>
      <c r="F4335" t="s">
        <v>15</v>
      </c>
      <c r="G4335" t="s">
        <v>16</v>
      </c>
      <c r="H4335" t="s">
        <v>17</v>
      </c>
      <c r="I4335">
        <v>1</v>
      </c>
      <c r="J4335">
        <v>0</v>
      </c>
      <c r="K4335">
        <v>0</v>
      </c>
    </row>
    <row r="4336" spans="1:11" x14ac:dyDescent="0.25">
      <c r="A4336" t="str">
        <f>"5470"</f>
        <v>5470</v>
      </c>
      <c r="B4336" t="str">
        <f t="shared" si="284"/>
        <v>1</v>
      </c>
      <c r="C4336" t="str">
        <f t="shared" si="285"/>
        <v>241</v>
      </c>
      <c r="D4336" t="str">
        <f>"6"</f>
        <v>6</v>
      </c>
      <c r="E4336" t="str">
        <f>"1-241-6"</f>
        <v>1-241-6</v>
      </c>
      <c r="F4336" t="s">
        <v>15</v>
      </c>
      <c r="G4336" t="s">
        <v>16</v>
      </c>
      <c r="H4336" t="s">
        <v>17</v>
      </c>
      <c r="I4336">
        <v>1</v>
      </c>
      <c r="J4336">
        <v>0</v>
      </c>
      <c r="K4336">
        <v>0</v>
      </c>
    </row>
    <row r="4337" spans="1:11" x14ac:dyDescent="0.25">
      <c r="A4337" t="str">
        <f>"5471"</f>
        <v>5471</v>
      </c>
      <c r="B4337" t="str">
        <f t="shared" si="284"/>
        <v>1</v>
      </c>
      <c r="C4337" t="str">
        <f t="shared" si="285"/>
        <v>241</v>
      </c>
      <c r="D4337" t="str">
        <f>"17"</f>
        <v>17</v>
      </c>
      <c r="E4337" t="str">
        <f>"1-241-17"</f>
        <v>1-241-17</v>
      </c>
      <c r="F4337" t="s">
        <v>15</v>
      </c>
      <c r="G4337" t="s">
        <v>16</v>
      </c>
      <c r="H4337" t="s">
        <v>17</v>
      </c>
      <c r="I4337">
        <v>0</v>
      </c>
      <c r="J4337">
        <v>1</v>
      </c>
      <c r="K4337">
        <v>0</v>
      </c>
    </row>
    <row r="4338" spans="1:11" x14ac:dyDescent="0.25">
      <c r="A4338" t="str">
        <f>"5473"</f>
        <v>5473</v>
      </c>
      <c r="B4338" t="str">
        <f t="shared" si="284"/>
        <v>1</v>
      </c>
      <c r="C4338" t="str">
        <f t="shared" si="285"/>
        <v>241</v>
      </c>
      <c r="D4338" t="str">
        <f>"18"</f>
        <v>18</v>
      </c>
      <c r="E4338" t="str">
        <f>"1-241-18"</f>
        <v>1-241-18</v>
      </c>
      <c r="F4338" t="s">
        <v>15</v>
      </c>
      <c r="G4338" t="s">
        <v>16</v>
      </c>
      <c r="H4338" t="s">
        <v>17</v>
      </c>
      <c r="I4338">
        <v>0</v>
      </c>
      <c r="J4338">
        <v>0</v>
      </c>
      <c r="K4338">
        <v>1</v>
      </c>
    </row>
    <row r="4339" spans="1:11" x14ac:dyDescent="0.25">
      <c r="A4339" t="str">
        <f>"5475"</f>
        <v>5475</v>
      </c>
      <c r="B4339" t="str">
        <f t="shared" si="284"/>
        <v>1</v>
      </c>
      <c r="C4339" t="str">
        <f t="shared" si="285"/>
        <v>241</v>
      </c>
      <c r="D4339" t="str">
        <f>"3"</f>
        <v>3</v>
      </c>
      <c r="E4339" t="str">
        <f>"1-241-3"</f>
        <v>1-241-3</v>
      </c>
      <c r="F4339" t="s">
        <v>15</v>
      </c>
      <c r="G4339" t="s">
        <v>16</v>
      </c>
      <c r="H4339" t="s">
        <v>17</v>
      </c>
      <c r="I4339">
        <v>0</v>
      </c>
      <c r="J4339">
        <v>0</v>
      </c>
      <c r="K4339">
        <v>1</v>
      </c>
    </row>
    <row r="4340" spans="1:11" x14ac:dyDescent="0.25">
      <c r="A4340" t="str">
        <f>"5476"</f>
        <v>5476</v>
      </c>
      <c r="B4340" t="str">
        <f t="shared" si="284"/>
        <v>1</v>
      </c>
      <c r="C4340" t="str">
        <f t="shared" si="285"/>
        <v>241</v>
      </c>
      <c r="D4340" t="str">
        <f>"20"</f>
        <v>20</v>
      </c>
      <c r="E4340" t="str">
        <f>"1-241-20"</f>
        <v>1-241-20</v>
      </c>
      <c r="F4340" t="s">
        <v>15</v>
      </c>
      <c r="G4340" t="s">
        <v>16</v>
      </c>
      <c r="H4340" t="s">
        <v>17</v>
      </c>
      <c r="I4340">
        <v>1</v>
      </c>
      <c r="J4340">
        <v>0</v>
      </c>
      <c r="K4340">
        <v>0</v>
      </c>
    </row>
    <row r="4341" spans="1:11" x14ac:dyDescent="0.25">
      <c r="A4341" t="str">
        <f>"5477"</f>
        <v>5477</v>
      </c>
      <c r="B4341" t="str">
        <f t="shared" si="284"/>
        <v>1</v>
      </c>
      <c r="C4341" t="str">
        <f t="shared" si="285"/>
        <v>241</v>
      </c>
      <c r="D4341" t="str">
        <f>"21"</f>
        <v>21</v>
      </c>
      <c r="E4341" t="str">
        <f>"1-241-21"</f>
        <v>1-241-21</v>
      </c>
      <c r="F4341" t="s">
        <v>15</v>
      </c>
      <c r="G4341" t="s">
        <v>16</v>
      </c>
      <c r="H4341" t="s">
        <v>17</v>
      </c>
      <c r="I4341">
        <v>1</v>
      </c>
      <c r="J4341">
        <v>0</v>
      </c>
      <c r="K4341">
        <v>0</v>
      </c>
    </row>
    <row r="4342" spans="1:11" x14ac:dyDescent="0.25">
      <c r="A4342" t="str">
        <f>"5478"</f>
        <v>5478</v>
      </c>
      <c r="B4342" t="str">
        <f t="shared" si="284"/>
        <v>1</v>
      </c>
      <c r="C4342" t="str">
        <f t="shared" si="285"/>
        <v>241</v>
      </c>
      <c r="D4342" t="str">
        <f>"12"</f>
        <v>12</v>
      </c>
      <c r="E4342" t="str">
        <f>"1-241-12"</f>
        <v>1-241-12</v>
      </c>
      <c r="F4342" t="s">
        <v>15</v>
      </c>
      <c r="G4342" t="s">
        <v>16</v>
      </c>
      <c r="H4342" t="s">
        <v>17</v>
      </c>
      <c r="I4342">
        <v>1</v>
      </c>
      <c r="J4342">
        <v>0</v>
      </c>
      <c r="K4342">
        <v>0</v>
      </c>
    </row>
    <row r="4343" spans="1:11" x14ac:dyDescent="0.25">
      <c r="A4343" t="str">
        <f>"5479"</f>
        <v>5479</v>
      </c>
      <c r="B4343" t="str">
        <f t="shared" si="284"/>
        <v>1</v>
      </c>
      <c r="C4343" t="str">
        <f t="shared" si="285"/>
        <v>241</v>
      </c>
      <c r="D4343" t="str">
        <f>"23"</f>
        <v>23</v>
      </c>
      <c r="E4343" t="str">
        <f>"1-241-23"</f>
        <v>1-241-23</v>
      </c>
      <c r="F4343" t="s">
        <v>15</v>
      </c>
      <c r="G4343" t="s">
        <v>16</v>
      </c>
      <c r="H4343" t="s">
        <v>17</v>
      </c>
      <c r="I4343">
        <v>0</v>
      </c>
      <c r="J4343">
        <v>0</v>
      </c>
      <c r="K4343">
        <v>1</v>
      </c>
    </row>
    <row r="4344" spans="1:11" x14ac:dyDescent="0.25">
      <c r="A4344" t="str">
        <f>"5480"</f>
        <v>5480</v>
      </c>
      <c r="B4344" t="str">
        <f t="shared" si="284"/>
        <v>1</v>
      </c>
      <c r="C4344" t="str">
        <f t="shared" si="285"/>
        <v>241</v>
      </c>
      <c r="D4344" t="str">
        <f>"13"</f>
        <v>13</v>
      </c>
      <c r="E4344" t="str">
        <f>"1-241-13"</f>
        <v>1-241-13</v>
      </c>
      <c r="F4344" t="s">
        <v>15</v>
      </c>
      <c r="G4344" t="s">
        <v>16</v>
      </c>
      <c r="H4344" t="s">
        <v>17</v>
      </c>
      <c r="I4344">
        <v>0</v>
      </c>
      <c r="J4344">
        <v>1</v>
      </c>
      <c r="K4344">
        <v>0</v>
      </c>
    </row>
    <row r="4345" spans="1:11" x14ac:dyDescent="0.25">
      <c r="A4345" t="str">
        <f>"5481"</f>
        <v>5481</v>
      </c>
      <c r="B4345" t="str">
        <f t="shared" si="284"/>
        <v>1</v>
      </c>
      <c r="C4345" t="str">
        <f t="shared" si="285"/>
        <v>241</v>
      </c>
      <c r="D4345" t="str">
        <f>"5"</f>
        <v>5</v>
      </c>
      <c r="E4345" t="str">
        <f>"1-241-5"</f>
        <v>1-241-5</v>
      </c>
      <c r="F4345" t="s">
        <v>15</v>
      </c>
      <c r="G4345" t="s">
        <v>16</v>
      </c>
      <c r="H4345" t="s">
        <v>17</v>
      </c>
      <c r="I4345">
        <v>1</v>
      </c>
      <c r="J4345">
        <v>0</v>
      </c>
      <c r="K4345">
        <v>0</v>
      </c>
    </row>
    <row r="4346" spans="1:11" x14ac:dyDescent="0.25">
      <c r="A4346" t="str">
        <f>"5482"</f>
        <v>5482</v>
      </c>
      <c r="B4346" t="str">
        <f t="shared" si="284"/>
        <v>1</v>
      </c>
      <c r="C4346" t="str">
        <f t="shared" si="285"/>
        <v>241</v>
      </c>
      <c r="D4346" t="str">
        <f>"4"</f>
        <v>4</v>
      </c>
      <c r="E4346" t="str">
        <f>"1-241-4"</f>
        <v>1-241-4</v>
      </c>
      <c r="F4346" t="s">
        <v>15</v>
      </c>
      <c r="G4346" t="s">
        <v>16</v>
      </c>
      <c r="H4346" t="s">
        <v>17</v>
      </c>
      <c r="I4346">
        <v>0</v>
      </c>
      <c r="J4346">
        <v>1</v>
      </c>
      <c r="K4346">
        <v>0</v>
      </c>
    </row>
    <row r="4347" spans="1:11" x14ac:dyDescent="0.25">
      <c r="A4347" t="str">
        <f>"5483"</f>
        <v>5483</v>
      </c>
      <c r="B4347" t="str">
        <f t="shared" si="284"/>
        <v>1</v>
      </c>
      <c r="C4347" t="str">
        <f t="shared" si="285"/>
        <v>241</v>
      </c>
      <c r="D4347" t="str">
        <f>"7"</f>
        <v>7</v>
      </c>
      <c r="E4347" t="str">
        <f>"1-241-7"</f>
        <v>1-241-7</v>
      </c>
      <c r="F4347" t="s">
        <v>15</v>
      </c>
      <c r="G4347" t="s">
        <v>16</v>
      </c>
      <c r="H4347" t="s">
        <v>17</v>
      </c>
      <c r="I4347">
        <v>0</v>
      </c>
      <c r="J4347">
        <v>0</v>
      </c>
      <c r="K4347">
        <v>1</v>
      </c>
    </row>
    <row r="4348" spans="1:11" x14ac:dyDescent="0.25">
      <c r="A4348" t="str">
        <f>"5484"</f>
        <v>5484</v>
      </c>
      <c r="B4348" t="str">
        <f t="shared" si="284"/>
        <v>1</v>
      </c>
      <c r="C4348" t="str">
        <f t="shared" si="285"/>
        <v>241</v>
      </c>
      <c r="D4348" t="str">
        <f>"14"</f>
        <v>14</v>
      </c>
      <c r="E4348" t="str">
        <f>"1-241-14"</f>
        <v>1-241-14</v>
      </c>
      <c r="F4348" t="s">
        <v>15</v>
      </c>
      <c r="G4348" t="s">
        <v>18</v>
      </c>
      <c r="H4348" t="s">
        <v>19</v>
      </c>
      <c r="I4348">
        <v>1</v>
      </c>
      <c r="J4348">
        <v>0</v>
      </c>
      <c r="K4348">
        <v>0</v>
      </c>
    </row>
    <row r="4349" spans="1:11" x14ac:dyDescent="0.25">
      <c r="A4349" t="str">
        <f>"5485"</f>
        <v>5485</v>
      </c>
      <c r="B4349" t="str">
        <f t="shared" si="284"/>
        <v>1</v>
      </c>
      <c r="C4349" t="str">
        <f t="shared" si="285"/>
        <v>241</v>
      </c>
      <c r="D4349" t="str">
        <f>"11"</f>
        <v>11</v>
      </c>
      <c r="E4349" t="str">
        <f>"1-241-11"</f>
        <v>1-241-11</v>
      </c>
      <c r="F4349" t="s">
        <v>15</v>
      </c>
      <c r="G4349" t="s">
        <v>16</v>
      </c>
      <c r="H4349" t="s">
        <v>17</v>
      </c>
      <c r="I4349">
        <v>0</v>
      </c>
      <c r="J4349">
        <v>1</v>
      </c>
      <c r="K4349">
        <v>0</v>
      </c>
    </row>
    <row r="4350" spans="1:11" x14ac:dyDescent="0.25">
      <c r="A4350" t="str">
        <f>"5486"</f>
        <v>5486</v>
      </c>
      <c r="B4350" t="str">
        <f t="shared" si="284"/>
        <v>1</v>
      </c>
      <c r="C4350" t="str">
        <f t="shared" si="285"/>
        <v>241</v>
      </c>
      <c r="D4350" t="str">
        <f>"10"</f>
        <v>10</v>
      </c>
      <c r="E4350" t="str">
        <f>"1-241-10"</f>
        <v>1-241-10</v>
      </c>
      <c r="F4350" t="s">
        <v>15</v>
      </c>
      <c r="G4350" t="s">
        <v>16</v>
      </c>
      <c r="H4350" t="s">
        <v>17</v>
      </c>
      <c r="I4350">
        <v>0</v>
      </c>
      <c r="J4350">
        <v>1</v>
      </c>
      <c r="K4350">
        <v>0</v>
      </c>
    </row>
    <row r="4351" spans="1:11" x14ac:dyDescent="0.25">
      <c r="A4351" t="str">
        <f>"5487"</f>
        <v>5487</v>
      </c>
      <c r="B4351" t="str">
        <f t="shared" si="284"/>
        <v>1</v>
      </c>
      <c r="C4351" t="str">
        <f t="shared" si="285"/>
        <v>241</v>
      </c>
      <c r="D4351" t="str">
        <f>"8"</f>
        <v>8</v>
      </c>
      <c r="E4351" t="str">
        <f>"1-241-8"</f>
        <v>1-241-8</v>
      </c>
      <c r="F4351" t="s">
        <v>15</v>
      </c>
      <c r="G4351" t="s">
        <v>16</v>
      </c>
      <c r="H4351" t="s">
        <v>17</v>
      </c>
      <c r="I4351">
        <v>0</v>
      </c>
      <c r="J4351">
        <v>0</v>
      </c>
      <c r="K4351">
        <v>0</v>
      </c>
    </row>
    <row r="4352" spans="1:11" x14ac:dyDescent="0.25">
      <c r="A4352" t="str">
        <f>"5488"</f>
        <v>5488</v>
      </c>
      <c r="B4352" t="str">
        <f t="shared" si="284"/>
        <v>1</v>
      </c>
      <c r="C4352" t="str">
        <f t="shared" si="285"/>
        <v>241</v>
      </c>
      <c r="D4352" t="str">
        <f>"15"</f>
        <v>15</v>
      </c>
      <c r="E4352" t="str">
        <f>"1-241-15"</f>
        <v>1-241-15</v>
      </c>
      <c r="F4352" t="s">
        <v>15</v>
      </c>
      <c r="G4352" t="s">
        <v>16</v>
      </c>
      <c r="H4352" t="s">
        <v>17</v>
      </c>
      <c r="I4352">
        <v>0</v>
      </c>
      <c r="J4352">
        <v>0</v>
      </c>
      <c r="K4352">
        <v>0</v>
      </c>
    </row>
    <row r="4353" spans="1:11" x14ac:dyDescent="0.25">
      <c r="A4353" t="str">
        <f>"5489"</f>
        <v>5489</v>
      </c>
      <c r="B4353" t="str">
        <f t="shared" si="284"/>
        <v>1</v>
      </c>
      <c r="C4353" t="str">
        <f t="shared" si="285"/>
        <v>241</v>
      </c>
      <c r="D4353" t="str">
        <f>"9"</f>
        <v>9</v>
      </c>
      <c r="E4353" t="str">
        <f>"1-241-9"</f>
        <v>1-241-9</v>
      </c>
      <c r="F4353" t="s">
        <v>15</v>
      </c>
      <c r="G4353" t="s">
        <v>16</v>
      </c>
      <c r="H4353" t="s">
        <v>17</v>
      </c>
      <c r="I4353">
        <v>0</v>
      </c>
      <c r="J4353">
        <v>0</v>
      </c>
      <c r="K4353">
        <v>0</v>
      </c>
    </row>
    <row r="4354" spans="1:11" x14ac:dyDescent="0.25">
      <c r="A4354" t="str">
        <f>"5490"</f>
        <v>5490</v>
      </c>
      <c r="B4354" t="str">
        <f t="shared" si="284"/>
        <v>1</v>
      </c>
      <c r="C4354" t="str">
        <f t="shared" si="285"/>
        <v>241</v>
      </c>
      <c r="D4354" t="str">
        <f>"22"</f>
        <v>22</v>
      </c>
      <c r="E4354" t="str">
        <f>"1-241-22"</f>
        <v>1-241-22</v>
      </c>
      <c r="F4354" t="s">
        <v>15</v>
      </c>
      <c r="G4354" t="s">
        <v>16</v>
      </c>
      <c r="H4354" t="s">
        <v>17</v>
      </c>
      <c r="I4354">
        <v>0</v>
      </c>
      <c r="J4354">
        <v>0</v>
      </c>
      <c r="K4354">
        <v>0</v>
      </c>
    </row>
    <row r="4355" spans="1:11" x14ac:dyDescent="0.25">
      <c r="A4355" t="str">
        <f>"5491"</f>
        <v>5491</v>
      </c>
      <c r="B4355" t="str">
        <f t="shared" si="284"/>
        <v>1</v>
      </c>
      <c r="C4355" t="str">
        <f t="shared" ref="C4355:C4374" si="286">"242"</f>
        <v>242</v>
      </c>
      <c r="D4355" t="str">
        <f>"20"</f>
        <v>20</v>
      </c>
      <c r="E4355" t="str">
        <f>"1-242-20"</f>
        <v>1-242-20</v>
      </c>
      <c r="F4355" t="s">
        <v>15</v>
      </c>
      <c r="G4355" t="s">
        <v>16</v>
      </c>
      <c r="H4355" t="s">
        <v>17</v>
      </c>
      <c r="I4355">
        <v>0</v>
      </c>
      <c r="J4355">
        <v>1</v>
      </c>
      <c r="K4355">
        <v>0</v>
      </c>
    </row>
    <row r="4356" spans="1:11" x14ac:dyDescent="0.25">
      <c r="A4356" t="str">
        <f>"5492"</f>
        <v>5492</v>
      </c>
      <c r="B4356" t="str">
        <f t="shared" si="284"/>
        <v>1</v>
      </c>
      <c r="C4356" t="str">
        <f t="shared" si="286"/>
        <v>242</v>
      </c>
      <c r="D4356" t="str">
        <f>"15"</f>
        <v>15</v>
      </c>
      <c r="E4356" t="str">
        <f>"1-242-15"</f>
        <v>1-242-15</v>
      </c>
      <c r="F4356" t="s">
        <v>15</v>
      </c>
      <c r="G4356" t="s">
        <v>16</v>
      </c>
      <c r="H4356" t="s">
        <v>17</v>
      </c>
      <c r="I4356">
        <v>0</v>
      </c>
      <c r="J4356">
        <v>1</v>
      </c>
      <c r="K4356">
        <v>0</v>
      </c>
    </row>
    <row r="4357" spans="1:11" x14ac:dyDescent="0.25">
      <c r="A4357" t="str">
        <f>"5493"</f>
        <v>5493</v>
      </c>
      <c r="B4357" t="str">
        <f t="shared" si="284"/>
        <v>1</v>
      </c>
      <c r="C4357" t="str">
        <f t="shared" si="286"/>
        <v>242</v>
      </c>
      <c r="D4357" t="str">
        <f>"8"</f>
        <v>8</v>
      </c>
      <c r="E4357" t="str">
        <f>"1-242-8"</f>
        <v>1-242-8</v>
      </c>
      <c r="F4357" t="s">
        <v>15</v>
      </c>
      <c r="G4357" t="s">
        <v>16</v>
      </c>
      <c r="H4357" t="s">
        <v>17</v>
      </c>
      <c r="I4357">
        <v>0</v>
      </c>
      <c r="J4357">
        <v>1</v>
      </c>
      <c r="K4357">
        <v>0</v>
      </c>
    </row>
    <row r="4358" spans="1:11" x14ac:dyDescent="0.25">
      <c r="A4358" t="str">
        <f>"5494"</f>
        <v>5494</v>
      </c>
      <c r="B4358" t="str">
        <f t="shared" si="284"/>
        <v>1</v>
      </c>
      <c r="C4358" t="str">
        <f t="shared" si="286"/>
        <v>242</v>
      </c>
      <c r="D4358" t="str">
        <f>"16"</f>
        <v>16</v>
      </c>
      <c r="E4358" t="str">
        <f>"1-242-16"</f>
        <v>1-242-16</v>
      </c>
      <c r="F4358" t="s">
        <v>15</v>
      </c>
      <c r="G4358" t="s">
        <v>16</v>
      </c>
      <c r="H4358" t="s">
        <v>17</v>
      </c>
      <c r="I4358">
        <v>0</v>
      </c>
      <c r="J4358">
        <v>1</v>
      </c>
      <c r="K4358">
        <v>0</v>
      </c>
    </row>
    <row r="4359" spans="1:11" x14ac:dyDescent="0.25">
      <c r="A4359" t="str">
        <f>"5495"</f>
        <v>5495</v>
      </c>
      <c r="B4359" t="str">
        <f t="shared" si="284"/>
        <v>1</v>
      </c>
      <c r="C4359" t="str">
        <f t="shared" si="286"/>
        <v>242</v>
      </c>
      <c r="D4359" t="str">
        <f>"6"</f>
        <v>6</v>
      </c>
      <c r="E4359" t="str">
        <f>"1-242-6"</f>
        <v>1-242-6</v>
      </c>
      <c r="F4359" t="s">
        <v>15</v>
      </c>
      <c r="G4359" t="s">
        <v>16</v>
      </c>
      <c r="H4359" t="s">
        <v>17</v>
      </c>
      <c r="I4359">
        <v>1</v>
      </c>
      <c r="J4359">
        <v>0</v>
      </c>
      <c r="K4359">
        <v>0</v>
      </c>
    </row>
    <row r="4360" spans="1:11" x14ac:dyDescent="0.25">
      <c r="A4360" t="str">
        <f>"5496"</f>
        <v>5496</v>
      </c>
      <c r="B4360" t="str">
        <f t="shared" si="284"/>
        <v>1</v>
      </c>
      <c r="C4360" t="str">
        <f t="shared" si="286"/>
        <v>242</v>
      </c>
      <c r="D4360" t="str">
        <f>"17"</f>
        <v>17</v>
      </c>
      <c r="E4360" t="str">
        <f>"1-242-17"</f>
        <v>1-242-17</v>
      </c>
      <c r="F4360" t="s">
        <v>15</v>
      </c>
      <c r="G4360" t="s">
        <v>16</v>
      </c>
      <c r="H4360" t="s">
        <v>17</v>
      </c>
      <c r="I4360">
        <v>0</v>
      </c>
      <c r="J4360">
        <v>1</v>
      </c>
      <c r="K4360">
        <v>0</v>
      </c>
    </row>
    <row r="4361" spans="1:11" x14ac:dyDescent="0.25">
      <c r="A4361" t="str">
        <f>"5497"</f>
        <v>5497</v>
      </c>
      <c r="B4361" t="str">
        <f t="shared" si="284"/>
        <v>1</v>
      </c>
      <c r="C4361" t="str">
        <f t="shared" si="286"/>
        <v>242</v>
      </c>
      <c r="D4361" t="str">
        <f>"1"</f>
        <v>1</v>
      </c>
      <c r="E4361" t="str">
        <f>"1-242-1"</f>
        <v>1-242-1</v>
      </c>
      <c r="F4361" t="s">
        <v>15</v>
      </c>
      <c r="G4361" t="s">
        <v>16</v>
      </c>
      <c r="H4361" t="s">
        <v>17</v>
      </c>
      <c r="I4361">
        <v>1</v>
      </c>
      <c r="J4361">
        <v>0</v>
      </c>
      <c r="K4361">
        <v>0</v>
      </c>
    </row>
    <row r="4362" spans="1:11" x14ac:dyDescent="0.25">
      <c r="A4362" t="str">
        <f>"5498"</f>
        <v>5498</v>
      </c>
      <c r="B4362" t="str">
        <f t="shared" si="284"/>
        <v>1</v>
      </c>
      <c r="C4362" t="str">
        <f t="shared" si="286"/>
        <v>242</v>
      </c>
      <c r="D4362" t="str">
        <f>"18"</f>
        <v>18</v>
      </c>
      <c r="E4362" t="str">
        <f>"1-242-18"</f>
        <v>1-242-18</v>
      </c>
      <c r="F4362" t="s">
        <v>15</v>
      </c>
      <c r="G4362" t="s">
        <v>16</v>
      </c>
      <c r="H4362" t="s">
        <v>17</v>
      </c>
      <c r="I4362">
        <v>1</v>
      </c>
      <c r="J4362">
        <v>0</v>
      </c>
      <c r="K4362">
        <v>0</v>
      </c>
    </row>
    <row r="4363" spans="1:11" x14ac:dyDescent="0.25">
      <c r="A4363" t="str">
        <f>"5499"</f>
        <v>5499</v>
      </c>
      <c r="B4363" t="str">
        <f t="shared" si="284"/>
        <v>1</v>
      </c>
      <c r="C4363" t="str">
        <f t="shared" si="286"/>
        <v>242</v>
      </c>
      <c r="D4363" t="str">
        <f>"13"</f>
        <v>13</v>
      </c>
      <c r="E4363" t="str">
        <f>"1-242-13"</f>
        <v>1-242-13</v>
      </c>
      <c r="F4363" t="s">
        <v>15</v>
      </c>
      <c r="G4363" t="s">
        <v>16</v>
      </c>
      <c r="H4363" t="s">
        <v>17</v>
      </c>
      <c r="I4363">
        <v>0</v>
      </c>
      <c r="J4363">
        <v>1</v>
      </c>
      <c r="K4363">
        <v>0</v>
      </c>
    </row>
    <row r="4364" spans="1:11" x14ac:dyDescent="0.25">
      <c r="A4364" t="str">
        <f>"5500"</f>
        <v>5500</v>
      </c>
      <c r="B4364" t="str">
        <f t="shared" si="284"/>
        <v>1</v>
      </c>
      <c r="C4364" t="str">
        <f t="shared" si="286"/>
        <v>242</v>
      </c>
      <c r="D4364" t="str">
        <f>"19"</f>
        <v>19</v>
      </c>
      <c r="E4364" t="str">
        <f>"1-242-19"</f>
        <v>1-242-19</v>
      </c>
      <c r="F4364" t="s">
        <v>15</v>
      </c>
      <c r="G4364" t="s">
        <v>16</v>
      </c>
      <c r="H4364" t="s">
        <v>17</v>
      </c>
      <c r="I4364">
        <v>0</v>
      </c>
      <c r="J4364">
        <v>1</v>
      </c>
      <c r="K4364">
        <v>0</v>
      </c>
    </row>
    <row r="4365" spans="1:11" x14ac:dyDescent="0.25">
      <c r="A4365" t="str">
        <f>"5501"</f>
        <v>5501</v>
      </c>
      <c r="B4365" t="str">
        <f t="shared" si="284"/>
        <v>1</v>
      </c>
      <c r="C4365" t="str">
        <f t="shared" si="286"/>
        <v>242</v>
      </c>
      <c r="D4365" t="str">
        <f>"10"</f>
        <v>10</v>
      </c>
      <c r="E4365" t="str">
        <f>"1-242-10"</f>
        <v>1-242-10</v>
      </c>
      <c r="F4365" t="s">
        <v>15</v>
      </c>
      <c r="G4365" t="s">
        <v>16</v>
      </c>
      <c r="H4365" t="s">
        <v>17</v>
      </c>
      <c r="I4365">
        <v>1</v>
      </c>
      <c r="J4365">
        <v>0</v>
      </c>
      <c r="K4365">
        <v>0</v>
      </c>
    </row>
    <row r="4366" spans="1:11" x14ac:dyDescent="0.25">
      <c r="A4366" t="str">
        <f>"5502"</f>
        <v>5502</v>
      </c>
      <c r="B4366" t="str">
        <f t="shared" si="284"/>
        <v>1</v>
      </c>
      <c r="C4366" t="str">
        <f t="shared" si="286"/>
        <v>242</v>
      </c>
      <c r="D4366" t="str">
        <f>"12"</f>
        <v>12</v>
      </c>
      <c r="E4366" t="str">
        <f>"1-242-12"</f>
        <v>1-242-12</v>
      </c>
      <c r="F4366" t="s">
        <v>15</v>
      </c>
      <c r="G4366" t="s">
        <v>16</v>
      </c>
      <c r="H4366" t="s">
        <v>17</v>
      </c>
      <c r="I4366">
        <v>0</v>
      </c>
      <c r="J4366">
        <v>1</v>
      </c>
      <c r="K4366">
        <v>0</v>
      </c>
    </row>
    <row r="4367" spans="1:11" x14ac:dyDescent="0.25">
      <c r="A4367" t="str">
        <f>"5503"</f>
        <v>5503</v>
      </c>
      <c r="B4367" t="str">
        <f t="shared" si="284"/>
        <v>1</v>
      </c>
      <c r="C4367" t="str">
        <f t="shared" si="286"/>
        <v>242</v>
      </c>
      <c r="D4367" t="str">
        <f>"4"</f>
        <v>4</v>
      </c>
      <c r="E4367" t="str">
        <f>"1-242-4"</f>
        <v>1-242-4</v>
      </c>
      <c r="F4367" t="s">
        <v>15</v>
      </c>
      <c r="G4367" t="s">
        <v>16</v>
      </c>
      <c r="H4367" t="s">
        <v>17</v>
      </c>
      <c r="I4367">
        <v>0</v>
      </c>
      <c r="J4367">
        <v>1</v>
      </c>
      <c r="K4367">
        <v>0</v>
      </c>
    </row>
    <row r="4368" spans="1:11" x14ac:dyDescent="0.25">
      <c r="A4368" t="str">
        <f>"5504"</f>
        <v>5504</v>
      </c>
      <c r="B4368" t="str">
        <f t="shared" si="284"/>
        <v>1</v>
      </c>
      <c r="C4368" t="str">
        <f t="shared" si="286"/>
        <v>242</v>
      </c>
      <c r="D4368" t="str">
        <f>"9"</f>
        <v>9</v>
      </c>
      <c r="E4368" t="str">
        <f>"1-242-9"</f>
        <v>1-242-9</v>
      </c>
      <c r="F4368" t="s">
        <v>15</v>
      </c>
      <c r="G4368" t="s">
        <v>18</v>
      </c>
      <c r="H4368" t="s">
        <v>19</v>
      </c>
      <c r="I4368">
        <v>0</v>
      </c>
      <c r="J4368">
        <v>1</v>
      </c>
      <c r="K4368">
        <v>0</v>
      </c>
    </row>
    <row r="4369" spans="1:11" x14ac:dyDescent="0.25">
      <c r="A4369" t="str">
        <f>"5505"</f>
        <v>5505</v>
      </c>
      <c r="B4369" t="str">
        <f t="shared" si="284"/>
        <v>1</v>
      </c>
      <c r="C4369" t="str">
        <f t="shared" si="286"/>
        <v>242</v>
      </c>
      <c r="D4369" t="str">
        <f>"14"</f>
        <v>14</v>
      </c>
      <c r="E4369" t="str">
        <f>"1-242-14"</f>
        <v>1-242-14</v>
      </c>
      <c r="F4369" t="s">
        <v>15</v>
      </c>
      <c r="G4369" t="s">
        <v>16</v>
      </c>
      <c r="H4369" t="s">
        <v>17</v>
      </c>
      <c r="I4369">
        <v>0</v>
      </c>
      <c r="J4369">
        <v>1</v>
      </c>
      <c r="K4369">
        <v>0</v>
      </c>
    </row>
    <row r="4370" spans="1:11" x14ac:dyDescent="0.25">
      <c r="A4370" t="str">
        <f>"5506"</f>
        <v>5506</v>
      </c>
      <c r="B4370" t="str">
        <f t="shared" si="284"/>
        <v>1</v>
      </c>
      <c r="C4370" t="str">
        <f t="shared" si="286"/>
        <v>242</v>
      </c>
      <c r="D4370" t="str">
        <f>"11"</f>
        <v>11</v>
      </c>
      <c r="E4370" t="str">
        <f>"1-242-11"</f>
        <v>1-242-11</v>
      </c>
      <c r="F4370" t="s">
        <v>15</v>
      </c>
      <c r="G4370" t="s">
        <v>16</v>
      </c>
      <c r="H4370" t="s">
        <v>17</v>
      </c>
      <c r="I4370">
        <v>1</v>
      </c>
      <c r="J4370">
        <v>0</v>
      </c>
      <c r="K4370">
        <v>0</v>
      </c>
    </row>
    <row r="4371" spans="1:11" x14ac:dyDescent="0.25">
      <c r="A4371" t="str">
        <f>"5507"</f>
        <v>5507</v>
      </c>
      <c r="B4371" t="str">
        <f t="shared" si="284"/>
        <v>1</v>
      </c>
      <c r="C4371" t="str">
        <f t="shared" si="286"/>
        <v>242</v>
      </c>
      <c r="D4371" t="str">
        <f>"7"</f>
        <v>7</v>
      </c>
      <c r="E4371" t="str">
        <f>"1-242-7"</f>
        <v>1-242-7</v>
      </c>
      <c r="F4371" t="s">
        <v>15</v>
      </c>
      <c r="G4371" t="s">
        <v>16</v>
      </c>
      <c r="H4371" t="s">
        <v>17</v>
      </c>
      <c r="I4371">
        <v>0</v>
      </c>
      <c r="J4371">
        <v>1</v>
      </c>
      <c r="K4371">
        <v>0</v>
      </c>
    </row>
    <row r="4372" spans="1:11" x14ac:dyDescent="0.25">
      <c r="A4372" t="str">
        <f>"5508"</f>
        <v>5508</v>
      </c>
      <c r="B4372" t="str">
        <f t="shared" si="284"/>
        <v>1</v>
      </c>
      <c r="C4372" t="str">
        <f t="shared" si="286"/>
        <v>242</v>
      </c>
      <c r="D4372" t="str">
        <f>"2"</f>
        <v>2</v>
      </c>
      <c r="E4372" t="str">
        <f>"1-242-2"</f>
        <v>1-242-2</v>
      </c>
      <c r="F4372" t="s">
        <v>15</v>
      </c>
      <c r="G4372" t="s">
        <v>16</v>
      </c>
      <c r="H4372" t="s">
        <v>17</v>
      </c>
      <c r="I4372">
        <v>1</v>
      </c>
      <c r="J4372">
        <v>0</v>
      </c>
      <c r="K4372">
        <v>0</v>
      </c>
    </row>
    <row r="4373" spans="1:11" x14ac:dyDescent="0.25">
      <c r="A4373" t="str">
        <f>"5509"</f>
        <v>5509</v>
      </c>
      <c r="B4373" t="str">
        <f t="shared" si="284"/>
        <v>1</v>
      </c>
      <c r="C4373" t="str">
        <f t="shared" si="286"/>
        <v>242</v>
      </c>
      <c r="D4373" t="str">
        <f>"5"</f>
        <v>5</v>
      </c>
      <c r="E4373" t="str">
        <f>"1-242-5"</f>
        <v>1-242-5</v>
      </c>
      <c r="F4373" t="s">
        <v>15</v>
      </c>
      <c r="G4373" t="s">
        <v>16</v>
      </c>
      <c r="H4373" t="s">
        <v>17</v>
      </c>
      <c r="I4373">
        <v>1</v>
      </c>
      <c r="J4373">
        <v>0</v>
      </c>
      <c r="K4373">
        <v>0</v>
      </c>
    </row>
    <row r="4374" spans="1:11" x14ac:dyDescent="0.25">
      <c r="A4374" t="str">
        <f>"5510"</f>
        <v>5510</v>
      </c>
      <c r="B4374" t="str">
        <f t="shared" si="284"/>
        <v>1</v>
      </c>
      <c r="C4374" t="str">
        <f t="shared" si="286"/>
        <v>242</v>
      </c>
      <c r="D4374" t="str">
        <f>"3"</f>
        <v>3</v>
      </c>
      <c r="E4374" t="str">
        <f>"1-242-3"</f>
        <v>1-242-3</v>
      </c>
      <c r="F4374" t="s">
        <v>15</v>
      </c>
      <c r="G4374" t="s">
        <v>16</v>
      </c>
      <c r="H4374" t="s">
        <v>17</v>
      </c>
      <c r="I4374">
        <v>0</v>
      </c>
      <c r="J4374">
        <v>1</v>
      </c>
      <c r="K4374">
        <v>0</v>
      </c>
    </row>
    <row r="4375" spans="1:11" x14ac:dyDescent="0.25">
      <c r="A4375" t="str">
        <f>"5511"</f>
        <v>5511</v>
      </c>
      <c r="B4375" t="str">
        <f t="shared" si="284"/>
        <v>1</v>
      </c>
      <c r="C4375" t="str">
        <f t="shared" ref="C4375:C4398" si="287">"243"</f>
        <v>243</v>
      </c>
      <c r="D4375" t="str">
        <f>"23"</f>
        <v>23</v>
      </c>
      <c r="E4375" t="str">
        <f>"1-243-23"</f>
        <v>1-243-23</v>
      </c>
      <c r="F4375" t="s">
        <v>15</v>
      </c>
      <c r="G4375" t="s">
        <v>18</v>
      </c>
      <c r="H4375" t="s">
        <v>19</v>
      </c>
      <c r="I4375">
        <v>0</v>
      </c>
      <c r="J4375">
        <v>1</v>
      </c>
      <c r="K4375">
        <v>0</v>
      </c>
    </row>
    <row r="4376" spans="1:11" x14ac:dyDescent="0.25">
      <c r="A4376" t="str">
        <f>"5512"</f>
        <v>5512</v>
      </c>
      <c r="B4376" t="str">
        <f t="shared" si="284"/>
        <v>1</v>
      </c>
      <c r="C4376" t="str">
        <f t="shared" si="287"/>
        <v>243</v>
      </c>
      <c r="D4376" t="str">
        <f>"15"</f>
        <v>15</v>
      </c>
      <c r="E4376" t="str">
        <f>"1-243-15"</f>
        <v>1-243-15</v>
      </c>
      <c r="F4376" t="s">
        <v>15</v>
      </c>
      <c r="G4376" t="s">
        <v>18</v>
      </c>
      <c r="H4376" t="s">
        <v>19</v>
      </c>
      <c r="I4376">
        <v>1</v>
      </c>
      <c r="J4376">
        <v>0</v>
      </c>
      <c r="K4376">
        <v>0</v>
      </c>
    </row>
    <row r="4377" spans="1:11" x14ac:dyDescent="0.25">
      <c r="A4377" t="str">
        <f>"5513"</f>
        <v>5513</v>
      </c>
      <c r="B4377" t="str">
        <f t="shared" si="284"/>
        <v>1</v>
      </c>
      <c r="C4377" t="str">
        <f t="shared" si="287"/>
        <v>243</v>
      </c>
      <c r="D4377" t="str">
        <f>"5"</f>
        <v>5</v>
      </c>
      <c r="E4377" t="str">
        <f>"1-243-5"</f>
        <v>1-243-5</v>
      </c>
      <c r="F4377" t="s">
        <v>15</v>
      </c>
      <c r="G4377" t="s">
        <v>16</v>
      </c>
      <c r="H4377" t="s">
        <v>17</v>
      </c>
      <c r="I4377">
        <v>1</v>
      </c>
      <c r="J4377">
        <v>0</v>
      </c>
      <c r="K4377">
        <v>0</v>
      </c>
    </row>
    <row r="4378" spans="1:11" x14ac:dyDescent="0.25">
      <c r="A4378" t="str">
        <f>"5514"</f>
        <v>5514</v>
      </c>
      <c r="B4378" t="str">
        <f t="shared" si="284"/>
        <v>1</v>
      </c>
      <c r="C4378" t="str">
        <f t="shared" si="287"/>
        <v>243</v>
      </c>
      <c r="D4378" t="str">
        <f>"22"</f>
        <v>22</v>
      </c>
      <c r="E4378" t="str">
        <f>"1-243-22"</f>
        <v>1-243-22</v>
      </c>
      <c r="F4378" t="s">
        <v>15</v>
      </c>
      <c r="G4378" t="s">
        <v>16</v>
      </c>
      <c r="H4378" t="s">
        <v>17</v>
      </c>
      <c r="I4378">
        <v>1</v>
      </c>
      <c r="J4378">
        <v>0</v>
      </c>
      <c r="K4378">
        <v>0</v>
      </c>
    </row>
    <row r="4379" spans="1:11" x14ac:dyDescent="0.25">
      <c r="A4379" t="str">
        <f>"5515"</f>
        <v>5515</v>
      </c>
      <c r="B4379" t="str">
        <f t="shared" si="284"/>
        <v>1</v>
      </c>
      <c r="C4379" t="str">
        <f t="shared" si="287"/>
        <v>243</v>
      </c>
      <c r="D4379" t="str">
        <f>"16"</f>
        <v>16</v>
      </c>
      <c r="E4379" t="str">
        <f>"1-243-16"</f>
        <v>1-243-16</v>
      </c>
      <c r="F4379" t="s">
        <v>15</v>
      </c>
      <c r="G4379" t="s">
        <v>18</v>
      </c>
      <c r="H4379" t="s">
        <v>19</v>
      </c>
      <c r="I4379">
        <v>1</v>
      </c>
      <c r="J4379">
        <v>0</v>
      </c>
      <c r="K4379">
        <v>0</v>
      </c>
    </row>
    <row r="4380" spans="1:11" x14ac:dyDescent="0.25">
      <c r="A4380" t="str">
        <f>"5516"</f>
        <v>5516</v>
      </c>
      <c r="B4380" t="str">
        <f t="shared" si="284"/>
        <v>1</v>
      </c>
      <c r="C4380" t="str">
        <f t="shared" si="287"/>
        <v>243</v>
      </c>
      <c r="D4380" t="str">
        <f>"2"</f>
        <v>2</v>
      </c>
      <c r="E4380" t="str">
        <f>"1-243-2"</f>
        <v>1-243-2</v>
      </c>
      <c r="F4380" t="s">
        <v>15</v>
      </c>
      <c r="G4380" t="s">
        <v>18</v>
      </c>
      <c r="H4380" t="s">
        <v>19</v>
      </c>
      <c r="I4380">
        <v>0</v>
      </c>
      <c r="J4380">
        <v>0</v>
      </c>
      <c r="K4380">
        <v>1</v>
      </c>
    </row>
    <row r="4381" spans="1:11" x14ac:dyDescent="0.25">
      <c r="A4381" t="str">
        <f>"5517"</f>
        <v>5517</v>
      </c>
      <c r="B4381" t="str">
        <f t="shared" si="284"/>
        <v>1</v>
      </c>
      <c r="C4381" t="str">
        <f t="shared" si="287"/>
        <v>243</v>
      </c>
      <c r="D4381" t="str">
        <f>"17"</f>
        <v>17</v>
      </c>
      <c r="E4381" t="str">
        <f>"1-243-17"</f>
        <v>1-243-17</v>
      </c>
      <c r="F4381" t="s">
        <v>15</v>
      </c>
      <c r="G4381" t="s">
        <v>16</v>
      </c>
      <c r="H4381" t="s">
        <v>17</v>
      </c>
      <c r="I4381">
        <v>1</v>
      </c>
      <c r="J4381">
        <v>0</v>
      </c>
      <c r="K4381">
        <v>0</v>
      </c>
    </row>
    <row r="4382" spans="1:11" x14ac:dyDescent="0.25">
      <c r="A4382" t="str">
        <f>"5518"</f>
        <v>5518</v>
      </c>
      <c r="B4382" t="str">
        <f t="shared" si="284"/>
        <v>1</v>
      </c>
      <c r="C4382" t="str">
        <f t="shared" si="287"/>
        <v>243</v>
      </c>
      <c r="D4382" t="str">
        <f>"1"</f>
        <v>1</v>
      </c>
      <c r="E4382" t="str">
        <f>"1-243-1"</f>
        <v>1-243-1</v>
      </c>
      <c r="F4382" t="s">
        <v>15</v>
      </c>
      <c r="G4382" t="s">
        <v>16</v>
      </c>
      <c r="H4382" t="s">
        <v>17</v>
      </c>
      <c r="I4382">
        <v>1</v>
      </c>
      <c r="J4382">
        <v>0</v>
      </c>
      <c r="K4382">
        <v>0</v>
      </c>
    </row>
    <row r="4383" spans="1:11" x14ac:dyDescent="0.25">
      <c r="A4383" t="str">
        <f>"5519"</f>
        <v>5519</v>
      </c>
      <c r="B4383" t="str">
        <f t="shared" si="284"/>
        <v>1</v>
      </c>
      <c r="C4383" t="str">
        <f t="shared" si="287"/>
        <v>243</v>
      </c>
      <c r="D4383" t="str">
        <f>"18"</f>
        <v>18</v>
      </c>
      <c r="E4383" t="str">
        <f>"1-243-18"</f>
        <v>1-243-18</v>
      </c>
      <c r="F4383" t="s">
        <v>15</v>
      </c>
      <c r="G4383" t="s">
        <v>16</v>
      </c>
      <c r="H4383" t="s">
        <v>17</v>
      </c>
      <c r="I4383">
        <v>0</v>
      </c>
      <c r="J4383">
        <v>1</v>
      </c>
      <c r="K4383">
        <v>0</v>
      </c>
    </row>
    <row r="4384" spans="1:11" x14ac:dyDescent="0.25">
      <c r="A4384" t="str">
        <f>"5520"</f>
        <v>5520</v>
      </c>
      <c r="B4384" t="str">
        <f t="shared" si="284"/>
        <v>1</v>
      </c>
      <c r="C4384" t="str">
        <f t="shared" si="287"/>
        <v>243</v>
      </c>
      <c r="D4384" t="str">
        <f>"11"</f>
        <v>11</v>
      </c>
      <c r="E4384" t="str">
        <f>"1-243-11"</f>
        <v>1-243-11</v>
      </c>
      <c r="F4384" t="s">
        <v>15</v>
      </c>
      <c r="G4384" t="s">
        <v>16</v>
      </c>
      <c r="H4384" t="s">
        <v>17</v>
      </c>
      <c r="I4384">
        <v>1</v>
      </c>
      <c r="J4384">
        <v>0</v>
      </c>
      <c r="K4384">
        <v>0</v>
      </c>
    </row>
    <row r="4385" spans="1:11" x14ac:dyDescent="0.25">
      <c r="A4385" t="str">
        <f>"5521"</f>
        <v>5521</v>
      </c>
      <c r="B4385" t="str">
        <f t="shared" si="284"/>
        <v>1</v>
      </c>
      <c r="C4385" t="str">
        <f t="shared" si="287"/>
        <v>243</v>
      </c>
      <c r="D4385" t="str">
        <f>"19"</f>
        <v>19</v>
      </c>
      <c r="E4385" t="str">
        <f>"1-243-19"</f>
        <v>1-243-19</v>
      </c>
      <c r="F4385" t="s">
        <v>15</v>
      </c>
      <c r="G4385" t="s">
        <v>16</v>
      </c>
      <c r="H4385" t="s">
        <v>17</v>
      </c>
      <c r="I4385">
        <v>0</v>
      </c>
      <c r="J4385">
        <v>0</v>
      </c>
      <c r="K4385">
        <v>1</v>
      </c>
    </row>
    <row r="4386" spans="1:11" x14ac:dyDescent="0.25">
      <c r="A4386" t="str">
        <f>"5522"</f>
        <v>5522</v>
      </c>
      <c r="B4386" t="str">
        <f t="shared" si="284"/>
        <v>1</v>
      </c>
      <c r="C4386" t="str">
        <f t="shared" si="287"/>
        <v>243</v>
      </c>
      <c r="D4386" t="str">
        <f>"7"</f>
        <v>7</v>
      </c>
      <c r="E4386" t="str">
        <f>"1-243-7"</f>
        <v>1-243-7</v>
      </c>
      <c r="F4386" t="s">
        <v>15</v>
      </c>
      <c r="G4386" t="s">
        <v>16</v>
      </c>
      <c r="H4386" t="s">
        <v>17</v>
      </c>
      <c r="I4386">
        <v>1</v>
      </c>
      <c r="J4386">
        <v>0</v>
      </c>
      <c r="K4386">
        <v>0</v>
      </c>
    </row>
    <row r="4387" spans="1:11" x14ac:dyDescent="0.25">
      <c r="A4387" t="str">
        <f>"5523"</f>
        <v>5523</v>
      </c>
      <c r="B4387" t="str">
        <f t="shared" si="284"/>
        <v>1</v>
      </c>
      <c r="C4387" t="str">
        <f t="shared" si="287"/>
        <v>243</v>
      </c>
      <c r="D4387" t="str">
        <f>"20"</f>
        <v>20</v>
      </c>
      <c r="E4387" t="str">
        <f>"1-243-20"</f>
        <v>1-243-20</v>
      </c>
      <c r="F4387" t="s">
        <v>15</v>
      </c>
      <c r="G4387" t="s">
        <v>16</v>
      </c>
      <c r="H4387" t="s">
        <v>17</v>
      </c>
      <c r="I4387">
        <v>0</v>
      </c>
      <c r="J4387">
        <v>1</v>
      </c>
      <c r="K4387">
        <v>0</v>
      </c>
    </row>
    <row r="4388" spans="1:11" x14ac:dyDescent="0.25">
      <c r="A4388" t="str">
        <f>"5524"</f>
        <v>5524</v>
      </c>
      <c r="B4388" t="str">
        <f t="shared" si="284"/>
        <v>1</v>
      </c>
      <c r="C4388" t="str">
        <f t="shared" si="287"/>
        <v>243</v>
      </c>
      <c r="D4388" t="str">
        <f>"3"</f>
        <v>3</v>
      </c>
      <c r="E4388" t="str">
        <f>"1-243-3"</f>
        <v>1-243-3</v>
      </c>
      <c r="F4388" t="s">
        <v>15</v>
      </c>
      <c r="G4388" t="s">
        <v>16</v>
      </c>
      <c r="H4388" t="s">
        <v>17</v>
      </c>
      <c r="I4388">
        <v>0</v>
      </c>
      <c r="J4388">
        <v>1</v>
      </c>
      <c r="K4388">
        <v>0</v>
      </c>
    </row>
    <row r="4389" spans="1:11" x14ac:dyDescent="0.25">
      <c r="A4389" t="str">
        <f>"5525"</f>
        <v>5525</v>
      </c>
      <c r="B4389" t="str">
        <f t="shared" si="284"/>
        <v>1</v>
      </c>
      <c r="C4389" t="str">
        <f t="shared" si="287"/>
        <v>243</v>
      </c>
      <c r="D4389" t="str">
        <f>"6"</f>
        <v>6</v>
      </c>
      <c r="E4389" t="str">
        <f>"1-243-6"</f>
        <v>1-243-6</v>
      </c>
      <c r="F4389" t="s">
        <v>15</v>
      </c>
      <c r="G4389" t="s">
        <v>16</v>
      </c>
      <c r="H4389" t="s">
        <v>17</v>
      </c>
      <c r="I4389">
        <v>1</v>
      </c>
      <c r="J4389">
        <v>0</v>
      </c>
      <c r="K4389">
        <v>0</v>
      </c>
    </row>
    <row r="4390" spans="1:11" x14ac:dyDescent="0.25">
      <c r="A4390" t="str">
        <f>"5526"</f>
        <v>5526</v>
      </c>
      <c r="B4390" t="str">
        <f t="shared" si="284"/>
        <v>1</v>
      </c>
      <c r="C4390" t="str">
        <f t="shared" si="287"/>
        <v>243</v>
      </c>
      <c r="D4390" t="str">
        <f>"24"</f>
        <v>24</v>
      </c>
      <c r="E4390" t="str">
        <f>"1-243-24"</f>
        <v>1-243-24</v>
      </c>
      <c r="F4390" t="s">
        <v>15</v>
      </c>
      <c r="G4390" t="s">
        <v>18</v>
      </c>
      <c r="H4390" t="s">
        <v>19</v>
      </c>
      <c r="I4390">
        <v>0</v>
      </c>
      <c r="J4390">
        <v>1</v>
      </c>
      <c r="K4390">
        <v>0</v>
      </c>
    </row>
    <row r="4391" spans="1:11" x14ac:dyDescent="0.25">
      <c r="A4391" t="str">
        <f>"5527"</f>
        <v>5527</v>
      </c>
      <c r="B4391" t="str">
        <f t="shared" si="284"/>
        <v>1</v>
      </c>
      <c r="C4391" t="str">
        <f t="shared" si="287"/>
        <v>243</v>
      </c>
      <c r="D4391" t="str">
        <f>"14"</f>
        <v>14</v>
      </c>
      <c r="E4391" t="str">
        <f>"1-243-14"</f>
        <v>1-243-14</v>
      </c>
      <c r="F4391" t="s">
        <v>15</v>
      </c>
      <c r="G4391" t="s">
        <v>18</v>
      </c>
      <c r="H4391" t="s">
        <v>19</v>
      </c>
      <c r="I4391">
        <v>1</v>
      </c>
      <c r="J4391">
        <v>0</v>
      </c>
      <c r="K4391">
        <v>0</v>
      </c>
    </row>
    <row r="4392" spans="1:11" x14ac:dyDescent="0.25">
      <c r="A4392" t="str">
        <f>"5528"</f>
        <v>5528</v>
      </c>
      <c r="B4392" t="str">
        <f t="shared" si="284"/>
        <v>1</v>
      </c>
      <c r="C4392" t="str">
        <f t="shared" si="287"/>
        <v>243</v>
      </c>
      <c r="D4392" t="str">
        <f>"10"</f>
        <v>10</v>
      </c>
      <c r="E4392" t="str">
        <f>"1-243-10"</f>
        <v>1-243-10</v>
      </c>
      <c r="F4392" t="s">
        <v>15</v>
      </c>
      <c r="G4392" t="s">
        <v>20</v>
      </c>
      <c r="H4392" t="s">
        <v>21</v>
      </c>
      <c r="I4392">
        <v>1</v>
      </c>
      <c r="J4392">
        <v>0</v>
      </c>
      <c r="K4392">
        <v>0</v>
      </c>
    </row>
    <row r="4393" spans="1:11" x14ac:dyDescent="0.25">
      <c r="A4393" t="str">
        <f>"5529"</f>
        <v>5529</v>
      </c>
      <c r="B4393" t="str">
        <f t="shared" si="284"/>
        <v>1</v>
      </c>
      <c r="C4393" t="str">
        <f t="shared" si="287"/>
        <v>243</v>
      </c>
      <c r="D4393" t="str">
        <f>"13"</f>
        <v>13</v>
      </c>
      <c r="E4393" t="str">
        <f>"1-243-13"</f>
        <v>1-243-13</v>
      </c>
      <c r="F4393" t="s">
        <v>15</v>
      </c>
      <c r="G4393" t="s">
        <v>16</v>
      </c>
      <c r="H4393" t="s">
        <v>17</v>
      </c>
      <c r="I4393">
        <v>1</v>
      </c>
      <c r="J4393">
        <v>0</v>
      </c>
      <c r="K4393">
        <v>0</v>
      </c>
    </row>
    <row r="4394" spans="1:11" x14ac:dyDescent="0.25">
      <c r="A4394" t="str">
        <f>"5530"</f>
        <v>5530</v>
      </c>
      <c r="B4394" t="str">
        <f t="shared" ref="B4394:B4430" si="288">"1"</f>
        <v>1</v>
      </c>
      <c r="C4394" t="str">
        <f t="shared" si="287"/>
        <v>243</v>
      </c>
      <c r="D4394" t="str">
        <f>"4"</f>
        <v>4</v>
      </c>
      <c r="E4394" t="str">
        <f>"1-243-4"</f>
        <v>1-243-4</v>
      </c>
      <c r="F4394" t="s">
        <v>15</v>
      </c>
      <c r="G4394" t="s">
        <v>16</v>
      </c>
      <c r="H4394" t="s">
        <v>17</v>
      </c>
      <c r="I4394">
        <v>0</v>
      </c>
      <c r="J4394">
        <v>0</v>
      </c>
      <c r="K4394">
        <v>1</v>
      </c>
    </row>
    <row r="4395" spans="1:11" x14ac:dyDescent="0.25">
      <c r="A4395" t="str">
        <f>"5531"</f>
        <v>5531</v>
      </c>
      <c r="B4395" t="str">
        <f t="shared" si="288"/>
        <v>1</v>
      </c>
      <c r="C4395" t="str">
        <f t="shared" si="287"/>
        <v>243</v>
      </c>
      <c r="D4395" t="str">
        <f>"8"</f>
        <v>8</v>
      </c>
      <c r="E4395" t="str">
        <f>"1-243-8"</f>
        <v>1-243-8</v>
      </c>
      <c r="F4395" t="s">
        <v>15</v>
      </c>
      <c r="G4395" t="s">
        <v>16</v>
      </c>
      <c r="H4395" t="s">
        <v>17</v>
      </c>
      <c r="I4395">
        <v>1</v>
      </c>
      <c r="J4395">
        <v>0</v>
      </c>
      <c r="K4395">
        <v>0</v>
      </c>
    </row>
    <row r="4396" spans="1:11" x14ac:dyDescent="0.25">
      <c r="A4396" t="str">
        <f>"5532"</f>
        <v>5532</v>
      </c>
      <c r="B4396" t="str">
        <f t="shared" si="288"/>
        <v>1</v>
      </c>
      <c r="C4396" t="str">
        <f t="shared" si="287"/>
        <v>243</v>
      </c>
      <c r="D4396" t="str">
        <f>"12"</f>
        <v>12</v>
      </c>
      <c r="E4396" t="str">
        <f>"1-243-12"</f>
        <v>1-243-12</v>
      </c>
      <c r="F4396" t="s">
        <v>15</v>
      </c>
      <c r="G4396" t="s">
        <v>16</v>
      </c>
      <c r="H4396" t="s">
        <v>17</v>
      </c>
      <c r="I4396">
        <v>1</v>
      </c>
      <c r="J4396">
        <v>0</v>
      </c>
      <c r="K4396">
        <v>0</v>
      </c>
    </row>
    <row r="4397" spans="1:11" x14ac:dyDescent="0.25">
      <c r="A4397" t="str">
        <f>"5533"</f>
        <v>5533</v>
      </c>
      <c r="B4397" t="str">
        <f t="shared" si="288"/>
        <v>1</v>
      </c>
      <c r="C4397" t="str">
        <f t="shared" si="287"/>
        <v>243</v>
      </c>
      <c r="D4397" t="str">
        <f>"9"</f>
        <v>9</v>
      </c>
      <c r="E4397" t="str">
        <f>"1-243-9"</f>
        <v>1-243-9</v>
      </c>
      <c r="F4397" t="s">
        <v>15</v>
      </c>
      <c r="G4397" t="s">
        <v>20</v>
      </c>
      <c r="H4397" t="s">
        <v>21</v>
      </c>
      <c r="I4397">
        <v>1</v>
      </c>
      <c r="J4397">
        <v>0</v>
      </c>
      <c r="K4397">
        <v>0</v>
      </c>
    </row>
    <row r="4398" spans="1:11" x14ac:dyDescent="0.25">
      <c r="A4398" t="str">
        <f>"5534"</f>
        <v>5534</v>
      </c>
      <c r="B4398" t="str">
        <f t="shared" si="288"/>
        <v>1</v>
      </c>
      <c r="C4398" t="str">
        <f t="shared" si="287"/>
        <v>243</v>
      </c>
      <c r="D4398" t="str">
        <f>"21"</f>
        <v>21</v>
      </c>
      <c r="E4398" t="str">
        <f>"1-243-21"</f>
        <v>1-243-21</v>
      </c>
      <c r="F4398" t="s">
        <v>15</v>
      </c>
      <c r="G4398" t="s">
        <v>16</v>
      </c>
      <c r="H4398" t="s">
        <v>17</v>
      </c>
      <c r="I4398">
        <v>0</v>
      </c>
      <c r="J4398">
        <v>0</v>
      </c>
      <c r="K4398">
        <v>0</v>
      </c>
    </row>
    <row r="4399" spans="1:11" x14ac:dyDescent="0.25">
      <c r="A4399" t="str">
        <f>"5535"</f>
        <v>5535</v>
      </c>
      <c r="B4399" t="str">
        <f t="shared" si="288"/>
        <v>1</v>
      </c>
      <c r="C4399" t="str">
        <f t="shared" ref="C4399:C4420" si="289">"244"</f>
        <v>244</v>
      </c>
      <c r="D4399" t="str">
        <f>"21"</f>
        <v>21</v>
      </c>
      <c r="E4399" t="str">
        <f>"1-244-21"</f>
        <v>1-244-21</v>
      </c>
      <c r="F4399" t="s">
        <v>15</v>
      </c>
      <c r="G4399" t="s">
        <v>16</v>
      </c>
      <c r="H4399" t="s">
        <v>17</v>
      </c>
      <c r="I4399">
        <v>0</v>
      </c>
      <c r="J4399">
        <v>0</v>
      </c>
      <c r="K4399">
        <v>1</v>
      </c>
    </row>
    <row r="4400" spans="1:11" x14ac:dyDescent="0.25">
      <c r="A4400" t="str">
        <f>"5536"</f>
        <v>5536</v>
      </c>
      <c r="B4400" t="str">
        <f t="shared" si="288"/>
        <v>1</v>
      </c>
      <c r="C4400" t="str">
        <f t="shared" si="289"/>
        <v>244</v>
      </c>
      <c r="D4400" t="str">
        <f>"15"</f>
        <v>15</v>
      </c>
      <c r="E4400" t="str">
        <f>"1-244-15"</f>
        <v>1-244-15</v>
      </c>
      <c r="F4400" t="s">
        <v>15</v>
      </c>
      <c r="G4400" t="s">
        <v>20</v>
      </c>
      <c r="H4400" t="s">
        <v>21</v>
      </c>
      <c r="I4400">
        <v>1</v>
      </c>
      <c r="J4400">
        <v>0</v>
      </c>
      <c r="K4400">
        <v>0</v>
      </c>
    </row>
    <row r="4401" spans="1:11" x14ac:dyDescent="0.25">
      <c r="A4401" t="str">
        <f>"5537"</f>
        <v>5537</v>
      </c>
      <c r="B4401" t="str">
        <f t="shared" si="288"/>
        <v>1</v>
      </c>
      <c r="C4401" t="str">
        <f t="shared" si="289"/>
        <v>244</v>
      </c>
      <c r="D4401" t="str">
        <f>"6"</f>
        <v>6</v>
      </c>
      <c r="E4401" t="str">
        <f>"1-244-6"</f>
        <v>1-244-6</v>
      </c>
      <c r="F4401" t="s">
        <v>15</v>
      </c>
      <c r="G4401" t="s">
        <v>20</v>
      </c>
      <c r="H4401" t="s">
        <v>21</v>
      </c>
      <c r="I4401">
        <v>0</v>
      </c>
      <c r="J4401">
        <v>1</v>
      </c>
      <c r="K4401">
        <v>0</v>
      </c>
    </row>
    <row r="4402" spans="1:11" x14ac:dyDescent="0.25">
      <c r="A4402" t="str">
        <f>"5538"</f>
        <v>5538</v>
      </c>
      <c r="B4402" t="str">
        <f t="shared" si="288"/>
        <v>1</v>
      </c>
      <c r="C4402" t="str">
        <f t="shared" si="289"/>
        <v>244</v>
      </c>
      <c r="D4402" t="str">
        <f>"24"</f>
        <v>24</v>
      </c>
      <c r="E4402" t="str">
        <f>"1-244-24"</f>
        <v>1-244-24</v>
      </c>
      <c r="F4402" t="s">
        <v>15</v>
      </c>
      <c r="G4402" t="s">
        <v>16</v>
      </c>
      <c r="H4402" t="s">
        <v>17</v>
      </c>
      <c r="I4402">
        <v>0</v>
      </c>
      <c r="J4402">
        <v>1</v>
      </c>
      <c r="K4402">
        <v>0</v>
      </c>
    </row>
    <row r="4403" spans="1:11" x14ac:dyDescent="0.25">
      <c r="A4403" t="str">
        <f>"5539"</f>
        <v>5539</v>
      </c>
      <c r="B4403" t="str">
        <f t="shared" si="288"/>
        <v>1</v>
      </c>
      <c r="C4403" t="str">
        <f t="shared" si="289"/>
        <v>244</v>
      </c>
      <c r="D4403" t="str">
        <f>"3"</f>
        <v>3</v>
      </c>
      <c r="E4403" t="str">
        <f>"1-244-3"</f>
        <v>1-244-3</v>
      </c>
      <c r="F4403" t="s">
        <v>15</v>
      </c>
      <c r="G4403" t="s">
        <v>16</v>
      </c>
      <c r="H4403" t="s">
        <v>17</v>
      </c>
      <c r="I4403">
        <v>1</v>
      </c>
      <c r="J4403">
        <v>0</v>
      </c>
      <c r="K4403">
        <v>0</v>
      </c>
    </row>
    <row r="4404" spans="1:11" x14ac:dyDescent="0.25">
      <c r="A4404" t="str">
        <f>"5540"</f>
        <v>5540</v>
      </c>
      <c r="B4404" t="str">
        <f t="shared" si="288"/>
        <v>1</v>
      </c>
      <c r="C4404" t="str">
        <f t="shared" si="289"/>
        <v>244</v>
      </c>
      <c r="D4404" t="str">
        <f>"17"</f>
        <v>17</v>
      </c>
      <c r="E4404" t="str">
        <f>"1-244-17"</f>
        <v>1-244-17</v>
      </c>
      <c r="F4404" t="s">
        <v>15</v>
      </c>
      <c r="G4404" t="s">
        <v>20</v>
      </c>
      <c r="H4404" t="s">
        <v>21</v>
      </c>
      <c r="I4404">
        <v>1</v>
      </c>
      <c r="J4404">
        <v>0</v>
      </c>
      <c r="K4404">
        <v>0</v>
      </c>
    </row>
    <row r="4405" spans="1:11" x14ac:dyDescent="0.25">
      <c r="A4405" t="str">
        <f>"5542"</f>
        <v>5542</v>
      </c>
      <c r="B4405" t="str">
        <f t="shared" si="288"/>
        <v>1</v>
      </c>
      <c r="C4405" t="str">
        <f t="shared" si="289"/>
        <v>244</v>
      </c>
      <c r="D4405" t="str">
        <f>"18"</f>
        <v>18</v>
      </c>
      <c r="E4405" t="str">
        <f>"1-244-18"</f>
        <v>1-244-18</v>
      </c>
      <c r="F4405" t="s">
        <v>15</v>
      </c>
      <c r="G4405" t="s">
        <v>16</v>
      </c>
      <c r="H4405" t="s">
        <v>17</v>
      </c>
      <c r="I4405">
        <v>0</v>
      </c>
      <c r="J4405">
        <v>0</v>
      </c>
      <c r="K4405">
        <v>1</v>
      </c>
    </row>
    <row r="4406" spans="1:11" x14ac:dyDescent="0.25">
      <c r="A4406" t="str">
        <f>"5543"</f>
        <v>5543</v>
      </c>
      <c r="B4406" t="str">
        <f t="shared" si="288"/>
        <v>1</v>
      </c>
      <c r="C4406" t="str">
        <f t="shared" si="289"/>
        <v>244</v>
      </c>
      <c r="D4406" t="str">
        <f>"11"</f>
        <v>11</v>
      </c>
      <c r="E4406" t="str">
        <f>"1-244-11"</f>
        <v>1-244-11</v>
      </c>
      <c r="F4406" t="s">
        <v>15</v>
      </c>
      <c r="G4406" t="s">
        <v>16</v>
      </c>
      <c r="H4406" t="s">
        <v>17</v>
      </c>
      <c r="I4406">
        <v>0</v>
      </c>
      <c r="J4406">
        <v>0</v>
      </c>
      <c r="K4406">
        <v>1</v>
      </c>
    </row>
    <row r="4407" spans="1:11" x14ac:dyDescent="0.25">
      <c r="A4407" t="str">
        <f>"5544"</f>
        <v>5544</v>
      </c>
      <c r="B4407" t="str">
        <f t="shared" si="288"/>
        <v>1</v>
      </c>
      <c r="C4407" t="str">
        <f t="shared" si="289"/>
        <v>244</v>
      </c>
      <c r="D4407" t="str">
        <f>"19"</f>
        <v>19</v>
      </c>
      <c r="E4407" t="str">
        <f>"1-244-19"</f>
        <v>1-244-19</v>
      </c>
      <c r="F4407" t="s">
        <v>15</v>
      </c>
      <c r="G4407" t="s">
        <v>16</v>
      </c>
      <c r="H4407" t="s">
        <v>17</v>
      </c>
      <c r="I4407">
        <v>0</v>
      </c>
      <c r="J4407">
        <v>1</v>
      </c>
      <c r="K4407">
        <v>0</v>
      </c>
    </row>
    <row r="4408" spans="1:11" x14ac:dyDescent="0.25">
      <c r="A4408" t="str">
        <f>"5546"</f>
        <v>5546</v>
      </c>
      <c r="B4408" t="str">
        <f t="shared" si="288"/>
        <v>1</v>
      </c>
      <c r="C4408" t="str">
        <f t="shared" si="289"/>
        <v>244</v>
      </c>
      <c r="D4408" t="str">
        <f>"20"</f>
        <v>20</v>
      </c>
      <c r="E4408" t="str">
        <f>"1-244-20"</f>
        <v>1-244-20</v>
      </c>
      <c r="F4408" t="s">
        <v>15</v>
      </c>
      <c r="G4408" t="s">
        <v>16</v>
      </c>
      <c r="H4408" t="s">
        <v>17</v>
      </c>
      <c r="I4408">
        <v>0</v>
      </c>
      <c r="J4408">
        <v>0</v>
      </c>
      <c r="K4408">
        <v>1</v>
      </c>
    </row>
    <row r="4409" spans="1:11" x14ac:dyDescent="0.25">
      <c r="A4409" t="str">
        <f>"5548"</f>
        <v>5548</v>
      </c>
      <c r="B4409" t="str">
        <f t="shared" si="288"/>
        <v>1</v>
      </c>
      <c r="C4409" t="str">
        <f t="shared" si="289"/>
        <v>244</v>
      </c>
      <c r="D4409" t="str">
        <f>"22"</f>
        <v>22</v>
      </c>
      <c r="E4409" t="str">
        <f>"1-244-22"</f>
        <v>1-244-22</v>
      </c>
      <c r="F4409" t="s">
        <v>15</v>
      </c>
      <c r="G4409" t="s">
        <v>16</v>
      </c>
      <c r="H4409" t="s">
        <v>17</v>
      </c>
      <c r="I4409">
        <v>0</v>
      </c>
      <c r="J4409">
        <v>0</v>
      </c>
      <c r="K4409">
        <v>1</v>
      </c>
    </row>
    <row r="4410" spans="1:11" x14ac:dyDescent="0.25">
      <c r="A4410" t="str">
        <f>"5549"</f>
        <v>5549</v>
      </c>
      <c r="B4410" t="str">
        <f t="shared" si="288"/>
        <v>1</v>
      </c>
      <c r="C4410" t="str">
        <f t="shared" si="289"/>
        <v>244</v>
      </c>
      <c r="D4410" t="str">
        <f>"10"</f>
        <v>10</v>
      </c>
      <c r="E4410" t="str">
        <f>"1-244-10"</f>
        <v>1-244-10</v>
      </c>
      <c r="F4410" t="s">
        <v>15</v>
      </c>
      <c r="G4410" t="s">
        <v>20</v>
      </c>
      <c r="H4410" t="s">
        <v>21</v>
      </c>
      <c r="I4410">
        <v>0</v>
      </c>
      <c r="J4410">
        <v>0</v>
      </c>
      <c r="K4410">
        <v>1</v>
      </c>
    </row>
    <row r="4411" spans="1:11" x14ac:dyDescent="0.25">
      <c r="A4411" t="str">
        <f>"5550"</f>
        <v>5550</v>
      </c>
      <c r="B4411" t="str">
        <f t="shared" si="288"/>
        <v>1</v>
      </c>
      <c r="C4411" t="str">
        <f t="shared" si="289"/>
        <v>244</v>
      </c>
      <c r="D4411" t="str">
        <f>"23"</f>
        <v>23</v>
      </c>
      <c r="E4411" t="str">
        <f>"1-244-23"</f>
        <v>1-244-23</v>
      </c>
      <c r="F4411" t="s">
        <v>15</v>
      </c>
      <c r="G4411" t="s">
        <v>18</v>
      </c>
      <c r="H4411" t="s">
        <v>19</v>
      </c>
      <c r="I4411">
        <v>0</v>
      </c>
      <c r="J4411">
        <v>1</v>
      </c>
      <c r="K4411">
        <v>0</v>
      </c>
    </row>
    <row r="4412" spans="1:11" x14ac:dyDescent="0.25">
      <c r="A4412" t="str">
        <f>"5551"</f>
        <v>5551</v>
      </c>
      <c r="B4412" t="str">
        <f t="shared" si="288"/>
        <v>1</v>
      </c>
      <c r="C4412" t="str">
        <f t="shared" si="289"/>
        <v>244</v>
      </c>
      <c r="D4412" t="str">
        <f>"9"</f>
        <v>9</v>
      </c>
      <c r="E4412" t="str">
        <f>"1-244-9"</f>
        <v>1-244-9</v>
      </c>
      <c r="F4412" t="s">
        <v>15</v>
      </c>
      <c r="G4412" t="s">
        <v>20</v>
      </c>
      <c r="H4412" t="s">
        <v>21</v>
      </c>
      <c r="I4412">
        <v>0</v>
      </c>
      <c r="J4412">
        <v>0</v>
      </c>
      <c r="K4412">
        <v>1</v>
      </c>
    </row>
    <row r="4413" spans="1:11" x14ac:dyDescent="0.25">
      <c r="A4413" t="str">
        <f>"5552"</f>
        <v>5552</v>
      </c>
      <c r="B4413" t="str">
        <f t="shared" si="288"/>
        <v>1</v>
      </c>
      <c r="C4413" t="str">
        <f t="shared" si="289"/>
        <v>244</v>
      </c>
      <c r="D4413" t="str">
        <f>"25"</f>
        <v>25</v>
      </c>
      <c r="E4413" t="str">
        <f>"1-244-25"</f>
        <v>1-244-25</v>
      </c>
      <c r="F4413" t="s">
        <v>15</v>
      </c>
      <c r="G4413" t="s">
        <v>18</v>
      </c>
      <c r="H4413" t="s">
        <v>19</v>
      </c>
      <c r="I4413">
        <v>1</v>
      </c>
      <c r="J4413">
        <v>0</v>
      </c>
      <c r="K4413">
        <v>0</v>
      </c>
    </row>
    <row r="4414" spans="1:11" x14ac:dyDescent="0.25">
      <c r="A4414" t="str">
        <f>"5553"</f>
        <v>5553</v>
      </c>
      <c r="B4414" t="str">
        <f t="shared" si="288"/>
        <v>1</v>
      </c>
      <c r="C4414" t="str">
        <f t="shared" si="289"/>
        <v>244</v>
      </c>
      <c r="D4414" t="str">
        <f>"7"</f>
        <v>7</v>
      </c>
      <c r="E4414" t="str">
        <f>"1-244-7"</f>
        <v>1-244-7</v>
      </c>
      <c r="F4414" t="s">
        <v>15</v>
      </c>
      <c r="G4414" t="s">
        <v>20</v>
      </c>
      <c r="H4414" t="s">
        <v>21</v>
      </c>
      <c r="I4414">
        <v>0</v>
      </c>
      <c r="J4414">
        <v>0</v>
      </c>
      <c r="K4414">
        <v>1</v>
      </c>
    </row>
    <row r="4415" spans="1:11" x14ac:dyDescent="0.25">
      <c r="A4415" t="str">
        <f>"5554"</f>
        <v>5554</v>
      </c>
      <c r="B4415" t="str">
        <f t="shared" si="288"/>
        <v>1</v>
      </c>
      <c r="C4415" t="str">
        <f t="shared" si="289"/>
        <v>244</v>
      </c>
      <c r="D4415" t="str">
        <f>"2"</f>
        <v>2</v>
      </c>
      <c r="E4415" t="str">
        <f>"1-244-2"</f>
        <v>1-244-2</v>
      </c>
      <c r="F4415" t="s">
        <v>15</v>
      </c>
      <c r="G4415" t="s">
        <v>16</v>
      </c>
      <c r="H4415" t="s">
        <v>17</v>
      </c>
      <c r="I4415">
        <v>0</v>
      </c>
      <c r="J4415">
        <v>0</v>
      </c>
      <c r="K4415">
        <v>1</v>
      </c>
    </row>
    <row r="4416" spans="1:11" x14ac:dyDescent="0.25">
      <c r="A4416" t="str">
        <f>"5555"</f>
        <v>5555</v>
      </c>
      <c r="B4416" t="str">
        <f t="shared" si="288"/>
        <v>1</v>
      </c>
      <c r="C4416" t="str">
        <f t="shared" si="289"/>
        <v>244</v>
      </c>
      <c r="D4416" t="str">
        <f>"8"</f>
        <v>8</v>
      </c>
      <c r="E4416" t="str">
        <f>"1-244-8"</f>
        <v>1-244-8</v>
      </c>
      <c r="F4416" t="s">
        <v>15</v>
      </c>
      <c r="G4416" t="s">
        <v>20</v>
      </c>
      <c r="H4416" t="s">
        <v>21</v>
      </c>
      <c r="I4416">
        <v>0</v>
      </c>
      <c r="J4416">
        <v>0</v>
      </c>
      <c r="K4416">
        <v>1</v>
      </c>
    </row>
    <row r="4417" spans="1:11" x14ac:dyDescent="0.25">
      <c r="A4417" t="str">
        <f>"5556"</f>
        <v>5556</v>
      </c>
      <c r="B4417" t="str">
        <f t="shared" si="288"/>
        <v>1</v>
      </c>
      <c r="C4417" t="str">
        <f t="shared" si="289"/>
        <v>244</v>
      </c>
      <c r="D4417" t="str">
        <f>"4"</f>
        <v>4</v>
      </c>
      <c r="E4417" t="str">
        <f>"1-244-4"</f>
        <v>1-244-4</v>
      </c>
      <c r="F4417" t="s">
        <v>15</v>
      </c>
      <c r="G4417" t="s">
        <v>16</v>
      </c>
      <c r="H4417" t="s">
        <v>17</v>
      </c>
      <c r="I4417">
        <v>0</v>
      </c>
      <c r="J4417">
        <v>0</v>
      </c>
      <c r="K4417">
        <v>1</v>
      </c>
    </row>
    <row r="4418" spans="1:11" x14ac:dyDescent="0.25">
      <c r="A4418" t="str">
        <f>"5557"</f>
        <v>5557</v>
      </c>
      <c r="B4418" t="str">
        <f t="shared" si="288"/>
        <v>1</v>
      </c>
      <c r="C4418" t="str">
        <f t="shared" si="289"/>
        <v>244</v>
      </c>
      <c r="D4418" t="str">
        <f>"14"</f>
        <v>14</v>
      </c>
      <c r="E4418" t="str">
        <f>"1-244-14"</f>
        <v>1-244-14</v>
      </c>
      <c r="F4418" t="s">
        <v>15</v>
      </c>
      <c r="G4418" t="s">
        <v>16</v>
      </c>
      <c r="H4418" t="s">
        <v>17</v>
      </c>
      <c r="I4418">
        <v>0</v>
      </c>
      <c r="J4418">
        <v>0</v>
      </c>
      <c r="K4418">
        <v>1</v>
      </c>
    </row>
    <row r="4419" spans="1:11" x14ac:dyDescent="0.25">
      <c r="A4419" t="str">
        <f>"5558"</f>
        <v>5558</v>
      </c>
      <c r="B4419" t="str">
        <f t="shared" si="288"/>
        <v>1</v>
      </c>
      <c r="C4419" t="str">
        <f t="shared" si="289"/>
        <v>244</v>
      </c>
      <c r="D4419" t="str">
        <f>"13"</f>
        <v>13</v>
      </c>
      <c r="E4419" t="str">
        <f>"1-244-13"</f>
        <v>1-244-13</v>
      </c>
      <c r="F4419" t="s">
        <v>15</v>
      </c>
      <c r="G4419" t="s">
        <v>16</v>
      </c>
      <c r="H4419" t="s">
        <v>17</v>
      </c>
      <c r="I4419">
        <v>0</v>
      </c>
      <c r="J4419">
        <v>0</v>
      </c>
      <c r="K4419">
        <v>1</v>
      </c>
    </row>
    <row r="4420" spans="1:11" x14ac:dyDescent="0.25">
      <c r="A4420" t="str">
        <f>"5559"</f>
        <v>5559</v>
      </c>
      <c r="B4420" t="str">
        <f t="shared" si="288"/>
        <v>1</v>
      </c>
      <c r="C4420" t="str">
        <f t="shared" si="289"/>
        <v>244</v>
      </c>
      <c r="D4420" t="str">
        <f>"16"</f>
        <v>16</v>
      </c>
      <c r="E4420" t="str">
        <f>"1-244-16"</f>
        <v>1-244-16</v>
      </c>
      <c r="F4420" t="s">
        <v>15</v>
      </c>
      <c r="G4420" t="s">
        <v>20</v>
      </c>
      <c r="H4420" t="s">
        <v>21</v>
      </c>
      <c r="I4420">
        <v>0</v>
      </c>
      <c r="J4420">
        <v>0</v>
      </c>
      <c r="K4420">
        <v>0</v>
      </c>
    </row>
    <row r="4421" spans="1:11" x14ac:dyDescent="0.25">
      <c r="A4421" t="str">
        <f>"5584"</f>
        <v>5584</v>
      </c>
      <c r="B4421" t="str">
        <f t="shared" si="288"/>
        <v>1</v>
      </c>
      <c r="C4421" t="str">
        <f t="shared" ref="C4421:C4451" si="290">"246"</f>
        <v>246</v>
      </c>
      <c r="D4421" t="str">
        <f>"19"</f>
        <v>19</v>
      </c>
      <c r="E4421" t="str">
        <f>"1-246-19"</f>
        <v>1-246-19</v>
      </c>
      <c r="F4421" t="s">
        <v>15</v>
      </c>
      <c r="G4421" t="s">
        <v>18</v>
      </c>
      <c r="H4421" t="s">
        <v>19</v>
      </c>
      <c r="I4421">
        <v>1</v>
      </c>
      <c r="J4421">
        <v>0</v>
      </c>
      <c r="K4421">
        <v>0</v>
      </c>
    </row>
    <row r="4422" spans="1:11" x14ac:dyDescent="0.25">
      <c r="A4422" t="str">
        <f>"5585"</f>
        <v>5585</v>
      </c>
      <c r="B4422" t="str">
        <f t="shared" si="288"/>
        <v>1</v>
      </c>
      <c r="C4422" t="str">
        <f t="shared" si="290"/>
        <v>246</v>
      </c>
      <c r="D4422" t="str">
        <f>"15"</f>
        <v>15</v>
      </c>
      <c r="E4422" t="str">
        <f>"1-246-15"</f>
        <v>1-246-15</v>
      </c>
      <c r="F4422" t="s">
        <v>15</v>
      </c>
      <c r="G4422" t="s">
        <v>18</v>
      </c>
      <c r="H4422" t="s">
        <v>19</v>
      </c>
      <c r="I4422">
        <v>1</v>
      </c>
      <c r="J4422">
        <v>0</v>
      </c>
      <c r="K4422">
        <v>0</v>
      </c>
    </row>
    <row r="4423" spans="1:11" x14ac:dyDescent="0.25">
      <c r="A4423" t="str">
        <f>"5586"</f>
        <v>5586</v>
      </c>
      <c r="B4423" t="str">
        <f t="shared" si="288"/>
        <v>1</v>
      </c>
      <c r="C4423" t="str">
        <f t="shared" si="290"/>
        <v>246</v>
      </c>
      <c r="D4423" t="str">
        <f>"6"</f>
        <v>6</v>
      </c>
      <c r="E4423" t="str">
        <f>"1-246-6"</f>
        <v>1-246-6</v>
      </c>
      <c r="F4423" t="s">
        <v>15</v>
      </c>
      <c r="G4423" t="s">
        <v>18</v>
      </c>
      <c r="H4423" t="s">
        <v>19</v>
      </c>
      <c r="I4423">
        <v>0</v>
      </c>
      <c r="J4423">
        <v>1</v>
      </c>
      <c r="K4423">
        <v>0</v>
      </c>
    </row>
    <row r="4424" spans="1:11" x14ac:dyDescent="0.25">
      <c r="A4424" t="str">
        <f>"5587"</f>
        <v>5587</v>
      </c>
      <c r="B4424" t="str">
        <f t="shared" si="288"/>
        <v>1</v>
      </c>
      <c r="C4424" t="str">
        <f t="shared" si="290"/>
        <v>246</v>
      </c>
      <c r="D4424" t="str">
        <f>"20"</f>
        <v>20</v>
      </c>
      <c r="E4424" t="str">
        <f>"1-246-20"</f>
        <v>1-246-20</v>
      </c>
      <c r="F4424" t="s">
        <v>15</v>
      </c>
      <c r="G4424" t="s">
        <v>18</v>
      </c>
      <c r="H4424" t="s">
        <v>19</v>
      </c>
      <c r="I4424">
        <v>1</v>
      </c>
      <c r="J4424">
        <v>0</v>
      </c>
      <c r="K4424">
        <v>0</v>
      </c>
    </row>
    <row r="4425" spans="1:11" x14ac:dyDescent="0.25">
      <c r="A4425" t="str">
        <f>"5588"</f>
        <v>5588</v>
      </c>
      <c r="B4425" t="str">
        <f t="shared" si="288"/>
        <v>1</v>
      </c>
      <c r="C4425" t="str">
        <f t="shared" si="290"/>
        <v>246</v>
      </c>
      <c r="D4425" t="str">
        <f>"16"</f>
        <v>16</v>
      </c>
      <c r="E4425" t="str">
        <f>"1-246-16"</f>
        <v>1-246-16</v>
      </c>
      <c r="F4425" t="s">
        <v>15</v>
      </c>
      <c r="G4425" t="s">
        <v>18</v>
      </c>
      <c r="H4425" t="s">
        <v>19</v>
      </c>
      <c r="I4425">
        <v>1</v>
      </c>
      <c r="J4425">
        <v>0</v>
      </c>
      <c r="K4425">
        <v>0</v>
      </c>
    </row>
    <row r="4426" spans="1:11" x14ac:dyDescent="0.25">
      <c r="A4426" t="str">
        <f>"5589"</f>
        <v>5589</v>
      </c>
      <c r="B4426" t="str">
        <f t="shared" si="288"/>
        <v>1</v>
      </c>
      <c r="C4426" t="str">
        <f t="shared" si="290"/>
        <v>246</v>
      </c>
      <c r="D4426" t="str">
        <f>"10"</f>
        <v>10</v>
      </c>
      <c r="E4426" t="str">
        <f>"1-246-10"</f>
        <v>1-246-10</v>
      </c>
      <c r="F4426" t="s">
        <v>15</v>
      </c>
      <c r="G4426" t="s">
        <v>18</v>
      </c>
      <c r="H4426" t="s">
        <v>19</v>
      </c>
      <c r="I4426">
        <v>1</v>
      </c>
      <c r="J4426">
        <v>0</v>
      </c>
      <c r="K4426">
        <v>0</v>
      </c>
    </row>
    <row r="4427" spans="1:11" x14ac:dyDescent="0.25">
      <c r="A4427" t="str">
        <f>"5590"</f>
        <v>5590</v>
      </c>
      <c r="B4427" t="str">
        <f t="shared" si="288"/>
        <v>1</v>
      </c>
      <c r="C4427" t="str">
        <f t="shared" si="290"/>
        <v>246</v>
      </c>
      <c r="D4427" t="str">
        <f>"31"</f>
        <v>31</v>
      </c>
      <c r="E4427" t="str">
        <f>"1-246-31"</f>
        <v>1-246-31</v>
      </c>
      <c r="F4427" t="s">
        <v>15</v>
      </c>
      <c r="G4427" t="s">
        <v>18</v>
      </c>
      <c r="H4427" t="s">
        <v>19</v>
      </c>
      <c r="I4427">
        <v>0</v>
      </c>
      <c r="J4427">
        <v>0</v>
      </c>
      <c r="K4427">
        <v>1</v>
      </c>
    </row>
    <row r="4428" spans="1:11" x14ac:dyDescent="0.25">
      <c r="A4428" t="str">
        <f>"5591"</f>
        <v>5591</v>
      </c>
      <c r="B4428" t="str">
        <f t="shared" si="288"/>
        <v>1</v>
      </c>
      <c r="C4428" t="str">
        <f t="shared" si="290"/>
        <v>246</v>
      </c>
      <c r="D4428" t="str">
        <f>"17"</f>
        <v>17</v>
      </c>
      <c r="E4428" t="str">
        <f>"1-246-17"</f>
        <v>1-246-17</v>
      </c>
      <c r="F4428" t="s">
        <v>15</v>
      </c>
      <c r="G4428" t="s">
        <v>18</v>
      </c>
      <c r="H4428" t="s">
        <v>19</v>
      </c>
      <c r="I4428">
        <v>0</v>
      </c>
      <c r="J4428">
        <v>1</v>
      </c>
      <c r="K4428">
        <v>0</v>
      </c>
    </row>
    <row r="4429" spans="1:11" x14ac:dyDescent="0.25">
      <c r="A4429" t="str">
        <f>"5592"</f>
        <v>5592</v>
      </c>
      <c r="B4429" t="str">
        <f t="shared" si="288"/>
        <v>1</v>
      </c>
      <c r="C4429" t="str">
        <f t="shared" si="290"/>
        <v>246</v>
      </c>
      <c r="D4429" t="str">
        <f>"1"</f>
        <v>1</v>
      </c>
      <c r="E4429" t="str">
        <f>"1-246-1"</f>
        <v>1-246-1</v>
      </c>
      <c r="F4429" t="s">
        <v>15</v>
      </c>
      <c r="G4429" t="s">
        <v>18</v>
      </c>
      <c r="H4429" t="s">
        <v>19</v>
      </c>
      <c r="I4429">
        <v>1</v>
      </c>
      <c r="J4429">
        <v>0</v>
      </c>
      <c r="K4429">
        <v>0</v>
      </c>
    </row>
    <row r="4430" spans="1:11" x14ac:dyDescent="0.25">
      <c r="A4430" t="str">
        <f>"5593"</f>
        <v>5593</v>
      </c>
      <c r="B4430" t="str">
        <f t="shared" si="288"/>
        <v>1</v>
      </c>
      <c r="C4430" t="str">
        <f t="shared" si="290"/>
        <v>246</v>
      </c>
      <c r="D4430" t="str">
        <f>"18"</f>
        <v>18</v>
      </c>
      <c r="E4430" t="str">
        <f>"1-246-18"</f>
        <v>1-246-18</v>
      </c>
      <c r="F4430" t="s">
        <v>15</v>
      </c>
      <c r="G4430" t="s">
        <v>18</v>
      </c>
      <c r="H4430" t="s">
        <v>19</v>
      </c>
      <c r="I4430">
        <v>0</v>
      </c>
      <c r="J4430">
        <v>1</v>
      </c>
      <c r="K4430">
        <v>0</v>
      </c>
    </row>
    <row r="4431" spans="1:11" x14ac:dyDescent="0.25">
      <c r="A4431" t="str">
        <f>"5594"</f>
        <v>5594</v>
      </c>
      <c r="B4431" t="str">
        <f t="shared" ref="B4431:B4478" si="291">"1"</f>
        <v>1</v>
      </c>
      <c r="C4431" t="str">
        <f t="shared" si="290"/>
        <v>246</v>
      </c>
      <c r="D4431" t="str">
        <f>"8"</f>
        <v>8</v>
      </c>
      <c r="E4431" t="str">
        <f>"1-246-8"</f>
        <v>1-246-8</v>
      </c>
      <c r="F4431" t="s">
        <v>15</v>
      </c>
      <c r="G4431" t="s">
        <v>18</v>
      </c>
      <c r="H4431" t="s">
        <v>19</v>
      </c>
      <c r="I4431">
        <v>0</v>
      </c>
      <c r="J4431">
        <v>1</v>
      </c>
      <c r="K4431">
        <v>0</v>
      </c>
    </row>
    <row r="4432" spans="1:11" x14ac:dyDescent="0.25">
      <c r="A4432" t="str">
        <f>"5595"</f>
        <v>5595</v>
      </c>
      <c r="B4432" t="str">
        <f t="shared" si="291"/>
        <v>1</v>
      </c>
      <c r="C4432" t="str">
        <f t="shared" si="290"/>
        <v>246</v>
      </c>
      <c r="D4432" t="str">
        <f>"21"</f>
        <v>21</v>
      </c>
      <c r="E4432" t="str">
        <f>"1-246-21"</f>
        <v>1-246-21</v>
      </c>
      <c r="F4432" t="s">
        <v>15</v>
      </c>
      <c r="G4432" t="s">
        <v>18</v>
      </c>
      <c r="H4432" t="s">
        <v>19</v>
      </c>
      <c r="I4432">
        <v>0</v>
      </c>
      <c r="J4432">
        <v>0</v>
      </c>
      <c r="K4432">
        <v>1</v>
      </c>
    </row>
    <row r="4433" spans="1:11" x14ac:dyDescent="0.25">
      <c r="A4433" t="str">
        <f>"5596"</f>
        <v>5596</v>
      </c>
      <c r="B4433" t="str">
        <f t="shared" si="291"/>
        <v>1</v>
      </c>
      <c r="C4433" t="str">
        <f t="shared" si="290"/>
        <v>246</v>
      </c>
      <c r="D4433" t="str">
        <f>"2"</f>
        <v>2</v>
      </c>
      <c r="E4433" t="str">
        <f>"1-246-2"</f>
        <v>1-246-2</v>
      </c>
      <c r="F4433" t="s">
        <v>15</v>
      </c>
      <c r="G4433" t="s">
        <v>18</v>
      </c>
      <c r="H4433" t="s">
        <v>19</v>
      </c>
      <c r="I4433">
        <v>0</v>
      </c>
      <c r="J4433">
        <v>1</v>
      </c>
      <c r="K4433">
        <v>0</v>
      </c>
    </row>
    <row r="4434" spans="1:11" x14ac:dyDescent="0.25">
      <c r="A4434" t="str">
        <f>"5597"</f>
        <v>5597</v>
      </c>
      <c r="B4434" t="str">
        <f t="shared" si="291"/>
        <v>1</v>
      </c>
      <c r="C4434" t="str">
        <f t="shared" si="290"/>
        <v>246</v>
      </c>
      <c r="D4434" t="str">
        <f>"22"</f>
        <v>22</v>
      </c>
      <c r="E4434" t="str">
        <f>"1-246-22"</f>
        <v>1-246-22</v>
      </c>
      <c r="F4434" t="s">
        <v>15</v>
      </c>
      <c r="G4434" t="s">
        <v>18</v>
      </c>
      <c r="H4434" t="s">
        <v>19</v>
      </c>
      <c r="I4434">
        <v>0</v>
      </c>
      <c r="J4434">
        <v>0</v>
      </c>
      <c r="K4434">
        <v>1</v>
      </c>
    </row>
    <row r="4435" spans="1:11" x14ac:dyDescent="0.25">
      <c r="A4435" t="str">
        <f>"5598"</f>
        <v>5598</v>
      </c>
      <c r="B4435" t="str">
        <f t="shared" si="291"/>
        <v>1</v>
      </c>
      <c r="C4435" t="str">
        <f t="shared" si="290"/>
        <v>246</v>
      </c>
      <c r="D4435" t="str">
        <f>"4"</f>
        <v>4</v>
      </c>
      <c r="E4435" t="str">
        <f>"1-246-4"</f>
        <v>1-246-4</v>
      </c>
      <c r="F4435" t="s">
        <v>15</v>
      </c>
      <c r="G4435" t="s">
        <v>18</v>
      </c>
      <c r="H4435" t="s">
        <v>19</v>
      </c>
      <c r="I4435">
        <v>0</v>
      </c>
      <c r="J4435">
        <v>1</v>
      </c>
      <c r="K4435">
        <v>0</v>
      </c>
    </row>
    <row r="4436" spans="1:11" x14ac:dyDescent="0.25">
      <c r="A4436" t="str">
        <f>"5599"</f>
        <v>5599</v>
      </c>
      <c r="B4436" t="str">
        <f t="shared" si="291"/>
        <v>1</v>
      </c>
      <c r="C4436" t="str">
        <f t="shared" si="290"/>
        <v>246</v>
      </c>
      <c r="D4436" t="str">
        <f>"23"</f>
        <v>23</v>
      </c>
      <c r="E4436" t="str">
        <f>"1-246-23"</f>
        <v>1-246-23</v>
      </c>
      <c r="F4436" t="s">
        <v>15</v>
      </c>
      <c r="G4436" t="s">
        <v>18</v>
      </c>
      <c r="H4436" t="s">
        <v>19</v>
      </c>
      <c r="I4436">
        <v>1</v>
      </c>
      <c r="J4436">
        <v>0</v>
      </c>
      <c r="K4436">
        <v>0</v>
      </c>
    </row>
    <row r="4437" spans="1:11" x14ac:dyDescent="0.25">
      <c r="A4437" t="str">
        <f>"5600"</f>
        <v>5600</v>
      </c>
      <c r="B4437" t="str">
        <f t="shared" si="291"/>
        <v>1</v>
      </c>
      <c r="C4437" t="str">
        <f t="shared" si="290"/>
        <v>246</v>
      </c>
      <c r="D4437" t="str">
        <f>"14"</f>
        <v>14</v>
      </c>
      <c r="E4437" t="str">
        <f>"1-246-14"</f>
        <v>1-246-14</v>
      </c>
      <c r="F4437" t="s">
        <v>15</v>
      </c>
      <c r="G4437" t="s">
        <v>18</v>
      </c>
      <c r="H4437" t="s">
        <v>19</v>
      </c>
      <c r="I4437">
        <v>0</v>
      </c>
      <c r="J4437">
        <v>1</v>
      </c>
      <c r="K4437">
        <v>0</v>
      </c>
    </row>
    <row r="4438" spans="1:11" x14ac:dyDescent="0.25">
      <c r="A4438" t="str">
        <f>"5601"</f>
        <v>5601</v>
      </c>
      <c r="B4438" t="str">
        <f t="shared" si="291"/>
        <v>1</v>
      </c>
      <c r="C4438" t="str">
        <f t="shared" si="290"/>
        <v>246</v>
      </c>
      <c r="D4438" t="str">
        <f>"24"</f>
        <v>24</v>
      </c>
      <c r="E4438" t="str">
        <f>"1-246-24"</f>
        <v>1-246-24</v>
      </c>
      <c r="F4438" t="s">
        <v>15</v>
      </c>
      <c r="G4438" t="s">
        <v>16</v>
      </c>
      <c r="H4438" t="s">
        <v>17</v>
      </c>
      <c r="I4438">
        <v>1</v>
      </c>
      <c r="J4438">
        <v>0</v>
      </c>
      <c r="K4438">
        <v>0</v>
      </c>
    </row>
    <row r="4439" spans="1:11" x14ac:dyDescent="0.25">
      <c r="A4439" t="str">
        <f>"5602"</f>
        <v>5602</v>
      </c>
      <c r="B4439" t="str">
        <f t="shared" si="291"/>
        <v>1</v>
      </c>
      <c r="C4439" t="str">
        <f t="shared" si="290"/>
        <v>246</v>
      </c>
      <c r="D4439" t="str">
        <f>"5"</f>
        <v>5</v>
      </c>
      <c r="E4439" t="str">
        <f>"1-246-5"</f>
        <v>1-246-5</v>
      </c>
      <c r="F4439" t="s">
        <v>15</v>
      </c>
      <c r="G4439" t="s">
        <v>18</v>
      </c>
      <c r="H4439" t="s">
        <v>19</v>
      </c>
      <c r="I4439">
        <v>0</v>
      </c>
      <c r="J4439">
        <v>1</v>
      </c>
      <c r="K4439">
        <v>0</v>
      </c>
    </row>
    <row r="4440" spans="1:11" x14ac:dyDescent="0.25">
      <c r="A4440" t="str">
        <f>"5603"</f>
        <v>5603</v>
      </c>
      <c r="B4440" t="str">
        <f t="shared" si="291"/>
        <v>1</v>
      </c>
      <c r="C4440" t="str">
        <f t="shared" si="290"/>
        <v>246</v>
      </c>
      <c r="D4440" t="str">
        <f>"25"</f>
        <v>25</v>
      </c>
      <c r="E4440" t="str">
        <f>"1-246-25"</f>
        <v>1-246-25</v>
      </c>
      <c r="F4440" t="s">
        <v>15</v>
      </c>
      <c r="G4440" t="s">
        <v>18</v>
      </c>
      <c r="H4440" t="s">
        <v>19</v>
      </c>
      <c r="I4440">
        <v>0</v>
      </c>
      <c r="J4440">
        <v>0</v>
      </c>
      <c r="K4440">
        <v>1</v>
      </c>
    </row>
    <row r="4441" spans="1:11" x14ac:dyDescent="0.25">
      <c r="A4441" t="str">
        <f>"5604"</f>
        <v>5604</v>
      </c>
      <c r="B4441" t="str">
        <f t="shared" si="291"/>
        <v>1</v>
      </c>
      <c r="C4441" t="str">
        <f t="shared" si="290"/>
        <v>246</v>
      </c>
      <c r="D4441" t="str">
        <f>"13"</f>
        <v>13</v>
      </c>
      <c r="E4441" t="str">
        <f>"1-246-13"</f>
        <v>1-246-13</v>
      </c>
      <c r="F4441" t="s">
        <v>15</v>
      </c>
      <c r="G4441" t="s">
        <v>18</v>
      </c>
      <c r="H4441" t="s">
        <v>19</v>
      </c>
      <c r="I4441">
        <v>0</v>
      </c>
      <c r="J4441">
        <v>1</v>
      </c>
      <c r="K4441">
        <v>0</v>
      </c>
    </row>
    <row r="4442" spans="1:11" x14ac:dyDescent="0.25">
      <c r="A4442" t="str">
        <f>"5605"</f>
        <v>5605</v>
      </c>
      <c r="B4442" t="str">
        <f t="shared" si="291"/>
        <v>1</v>
      </c>
      <c r="C4442" t="str">
        <f t="shared" si="290"/>
        <v>246</v>
      </c>
      <c r="D4442" t="str">
        <f>"26"</f>
        <v>26</v>
      </c>
      <c r="E4442" t="str">
        <f>"1-246-26"</f>
        <v>1-246-26</v>
      </c>
      <c r="F4442" t="s">
        <v>15</v>
      </c>
      <c r="G4442" t="s">
        <v>16</v>
      </c>
      <c r="H4442" t="s">
        <v>17</v>
      </c>
      <c r="I4442">
        <v>1</v>
      </c>
      <c r="J4442">
        <v>0</v>
      </c>
      <c r="K4442">
        <v>0</v>
      </c>
    </row>
    <row r="4443" spans="1:11" x14ac:dyDescent="0.25">
      <c r="A4443" t="str">
        <f>"5606"</f>
        <v>5606</v>
      </c>
      <c r="B4443" t="str">
        <f t="shared" si="291"/>
        <v>1</v>
      </c>
      <c r="C4443" t="str">
        <f t="shared" si="290"/>
        <v>246</v>
      </c>
      <c r="D4443" t="str">
        <f>"3"</f>
        <v>3</v>
      </c>
      <c r="E4443" t="str">
        <f>"1-246-3"</f>
        <v>1-246-3</v>
      </c>
      <c r="F4443" t="s">
        <v>15</v>
      </c>
      <c r="G4443" t="s">
        <v>18</v>
      </c>
      <c r="H4443" t="s">
        <v>19</v>
      </c>
      <c r="I4443">
        <v>0</v>
      </c>
      <c r="J4443">
        <v>0</v>
      </c>
      <c r="K4443">
        <v>1</v>
      </c>
    </row>
    <row r="4444" spans="1:11" x14ac:dyDescent="0.25">
      <c r="A4444" t="str">
        <f>"5607"</f>
        <v>5607</v>
      </c>
      <c r="B4444" t="str">
        <f t="shared" si="291"/>
        <v>1</v>
      </c>
      <c r="C4444" t="str">
        <f t="shared" si="290"/>
        <v>246</v>
      </c>
      <c r="D4444" t="str">
        <f>"27"</f>
        <v>27</v>
      </c>
      <c r="E4444" t="str">
        <f>"1-246-27"</f>
        <v>1-246-27</v>
      </c>
      <c r="F4444" t="s">
        <v>15</v>
      </c>
      <c r="G4444" t="s">
        <v>16</v>
      </c>
      <c r="H4444" t="s">
        <v>17</v>
      </c>
      <c r="I4444">
        <v>1</v>
      </c>
      <c r="J4444">
        <v>0</v>
      </c>
      <c r="K4444">
        <v>0</v>
      </c>
    </row>
    <row r="4445" spans="1:11" x14ac:dyDescent="0.25">
      <c r="A4445" t="str">
        <f>"5608"</f>
        <v>5608</v>
      </c>
      <c r="B4445" t="str">
        <f t="shared" si="291"/>
        <v>1</v>
      </c>
      <c r="C4445" t="str">
        <f t="shared" si="290"/>
        <v>246</v>
      </c>
      <c r="D4445" t="str">
        <f>"7"</f>
        <v>7</v>
      </c>
      <c r="E4445" t="str">
        <f>"1-246-7"</f>
        <v>1-246-7</v>
      </c>
      <c r="F4445" t="s">
        <v>15</v>
      </c>
      <c r="G4445" t="s">
        <v>18</v>
      </c>
      <c r="H4445" t="s">
        <v>19</v>
      </c>
      <c r="I4445">
        <v>0</v>
      </c>
      <c r="J4445">
        <v>0</v>
      </c>
      <c r="K4445">
        <v>1</v>
      </c>
    </row>
    <row r="4446" spans="1:11" x14ac:dyDescent="0.25">
      <c r="A4446" t="str">
        <f>"5609"</f>
        <v>5609</v>
      </c>
      <c r="B4446" t="str">
        <f t="shared" si="291"/>
        <v>1</v>
      </c>
      <c r="C4446" t="str">
        <f t="shared" si="290"/>
        <v>246</v>
      </c>
      <c r="D4446" t="str">
        <f>"28"</f>
        <v>28</v>
      </c>
      <c r="E4446" t="str">
        <f>"1-246-28"</f>
        <v>1-246-28</v>
      </c>
      <c r="F4446" t="s">
        <v>15</v>
      </c>
      <c r="G4446" t="s">
        <v>20</v>
      </c>
      <c r="H4446" t="s">
        <v>21</v>
      </c>
      <c r="I4446">
        <v>1</v>
      </c>
      <c r="J4446">
        <v>0</v>
      </c>
      <c r="K4446">
        <v>0</v>
      </c>
    </row>
    <row r="4447" spans="1:11" x14ac:dyDescent="0.25">
      <c r="A4447" t="str">
        <f>"5610"</f>
        <v>5610</v>
      </c>
      <c r="B4447" t="str">
        <f t="shared" si="291"/>
        <v>1</v>
      </c>
      <c r="C4447" t="str">
        <f t="shared" si="290"/>
        <v>246</v>
      </c>
      <c r="D4447" t="str">
        <f>"12"</f>
        <v>12</v>
      </c>
      <c r="E4447" t="str">
        <f>"1-246-12"</f>
        <v>1-246-12</v>
      </c>
      <c r="F4447" t="s">
        <v>15</v>
      </c>
      <c r="G4447" t="s">
        <v>18</v>
      </c>
      <c r="H4447" t="s">
        <v>19</v>
      </c>
      <c r="I4447">
        <v>0</v>
      </c>
      <c r="J4447">
        <v>1</v>
      </c>
      <c r="K4447">
        <v>0</v>
      </c>
    </row>
    <row r="4448" spans="1:11" x14ac:dyDescent="0.25">
      <c r="A4448" t="str">
        <f>"5611"</f>
        <v>5611</v>
      </c>
      <c r="B4448" t="str">
        <f t="shared" si="291"/>
        <v>1</v>
      </c>
      <c r="C4448" t="str">
        <f t="shared" si="290"/>
        <v>246</v>
      </c>
      <c r="D4448" t="str">
        <f>"9"</f>
        <v>9</v>
      </c>
      <c r="E4448" t="str">
        <f>"1-246-9"</f>
        <v>1-246-9</v>
      </c>
      <c r="F4448" t="s">
        <v>15</v>
      </c>
      <c r="G4448" t="s">
        <v>18</v>
      </c>
      <c r="H4448" t="s">
        <v>19</v>
      </c>
      <c r="I4448">
        <v>1</v>
      </c>
      <c r="J4448">
        <v>0</v>
      </c>
      <c r="K4448">
        <v>0</v>
      </c>
    </row>
    <row r="4449" spans="1:11" x14ac:dyDescent="0.25">
      <c r="A4449" t="str">
        <f>"5612"</f>
        <v>5612</v>
      </c>
      <c r="B4449" t="str">
        <f t="shared" si="291"/>
        <v>1</v>
      </c>
      <c r="C4449" t="str">
        <f t="shared" si="290"/>
        <v>246</v>
      </c>
      <c r="D4449" t="str">
        <f>"30"</f>
        <v>30</v>
      </c>
      <c r="E4449" t="str">
        <f>"1-246-30"</f>
        <v>1-246-30</v>
      </c>
      <c r="F4449" t="s">
        <v>15</v>
      </c>
      <c r="G4449" t="s">
        <v>16</v>
      </c>
      <c r="H4449" t="s">
        <v>17</v>
      </c>
      <c r="I4449">
        <v>0</v>
      </c>
      <c r="J4449">
        <v>1</v>
      </c>
      <c r="K4449">
        <v>0</v>
      </c>
    </row>
    <row r="4450" spans="1:11" x14ac:dyDescent="0.25">
      <c r="A4450" t="str">
        <f>"5613"</f>
        <v>5613</v>
      </c>
      <c r="B4450" t="str">
        <f t="shared" si="291"/>
        <v>1</v>
      </c>
      <c r="C4450" t="str">
        <f t="shared" si="290"/>
        <v>246</v>
      </c>
      <c r="D4450" t="str">
        <f>"11"</f>
        <v>11</v>
      </c>
      <c r="E4450" t="str">
        <f>"1-246-11"</f>
        <v>1-246-11</v>
      </c>
      <c r="F4450" t="s">
        <v>15</v>
      </c>
      <c r="G4450" t="s">
        <v>18</v>
      </c>
      <c r="H4450" t="s">
        <v>19</v>
      </c>
      <c r="I4450">
        <v>1</v>
      </c>
      <c r="J4450">
        <v>0</v>
      </c>
      <c r="K4450">
        <v>0</v>
      </c>
    </row>
    <row r="4451" spans="1:11" x14ac:dyDescent="0.25">
      <c r="A4451" t="str">
        <f>"5614"</f>
        <v>5614</v>
      </c>
      <c r="B4451" t="str">
        <f t="shared" si="291"/>
        <v>1</v>
      </c>
      <c r="C4451" t="str">
        <f t="shared" si="290"/>
        <v>246</v>
      </c>
      <c r="D4451" t="str">
        <f>"29"</f>
        <v>29</v>
      </c>
      <c r="E4451" t="str">
        <f>"1-246-29"</f>
        <v>1-246-29</v>
      </c>
      <c r="F4451" t="s">
        <v>15</v>
      </c>
      <c r="G4451" t="s">
        <v>16</v>
      </c>
      <c r="H4451" t="s">
        <v>17</v>
      </c>
      <c r="I4451">
        <v>0</v>
      </c>
      <c r="J4451">
        <v>0</v>
      </c>
      <c r="K4451">
        <v>0</v>
      </c>
    </row>
    <row r="4452" spans="1:11" x14ac:dyDescent="0.25">
      <c r="A4452" t="str">
        <f>"5615"</f>
        <v>5615</v>
      </c>
      <c r="B4452" t="str">
        <f t="shared" si="291"/>
        <v>1</v>
      </c>
      <c r="C4452" t="str">
        <f t="shared" ref="C4452:C4478" si="292">"247"</f>
        <v>247</v>
      </c>
      <c r="D4452" t="str">
        <f>"22"</f>
        <v>22</v>
      </c>
      <c r="E4452" t="str">
        <f>"1-247-22"</f>
        <v>1-247-22</v>
      </c>
      <c r="F4452" t="s">
        <v>15</v>
      </c>
      <c r="G4452" t="s">
        <v>18</v>
      </c>
      <c r="H4452" t="s">
        <v>19</v>
      </c>
      <c r="I4452">
        <v>0</v>
      </c>
      <c r="J4452">
        <v>1</v>
      </c>
      <c r="K4452">
        <v>0</v>
      </c>
    </row>
    <row r="4453" spans="1:11" x14ac:dyDescent="0.25">
      <c r="A4453" t="str">
        <f>"5616"</f>
        <v>5616</v>
      </c>
      <c r="B4453" t="str">
        <f t="shared" si="291"/>
        <v>1</v>
      </c>
      <c r="C4453" t="str">
        <f t="shared" si="292"/>
        <v>247</v>
      </c>
      <c r="D4453" t="str">
        <f>"15"</f>
        <v>15</v>
      </c>
      <c r="E4453" t="str">
        <f>"1-247-15"</f>
        <v>1-247-15</v>
      </c>
      <c r="F4453" t="s">
        <v>15</v>
      </c>
      <c r="G4453" t="s">
        <v>18</v>
      </c>
      <c r="H4453" t="s">
        <v>19</v>
      </c>
      <c r="I4453">
        <v>1</v>
      </c>
      <c r="J4453">
        <v>0</v>
      </c>
      <c r="K4453">
        <v>0</v>
      </c>
    </row>
    <row r="4454" spans="1:11" x14ac:dyDescent="0.25">
      <c r="A4454" t="str">
        <f>"5617"</f>
        <v>5617</v>
      </c>
      <c r="B4454" t="str">
        <f t="shared" si="291"/>
        <v>1</v>
      </c>
      <c r="C4454" t="str">
        <f t="shared" si="292"/>
        <v>247</v>
      </c>
      <c r="D4454" t="str">
        <f>"2"</f>
        <v>2</v>
      </c>
      <c r="E4454" t="str">
        <f>"1-247-2"</f>
        <v>1-247-2</v>
      </c>
      <c r="F4454" t="s">
        <v>15</v>
      </c>
      <c r="G4454" t="s">
        <v>18</v>
      </c>
      <c r="H4454" t="s">
        <v>19</v>
      </c>
      <c r="I4454">
        <v>1</v>
      </c>
      <c r="J4454">
        <v>0</v>
      </c>
      <c r="K4454">
        <v>0</v>
      </c>
    </row>
    <row r="4455" spans="1:11" x14ac:dyDescent="0.25">
      <c r="A4455" t="str">
        <f>"5618"</f>
        <v>5618</v>
      </c>
      <c r="B4455" t="str">
        <f t="shared" si="291"/>
        <v>1</v>
      </c>
      <c r="C4455" t="str">
        <f t="shared" si="292"/>
        <v>247</v>
      </c>
      <c r="D4455" t="str">
        <f>"26"</f>
        <v>26</v>
      </c>
      <c r="E4455" t="str">
        <f>"1-247-26"</f>
        <v>1-247-26</v>
      </c>
      <c r="F4455" t="s">
        <v>15</v>
      </c>
      <c r="G4455" t="s">
        <v>18</v>
      </c>
      <c r="H4455" t="s">
        <v>19</v>
      </c>
      <c r="I4455">
        <v>1</v>
      </c>
      <c r="J4455">
        <v>0</v>
      </c>
      <c r="K4455">
        <v>0</v>
      </c>
    </row>
    <row r="4456" spans="1:11" x14ac:dyDescent="0.25">
      <c r="A4456" t="str">
        <f>"5619"</f>
        <v>5619</v>
      </c>
      <c r="B4456" t="str">
        <f t="shared" si="291"/>
        <v>1</v>
      </c>
      <c r="C4456" t="str">
        <f t="shared" si="292"/>
        <v>247</v>
      </c>
      <c r="D4456" t="str">
        <f>"16"</f>
        <v>16</v>
      </c>
      <c r="E4456" t="str">
        <f>"1-247-16"</f>
        <v>1-247-16</v>
      </c>
      <c r="F4456" t="s">
        <v>15</v>
      </c>
      <c r="G4456" t="s">
        <v>18</v>
      </c>
      <c r="H4456" t="s">
        <v>19</v>
      </c>
      <c r="I4456">
        <v>1</v>
      </c>
      <c r="J4456">
        <v>0</v>
      </c>
      <c r="K4456">
        <v>0</v>
      </c>
    </row>
    <row r="4457" spans="1:11" x14ac:dyDescent="0.25">
      <c r="A4457" t="str">
        <f>"5620"</f>
        <v>5620</v>
      </c>
      <c r="B4457" t="str">
        <f t="shared" si="291"/>
        <v>1</v>
      </c>
      <c r="C4457" t="str">
        <f t="shared" si="292"/>
        <v>247</v>
      </c>
      <c r="D4457" t="str">
        <f>"3"</f>
        <v>3</v>
      </c>
      <c r="E4457" t="str">
        <f>"1-247-3"</f>
        <v>1-247-3</v>
      </c>
      <c r="F4457" t="s">
        <v>15</v>
      </c>
      <c r="G4457" t="s">
        <v>18</v>
      </c>
      <c r="H4457" t="s">
        <v>19</v>
      </c>
      <c r="I4457">
        <v>1</v>
      </c>
      <c r="J4457">
        <v>0</v>
      </c>
      <c r="K4457">
        <v>0</v>
      </c>
    </row>
    <row r="4458" spans="1:11" x14ac:dyDescent="0.25">
      <c r="A4458" t="str">
        <f>"5621"</f>
        <v>5621</v>
      </c>
      <c r="B4458" t="str">
        <f t="shared" si="291"/>
        <v>1</v>
      </c>
      <c r="C4458" t="str">
        <f t="shared" si="292"/>
        <v>247</v>
      </c>
      <c r="D4458" t="str">
        <f>"17"</f>
        <v>17</v>
      </c>
      <c r="E4458" t="str">
        <f>"1-247-17"</f>
        <v>1-247-17</v>
      </c>
      <c r="F4458" t="s">
        <v>15</v>
      </c>
      <c r="G4458" t="s">
        <v>18</v>
      </c>
      <c r="H4458" t="s">
        <v>19</v>
      </c>
      <c r="I4458">
        <v>0</v>
      </c>
      <c r="J4458">
        <v>1</v>
      </c>
      <c r="K4458">
        <v>0</v>
      </c>
    </row>
    <row r="4459" spans="1:11" x14ac:dyDescent="0.25">
      <c r="A4459" t="str">
        <f>"5622"</f>
        <v>5622</v>
      </c>
      <c r="B4459" t="str">
        <f t="shared" si="291"/>
        <v>1</v>
      </c>
      <c r="C4459" t="str">
        <f t="shared" si="292"/>
        <v>247</v>
      </c>
      <c r="D4459" t="str">
        <f>"1"</f>
        <v>1</v>
      </c>
      <c r="E4459" t="str">
        <f>"1-247-1"</f>
        <v>1-247-1</v>
      </c>
      <c r="F4459" t="s">
        <v>15</v>
      </c>
      <c r="G4459" t="s">
        <v>16</v>
      </c>
      <c r="H4459" t="s">
        <v>17</v>
      </c>
      <c r="I4459">
        <v>1</v>
      </c>
      <c r="J4459">
        <v>0</v>
      </c>
      <c r="K4459">
        <v>0</v>
      </c>
    </row>
    <row r="4460" spans="1:11" x14ac:dyDescent="0.25">
      <c r="A4460" t="str">
        <f>"5623"</f>
        <v>5623</v>
      </c>
      <c r="B4460" t="str">
        <f t="shared" si="291"/>
        <v>1</v>
      </c>
      <c r="C4460" t="str">
        <f t="shared" si="292"/>
        <v>247</v>
      </c>
      <c r="D4460" t="str">
        <f>"18"</f>
        <v>18</v>
      </c>
      <c r="E4460" t="str">
        <f>"1-247-18"</f>
        <v>1-247-18</v>
      </c>
      <c r="F4460" t="s">
        <v>15</v>
      </c>
      <c r="G4460" t="s">
        <v>18</v>
      </c>
      <c r="H4460" t="s">
        <v>19</v>
      </c>
      <c r="I4460">
        <v>0</v>
      </c>
      <c r="J4460">
        <v>1</v>
      </c>
      <c r="K4460">
        <v>0</v>
      </c>
    </row>
    <row r="4461" spans="1:11" x14ac:dyDescent="0.25">
      <c r="A4461" t="str">
        <f>"5624"</f>
        <v>5624</v>
      </c>
      <c r="B4461" t="str">
        <f t="shared" si="291"/>
        <v>1</v>
      </c>
      <c r="C4461" t="str">
        <f t="shared" si="292"/>
        <v>247</v>
      </c>
      <c r="D4461" t="str">
        <f>"19"</f>
        <v>19</v>
      </c>
      <c r="E4461" t="str">
        <f>"1-247-19"</f>
        <v>1-247-19</v>
      </c>
      <c r="F4461" t="s">
        <v>15</v>
      </c>
      <c r="G4461" t="s">
        <v>16</v>
      </c>
      <c r="H4461" t="s">
        <v>17</v>
      </c>
      <c r="I4461">
        <v>1</v>
      </c>
      <c r="J4461">
        <v>0</v>
      </c>
      <c r="K4461">
        <v>0</v>
      </c>
    </row>
    <row r="4462" spans="1:11" x14ac:dyDescent="0.25">
      <c r="A4462" t="str">
        <f>"5625"</f>
        <v>5625</v>
      </c>
      <c r="B4462" t="str">
        <f t="shared" si="291"/>
        <v>1</v>
      </c>
      <c r="C4462" t="str">
        <f t="shared" si="292"/>
        <v>247</v>
      </c>
      <c r="D4462" t="str">
        <f>"6"</f>
        <v>6</v>
      </c>
      <c r="E4462" t="str">
        <f>"1-247-6"</f>
        <v>1-247-6</v>
      </c>
      <c r="F4462" t="s">
        <v>15</v>
      </c>
      <c r="G4462" t="s">
        <v>18</v>
      </c>
      <c r="H4462" t="s">
        <v>19</v>
      </c>
      <c r="I4462">
        <v>0</v>
      </c>
      <c r="J4462">
        <v>0</v>
      </c>
      <c r="K4462">
        <v>1</v>
      </c>
    </row>
    <row r="4463" spans="1:11" x14ac:dyDescent="0.25">
      <c r="A4463" t="str">
        <f>"5626"</f>
        <v>5626</v>
      </c>
      <c r="B4463" t="str">
        <f t="shared" si="291"/>
        <v>1</v>
      </c>
      <c r="C4463" t="str">
        <f t="shared" si="292"/>
        <v>247</v>
      </c>
      <c r="D4463" t="str">
        <f>"20"</f>
        <v>20</v>
      </c>
      <c r="E4463" t="str">
        <f>"1-247-20"</f>
        <v>1-247-20</v>
      </c>
      <c r="F4463" t="s">
        <v>15</v>
      </c>
      <c r="G4463" t="s">
        <v>16</v>
      </c>
      <c r="H4463" t="s">
        <v>17</v>
      </c>
      <c r="I4463">
        <v>0</v>
      </c>
      <c r="J4463">
        <v>0</v>
      </c>
      <c r="K4463">
        <v>1</v>
      </c>
    </row>
    <row r="4464" spans="1:11" x14ac:dyDescent="0.25">
      <c r="A4464" t="str">
        <f>"5627"</f>
        <v>5627</v>
      </c>
      <c r="B4464" t="str">
        <f t="shared" si="291"/>
        <v>1</v>
      </c>
      <c r="C4464" t="str">
        <f t="shared" si="292"/>
        <v>247</v>
      </c>
      <c r="D4464" t="str">
        <f>"14"</f>
        <v>14</v>
      </c>
      <c r="E4464" t="str">
        <f>"1-247-14"</f>
        <v>1-247-14</v>
      </c>
      <c r="F4464" t="s">
        <v>15</v>
      </c>
      <c r="G4464" t="s">
        <v>18</v>
      </c>
      <c r="H4464" t="s">
        <v>19</v>
      </c>
      <c r="I4464">
        <v>0</v>
      </c>
      <c r="J4464">
        <v>0</v>
      </c>
      <c r="K4464">
        <v>1</v>
      </c>
    </row>
    <row r="4465" spans="1:11" x14ac:dyDescent="0.25">
      <c r="A4465" t="str">
        <f>"5628"</f>
        <v>5628</v>
      </c>
      <c r="B4465" t="str">
        <f t="shared" si="291"/>
        <v>1</v>
      </c>
      <c r="C4465" t="str">
        <f t="shared" si="292"/>
        <v>247</v>
      </c>
      <c r="D4465" t="str">
        <f>"5"</f>
        <v>5</v>
      </c>
      <c r="E4465" t="str">
        <f>"1-247-5"</f>
        <v>1-247-5</v>
      </c>
      <c r="F4465" t="s">
        <v>15</v>
      </c>
      <c r="G4465" t="s">
        <v>18</v>
      </c>
      <c r="H4465" t="s">
        <v>19</v>
      </c>
      <c r="I4465">
        <v>0</v>
      </c>
      <c r="J4465">
        <v>0</v>
      </c>
      <c r="K4465">
        <v>1</v>
      </c>
    </row>
    <row r="4466" spans="1:11" x14ac:dyDescent="0.25">
      <c r="A4466" t="str">
        <f>"5629"</f>
        <v>5629</v>
      </c>
      <c r="B4466" t="str">
        <f t="shared" si="291"/>
        <v>1</v>
      </c>
      <c r="C4466" t="str">
        <f t="shared" si="292"/>
        <v>247</v>
      </c>
      <c r="D4466" t="str">
        <f>"23"</f>
        <v>23</v>
      </c>
      <c r="E4466" t="str">
        <f>"1-247-23"</f>
        <v>1-247-23</v>
      </c>
      <c r="F4466" t="s">
        <v>15</v>
      </c>
      <c r="G4466" t="s">
        <v>18</v>
      </c>
      <c r="H4466" t="s">
        <v>19</v>
      </c>
      <c r="I4466">
        <v>0</v>
      </c>
      <c r="J4466">
        <v>1</v>
      </c>
      <c r="K4466">
        <v>0</v>
      </c>
    </row>
    <row r="4467" spans="1:11" x14ac:dyDescent="0.25">
      <c r="A4467" t="str">
        <f>"5630"</f>
        <v>5630</v>
      </c>
      <c r="B4467" t="str">
        <f t="shared" si="291"/>
        <v>1</v>
      </c>
      <c r="C4467" t="str">
        <f t="shared" si="292"/>
        <v>247</v>
      </c>
      <c r="D4467" t="str">
        <f>"8"</f>
        <v>8</v>
      </c>
      <c r="E4467" t="str">
        <f>"1-247-8"</f>
        <v>1-247-8</v>
      </c>
      <c r="F4467" t="s">
        <v>15</v>
      </c>
      <c r="G4467" t="s">
        <v>18</v>
      </c>
      <c r="H4467" t="s">
        <v>19</v>
      </c>
      <c r="I4467">
        <v>0</v>
      </c>
      <c r="J4467">
        <v>0</v>
      </c>
      <c r="K4467">
        <v>1</v>
      </c>
    </row>
    <row r="4468" spans="1:11" x14ac:dyDescent="0.25">
      <c r="A4468" t="str">
        <f>"5631"</f>
        <v>5631</v>
      </c>
      <c r="B4468" t="str">
        <f t="shared" si="291"/>
        <v>1</v>
      </c>
      <c r="C4468" t="str">
        <f t="shared" si="292"/>
        <v>247</v>
      </c>
      <c r="D4468" t="str">
        <f>"24"</f>
        <v>24</v>
      </c>
      <c r="E4468" t="str">
        <f>"1-247-24"</f>
        <v>1-247-24</v>
      </c>
      <c r="F4468" t="s">
        <v>15</v>
      </c>
      <c r="G4468" t="s">
        <v>18</v>
      </c>
      <c r="H4468" t="s">
        <v>19</v>
      </c>
      <c r="I4468">
        <v>1</v>
      </c>
      <c r="J4468">
        <v>0</v>
      </c>
      <c r="K4468">
        <v>0</v>
      </c>
    </row>
    <row r="4469" spans="1:11" x14ac:dyDescent="0.25">
      <c r="A4469" t="str">
        <f>"5632"</f>
        <v>5632</v>
      </c>
      <c r="B4469" t="str">
        <f t="shared" si="291"/>
        <v>1</v>
      </c>
      <c r="C4469" t="str">
        <f t="shared" si="292"/>
        <v>247</v>
      </c>
      <c r="D4469" t="str">
        <f>"13"</f>
        <v>13</v>
      </c>
      <c r="E4469" t="str">
        <f>"1-247-13"</f>
        <v>1-247-13</v>
      </c>
      <c r="F4469" t="s">
        <v>15</v>
      </c>
      <c r="G4469" t="s">
        <v>18</v>
      </c>
      <c r="H4469" t="s">
        <v>19</v>
      </c>
      <c r="I4469">
        <v>0</v>
      </c>
      <c r="J4469">
        <v>0</v>
      </c>
      <c r="K4469">
        <v>1</v>
      </c>
    </row>
    <row r="4470" spans="1:11" x14ac:dyDescent="0.25">
      <c r="A4470" t="str">
        <f>"5633"</f>
        <v>5633</v>
      </c>
      <c r="B4470" t="str">
        <f t="shared" si="291"/>
        <v>1</v>
      </c>
      <c r="C4470" t="str">
        <f t="shared" si="292"/>
        <v>247</v>
      </c>
      <c r="D4470" t="str">
        <f>"25"</f>
        <v>25</v>
      </c>
      <c r="E4470" t="str">
        <f>"1-247-25"</f>
        <v>1-247-25</v>
      </c>
      <c r="F4470" t="s">
        <v>15</v>
      </c>
      <c r="G4470" t="s">
        <v>18</v>
      </c>
      <c r="H4470" t="s">
        <v>19</v>
      </c>
      <c r="I4470">
        <v>0</v>
      </c>
      <c r="J4470">
        <v>0</v>
      </c>
      <c r="K4470">
        <v>1</v>
      </c>
    </row>
    <row r="4471" spans="1:11" x14ac:dyDescent="0.25">
      <c r="A4471" t="str">
        <f>"5634"</f>
        <v>5634</v>
      </c>
      <c r="B4471" t="str">
        <f t="shared" si="291"/>
        <v>1</v>
      </c>
      <c r="C4471" t="str">
        <f t="shared" si="292"/>
        <v>247</v>
      </c>
      <c r="D4471" t="str">
        <f>"10"</f>
        <v>10</v>
      </c>
      <c r="E4471" t="str">
        <f>"1-247-10"</f>
        <v>1-247-10</v>
      </c>
      <c r="F4471" t="s">
        <v>15</v>
      </c>
      <c r="G4471" t="s">
        <v>18</v>
      </c>
      <c r="H4471" t="s">
        <v>19</v>
      </c>
      <c r="I4471">
        <v>1</v>
      </c>
      <c r="J4471">
        <v>0</v>
      </c>
      <c r="K4471">
        <v>0</v>
      </c>
    </row>
    <row r="4472" spans="1:11" x14ac:dyDescent="0.25">
      <c r="A4472" t="str">
        <f>"5635"</f>
        <v>5635</v>
      </c>
      <c r="B4472" t="str">
        <f t="shared" si="291"/>
        <v>1</v>
      </c>
      <c r="C4472" t="str">
        <f t="shared" si="292"/>
        <v>247</v>
      </c>
      <c r="D4472" t="str">
        <f>"27"</f>
        <v>27</v>
      </c>
      <c r="E4472" t="str">
        <f>"1-247-27"</f>
        <v>1-247-27</v>
      </c>
      <c r="F4472" t="s">
        <v>15</v>
      </c>
      <c r="G4472" t="s">
        <v>18</v>
      </c>
      <c r="H4472" t="s">
        <v>19</v>
      </c>
      <c r="I4472">
        <v>0</v>
      </c>
      <c r="J4472">
        <v>1</v>
      </c>
      <c r="K4472">
        <v>0</v>
      </c>
    </row>
    <row r="4473" spans="1:11" x14ac:dyDescent="0.25">
      <c r="A4473" t="str">
        <f>"5636"</f>
        <v>5636</v>
      </c>
      <c r="B4473" t="str">
        <f t="shared" si="291"/>
        <v>1</v>
      </c>
      <c r="C4473" t="str">
        <f t="shared" si="292"/>
        <v>247</v>
      </c>
      <c r="D4473" t="str">
        <f>"11"</f>
        <v>11</v>
      </c>
      <c r="E4473" t="str">
        <f>"1-247-11"</f>
        <v>1-247-11</v>
      </c>
      <c r="F4473" t="s">
        <v>15</v>
      </c>
      <c r="G4473" t="s">
        <v>18</v>
      </c>
      <c r="H4473" t="s">
        <v>19</v>
      </c>
      <c r="I4473">
        <v>0</v>
      </c>
      <c r="J4473">
        <v>1</v>
      </c>
      <c r="K4473">
        <v>0</v>
      </c>
    </row>
    <row r="4474" spans="1:11" x14ac:dyDescent="0.25">
      <c r="A4474" t="str">
        <f>"5637"</f>
        <v>5637</v>
      </c>
      <c r="B4474" t="str">
        <f t="shared" si="291"/>
        <v>1</v>
      </c>
      <c r="C4474" t="str">
        <f t="shared" si="292"/>
        <v>247</v>
      </c>
      <c r="D4474" t="str">
        <f>"4"</f>
        <v>4</v>
      </c>
      <c r="E4474" t="str">
        <f>"1-247-4"</f>
        <v>1-247-4</v>
      </c>
      <c r="F4474" t="s">
        <v>15</v>
      </c>
      <c r="G4474" t="s">
        <v>18</v>
      </c>
      <c r="H4474" t="s">
        <v>19</v>
      </c>
      <c r="I4474">
        <v>0</v>
      </c>
      <c r="J4474">
        <v>0</v>
      </c>
      <c r="K4474">
        <v>1</v>
      </c>
    </row>
    <row r="4475" spans="1:11" x14ac:dyDescent="0.25">
      <c r="A4475" t="str">
        <f>"5638"</f>
        <v>5638</v>
      </c>
      <c r="B4475" t="str">
        <f t="shared" si="291"/>
        <v>1</v>
      </c>
      <c r="C4475" t="str">
        <f t="shared" si="292"/>
        <v>247</v>
      </c>
      <c r="D4475" t="str">
        <f>"7"</f>
        <v>7</v>
      </c>
      <c r="E4475" t="str">
        <f>"1-247-7"</f>
        <v>1-247-7</v>
      </c>
      <c r="F4475" t="s">
        <v>15</v>
      </c>
      <c r="G4475" t="s">
        <v>18</v>
      </c>
      <c r="H4475" t="s">
        <v>19</v>
      </c>
      <c r="I4475">
        <v>1</v>
      </c>
      <c r="J4475">
        <v>0</v>
      </c>
      <c r="K4475">
        <v>0</v>
      </c>
    </row>
    <row r="4476" spans="1:11" x14ac:dyDescent="0.25">
      <c r="A4476" t="str">
        <f>"5639"</f>
        <v>5639</v>
      </c>
      <c r="B4476" t="str">
        <f t="shared" si="291"/>
        <v>1</v>
      </c>
      <c r="C4476" t="str">
        <f t="shared" si="292"/>
        <v>247</v>
      </c>
      <c r="D4476" t="str">
        <f>"9"</f>
        <v>9</v>
      </c>
      <c r="E4476" t="str">
        <f>"1-247-9"</f>
        <v>1-247-9</v>
      </c>
      <c r="F4476" t="s">
        <v>15</v>
      </c>
      <c r="G4476" t="s">
        <v>18</v>
      </c>
      <c r="H4476" t="s">
        <v>19</v>
      </c>
      <c r="I4476">
        <v>0</v>
      </c>
      <c r="J4476">
        <v>0</v>
      </c>
      <c r="K4476">
        <v>0</v>
      </c>
    </row>
    <row r="4477" spans="1:11" x14ac:dyDescent="0.25">
      <c r="A4477" t="str">
        <f>"5640"</f>
        <v>5640</v>
      </c>
      <c r="B4477" t="str">
        <f t="shared" si="291"/>
        <v>1</v>
      </c>
      <c r="C4477" t="str">
        <f t="shared" si="292"/>
        <v>247</v>
      </c>
      <c r="D4477" t="str">
        <f>"12"</f>
        <v>12</v>
      </c>
      <c r="E4477" t="str">
        <f>"1-247-12"</f>
        <v>1-247-12</v>
      </c>
      <c r="F4477" t="s">
        <v>15</v>
      </c>
      <c r="G4477" t="s">
        <v>18</v>
      </c>
      <c r="H4477" t="s">
        <v>19</v>
      </c>
      <c r="I4477">
        <v>0</v>
      </c>
      <c r="J4477">
        <v>0</v>
      </c>
      <c r="K4477">
        <v>0</v>
      </c>
    </row>
    <row r="4478" spans="1:11" x14ac:dyDescent="0.25">
      <c r="A4478" t="str">
        <f>"5641"</f>
        <v>5641</v>
      </c>
      <c r="B4478" t="str">
        <f t="shared" si="291"/>
        <v>1</v>
      </c>
      <c r="C4478" t="str">
        <f t="shared" si="292"/>
        <v>247</v>
      </c>
      <c r="D4478" t="str">
        <f>"21"</f>
        <v>21</v>
      </c>
      <c r="E4478" t="str">
        <f>"1-247-21"</f>
        <v>1-247-21</v>
      </c>
      <c r="F4478" t="s">
        <v>15</v>
      </c>
      <c r="G4478" t="s">
        <v>18</v>
      </c>
      <c r="H4478" t="s">
        <v>19</v>
      </c>
      <c r="I4478">
        <v>0</v>
      </c>
      <c r="J4478">
        <v>0</v>
      </c>
      <c r="K4478">
        <v>0</v>
      </c>
    </row>
    <row r="4479" spans="1:11" x14ac:dyDescent="0.25">
      <c r="A4479" t="str">
        <f>"5668"</f>
        <v>5668</v>
      </c>
      <c r="B4479" t="str">
        <f t="shared" ref="B4479:B4525" si="293">"1"</f>
        <v>1</v>
      </c>
      <c r="C4479" t="str">
        <f t="shared" ref="C4479:C4495" si="294">"249"</f>
        <v>249</v>
      </c>
      <c r="D4479" t="str">
        <f>"15"</f>
        <v>15</v>
      </c>
      <c r="E4479" t="str">
        <f>"1-249-15"</f>
        <v>1-249-15</v>
      </c>
      <c r="F4479" t="s">
        <v>15</v>
      </c>
      <c r="G4479" t="s">
        <v>16</v>
      </c>
      <c r="H4479" t="s">
        <v>17</v>
      </c>
      <c r="I4479">
        <v>1</v>
      </c>
      <c r="J4479">
        <v>0</v>
      </c>
      <c r="K4479">
        <v>0</v>
      </c>
    </row>
    <row r="4480" spans="1:11" x14ac:dyDescent="0.25">
      <c r="A4480" t="str">
        <f>"5669"</f>
        <v>5669</v>
      </c>
      <c r="B4480" t="str">
        <f t="shared" si="293"/>
        <v>1</v>
      </c>
      <c r="C4480" t="str">
        <f t="shared" si="294"/>
        <v>249</v>
      </c>
      <c r="D4480" t="str">
        <f>"5"</f>
        <v>5</v>
      </c>
      <c r="E4480" t="str">
        <f>"1-249-5"</f>
        <v>1-249-5</v>
      </c>
      <c r="F4480" t="s">
        <v>15</v>
      </c>
      <c r="G4480" t="s">
        <v>16</v>
      </c>
      <c r="H4480" t="s">
        <v>17</v>
      </c>
      <c r="I4480">
        <v>0</v>
      </c>
      <c r="J4480">
        <v>0</v>
      </c>
      <c r="K4480">
        <v>1</v>
      </c>
    </row>
    <row r="4481" spans="1:11" x14ac:dyDescent="0.25">
      <c r="A4481" t="str">
        <f>"5670"</f>
        <v>5670</v>
      </c>
      <c r="B4481" t="str">
        <f t="shared" si="293"/>
        <v>1</v>
      </c>
      <c r="C4481" t="str">
        <f t="shared" si="294"/>
        <v>249</v>
      </c>
      <c r="D4481" t="str">
        <f>"16"</f>
        <v>16</v>
      </c>
      <c r="E4481" t="str">
        <f>"1-249-16"</f>
        <v>1-249-16</v>
      </c>
      <c r="F4481" t="s">
        <v>15</v>
      </c>
      <c r="G4481" t="s">
        <v>16</v>
      </c>
      <c r="H4481" t="s">
        <v>17</v>
      </c>
      <c r="I4481">
        <v>1</v>
      </c>
      <c r="J4481">
        <v>0</v>
      </c>
      <c r="K4481">
        <v>0</v>
      </c>
    </row>
    <row r="4482" spans="1:11" x14ac:dyDescent="0.25">
      <c r="A4482" t="str">
        <f>"5671"</f>
        <v>5671</v>
      </c>
      <c r="B4482" t="str">
        <f t="shared" si="293"/>
        <v>1</v>
      </c>
      <c r="C4482" t="str">
        <f t="shared" si="294"/>
        <v>249</v>
      </c>
      <c r="D4482" t="str">
        <f>"3"</f>
        <v>3</v>
      </c>
      <c r="E4482" t="str">
        <f>"1-249-3"</f>
        <v>1-249-3</v>
      </c>
      <c r="F4482" t="s">
        <v>15</v>
      </c>
      <c r="G4482" t="s">
        <v>16</v>
      </c>
      <c r="H4482" t="s">
        <v>17</v>
      </c>
      <c r="I4482">
        <v>0</v>
      </c>
      <c r="J4482">
        <v>1</v>
      </c>
      <c r="K4482">
        <v>0</v>
      </c>
    </row>
    <row r="4483" spans="1:11" x14ac:dyDescent="0.25">
      <c r="A4483" t="str">
        <f>"5672"</f>
        <v>5672</v>
      </c>
      <c r="B4483" t="str">
        <f t="shared" si="293"/>
        <v>1</v>
      </c>
      <c r="C4483" t="str">
        <f t="shared" si="294"/>
        <v>249</v>
      </c>
      <c r="D4483" t="str">
        <f>"17"</f>
        <v>17</v>
      </c>
      <c r="E4483" t="str">
        <f>"1-249-17"</f>
        <v>1-249-17</v>
      </c>
      <c r="F4483" t="s">
        <v>15</v>
      </c>
      <c r="G4483" t="s">
        <v>16</v>
      </c>
      <c r="H4483" t="s">
        <v>17</v>
      </c>
      <c r="I4483">
        <v>0</v>
      </c>
      <c r="J4483">
        <v>1</v>
      </c>
      <c r="K4483">
        <v>0</v>
      </c>
    </row>
    <row r="4484" spans="1:11" x14ac:dyDescent="0.25">
      <c r="A4484" t="str">
        <f>"5673"</f>
        <v>5673</v>
      </c>
      <c r="B4484" t="str">
        <f t="shared" si="293"/>
        <v>1</v>
      </c>
      <c r="C4484" t="str">
        <f t="shared" si="294"/>
        <v>249</v>
      </c>
      <c r="D4484" t="str">
        <f>"1"</f>
        <v>1</v>
      </c>
      <c r="E4484" t="str">
        <f>"1-249-1"</f>
        <v>1-249-1</v>
      </c>
      <c r="F4484" t="s">
        <v>15</v>
      </c>
      <c r="G4484" t="s">
        <v>16</v>
      </c>
      <c r="H4484" t="s">
        <v>17</v>
      </c>
      <c r="I4484">
        <v>1</v>
      </c>
      <c r="J4484">
        <v>0</v>
      </c>
      <c r="K4484">
        <v>0</v>
      </c>
    </row>
    <row r="4485" spans="1:11" x14ac:dyDescent="0.25">
      <c r="A4485" t="str">
        <f>"5674"</f>
        <v>5674</v>
      </c>
      <c r="B4485" t="str">
        <f t="shared" si="293"/>
        <v>1</v>
      </c>
      <c r="C4485" t="str">
        <f t="shared" si="294"/>
        <v>249</v>
      </c>
      <c r="D4485" t="str">
        <f>"8"</f>
        <v>8</v>
      </c>
      <c r="E4485" t="str">
        <f>"1-249-8"</f>
        <v>1-249-8</v>
      </c>
      <c r="F4485" t="s">
        <v>15</v>
      </c>
      <c r="G4485" t="s">
        <v>16</v>
      </c>
      <c r="H4485" t="s">
        <v>17</v>
      </c>
      <c r="I4485">
        <v>0</v>
      </c>
      <c r="J4485">
        <v>1</v>
      </c>
      <c r="K4485">
        <v>0</v>
      </c>
    </row>
    <row r="4486" spans="1:11" x14ac:dyDescent="0.25">
      <c r="A4486" t="str">
        <f>"5675"</f>
        <v>5675</v>
      </c>
      <c r="B4486" t="str">
        <f t="shared" si="293"/>
        <v>1</v>
      </c>
      <c r="C4486" t="str">
        <f t="shared" si="294"/>
        <v>249</v>
      </c>
      <c r="D4486" t="str">
        <f>"2"</f>
        <v>2</v>
      </c>
      <c r="E4486" t="str">
        <f>"1-249-2"</f>
        <v>1-249-2</v>
      </c>
      <c r="F4486" t="s">
        <v>15</v>
      </c>
      <c r="G4486" t="s">
        <v>16</v>
      </c>
      <c r="H4486" t="s">
        <v>17</v>
      </c>
      <c r="I4486">
        <v>1</v>
      </c>
      <c r="J4486">
        <v>0</v>
      </c>
      <c r="K4486">
        <v>0</v>
      </c>
    </row>
    <row r="4487" spans="1:11" x14ac:dyDescent="0.25">
      <c r="A4487" t="str">
        <f>"5676"</f>
        <v>5676</v>
      </c>
      <c r="B4487" t="str">
        <f t="shared" si="293"/>
        <v>1</v>
      </c>
      <c r="C4487" t="str">
        <f t="shared" si="294"/>
        <v>249</v>
      </c>
      <c r="D4487" t="str">
        <f>"12"</f>
        <v>12</v>
      </c>
      <c r="E4487" t="str">
        <f>"1-249-12"</f>
        <v>1-249-12</v>
      </c>
      <c r="F4487" t="s">
        <v>15</v>
      </c>
      <c r="G4487" t="s">
        <v>16</v>
      </c>
      <c r="H4487" t="s">
        <v>17</v>
      </c>
      <c r="I4487">
        <v>1</v>
      </c>
      <c r="J4487">
        <v>0</v>
      </c>
      <c r="K4487">
        <v>0</v>
      </c>
    </row>
    <row r="4488" spans="1:11" x14ac:dyDescent="0.25">
      <c r="A4488" t="str">
        <f>"5677"</f>
        <v>5677</v>
      </c>
      <c r="B4488" t="str">
        <f t="shared" si="293"/>
        <v>1</v>
      </c>
      <c r="C4488" t="str">
        <f t="shared" si="294"/>
        <v>249</v>
      </c>
      <c r="D4488" t="str">
        <f>"9"</f>
        <v>9</v>
      </c>
      <c r="E4488" t="str">
        <f>"1-249-9"</f>
        <v>1-249-9</v>
      </c>
      <c r="F4488" t="s">
        <v>15</v>
      </c>
      <c r="G4488" t="s">
        <v>16</v>
      </c>
      <c r="H4488" t="s">
        <v>17</v>
      </c>
      <c r="I4488">
        <v>0</v>
      </c>
      <c r="J4488">
        <v>0</v>
      </c>
      <c r="K4488">
        <v>1</v>
      </c>
    </row>
    <row r="4489" spans="1:11" x14ac:dyDescent="0.25">
      <c r="A4489" t="str">
        <f>"5678"</f>
        <v>5678</v>
      </c>
      <c r="B4489" t="str">
        <f t="shared" si="293"/>
        <v>1</v>
      </c>
      <c r="C4489" t="str">
        <f t="shared" si="294"/>
        <v>249</v>
      </c>
      <c r="D4489" t="str">
        <f>"10"</f>
        <v>10</v>
      </c>
      <c r="E4489" t="str">
        <f>"1-249-10"</f>
        <v>1-249-10</v>
      </c>
      <c r="F4489" t="s">
        <v>15</v>
      </c>
      <c r="G4489" t="s">
        <v>16</v>
      </c>
      <c r="H4489" t="s">
        <v>17</v>
      </c>
      <c r="I4489">
        <v>1</v>
      </c>
      <c r="J4489">
        <v>0</v>
      </c>
      <c r="K4489">
        <v>0</v>
      </c>
    </row>
    <row r="4490" spans="1:11" x14ac:dyDescent="0.25">
      <c r="A4490" t="str">
        <f>"5679"</f>
        <v>5679</v>
      </c>
      <c r="B4490" t="str">
        <f t="shared" si="293"/>
        <v>1</v>
      </c>
      <c r="C4490" t="str">
        <f t="shared" si="294"/>
        <v>249</v>
      </c>
      <c r="D4490" t="str">
        <f>"4"</f>
        <v>4</v>
      </c>
      <c r="E4490" t="str">
        <f>"1-249-4"</f>
        <v>1-249-4</v>
      </c>
      <c r="F4490" t="s">
        <v>15</v>
      </c>
      <c r="G4490" t="s">
        <v>20</v>
      </c>
      <c r="H4490" t="s">
        <v>21</v>
      </c>
      <c r="I4490">
        <v>0</v>
      </c>
      <c r="J4490">
        <v>1</v>
      </c>
      <c r="K4490">
        <v>0</v>
      </c>
    </row>
    <row r="4491" spans="1:11" x14ac:dyDescent="0.25">
      <c r="A4491" t="str">
        <f>"5680"</f>
        <v>5680</v>
      </c>
      <c r="B4491" t="str">
        <f t="shared" si="293"/>
        <v>1</v>
      </c>
      <c r="C4491" t="str">
        <f t="shared" si="294"/>
        <v>249</v>
      </c>
      <c r="D4491" t="str">
        <f>"11"</f>
        <v>11</v>
      </c>
      <c r="E4491" t="str">
        <f>"1-249-11"</f>
        <v>1-249-11</v>
      </c>
      <c r="F4491" t="s">
        <v>15</v>
      </c>
      <c r="G4491" t="s">
        <v>16</v>
      </c>
      <c r="H4491" t="s">
        <v>17</v>
      </c>
      <c r="I4491">
        <v>0</v>
      </c>
      <c r="J4491">
        <v>0</v>
      </c>
      <c r="K4491">
        <v>1</v>
      </c>
    </row>
    <row r="4492" spans="1:11" x14ac:dyDescent="0.25">
      <c r="A4492" t="str">
        <f>"5681"</f>
        <v>5681</v>
      </c>
      <c r="B4492" t="str">
        <f t="shared" si="293"/>
        <v>1</v>
      </c>
      <c r="C4492" t="str">
        <f t="shared" si="294"/>
        <v>249</v>
      </c>
      <c r="D4492" t="str">
        <f>"6"</f>
        <v>6</v>
      </c>
      <c r="E4492" t="str">
        <f>"1-249-6"</f>
        <v>1-249-6</v>
      </c>
      <c r="F4492" t="s">
        <v>15</v>
      </c>
      <c r="G4492" t="s">
        <v>16</v>
      </c>
      <c r="H4492" t="s">
        <v>17</v>
      </c>
      <c r="I4492">
        <v>1</v>
      </c>
      <c r="J4492">
        <v>0</v>
      </c>
      <c r="K4492">
        <v>0</v>
      </c>
    </row>
    <row r="4493" spans="1:11" x14ac:dyDescent="0.25">
      <c r="A4493" t="str">
        <f>"5682"</f>
        <v>5682</v>
      </c>
      <c r="B4493" t="str">
        <f t="shared" si="293"/>
        <v>1</v>
      </c>
      <c r="C4493" t="str">
        <f t="shared" si="294"/>
        <v>249</v>
      </c>
      <c r="D4493" t="str">
        <f>"14"</f>
        <v>14</v>
      </c>
      <c r="E4493" t="str">
        <f>"1-249-14"</f>
        <v>1-249-14</v>
      </c>
      <c r="F4493" t="s">
        <v>15</v>
      </c>
      <c r="G4493" t="s">
        <v>16</v>
      </c>
      <c r="H4493" t="s">
        <v>17</v>
      </c>
      <c r="I4493">
        <v>1</v>
      </c>
      <c r="J4493">
        <v>0</v>
      </c>
      <c r="K4493">
        <v>0</v>
      </c>
    </row>
    <row r="4494" spans="1:11" x14ac:dyDescent="0.25">
      <c r="A4494" t="str">
        <f>"5683"</f>
        <v>5683</v>
      </c>
      <c r="B4494" t="str">
        <f t="shared" si="293"/>
        <v>1</v>
      </c>
      <c r="C4494" t="str">
        <f t="shared" si="294"/>
        <v>249</v>
      </c>
      <c r="D4494" t="str">
        <f>"7"</f>
        <v>7</v>
      </c>
      <c r="E4494" t="str">
        <f>"1-249-7"</f>
        <v>1-249-7</v>
      </c>
      <c r="F4494" t="s">
        <v>15</v>
      </c>
      <c r="G4494" t="s">
        <v>16</v>
      </c>
      <c r="H4494" t="s">
        <v>17</v>
      </c>
      <c r="I4494">
        <v>0</v>
      </c>
      <c r="J4494">
        <v>1</v>
      </c>
      <c r="K4494">
        <v>0</v>
      </c>
    </row>
    <row r="4495" spans="1:11" x14ac:dyDescent="0.25">
      <c r="A4495" t="str">
        <f>"5684"</f>
        <v>5684</v>
      </c>
      <c r="B4495" t="str">
        <f t="shared" si="293"/>
        <v>1</v>
      </c>
      <c r="C4495" t="str">
        <f t="shared" si="294"/>
        <v>249</v>
      </c>
      <c r="D4495" t="str">
        <f>"13"</f>
        <v>13</v>
      </c>
      <c r="E4495" t="str">
        <f>"1-249-13"</f>
        <v>1-249-13</v>
      </c>
      <c r="F4495" t="s">
        <v>15</v>
      </c>
      <c r="G4495" t="s">
        <v>16</v>
      </c>
      <c r="H4495" t="s">
        <v>17</v>
      </c>
      <c r="I4495">
        <v>0</v>
      </c>
      <c r="J4495">
        <v>0</v>
      </c>
      <c r="K4495">
        <v>1</v>
      </c>
    </row>
    <row r="4496" spans="1:11" x14ac:dyDescent="0.25">
      <c r="A4496" t="str">
        <f>"5685"</f>
        <v>5685</v>
      </c>
      <c r="B4496" t="str">
        <f t="shared" si="293"/>
        <v>1</v>
      </c>
      <c r="C4496" t="str">
        <f t="shared" ref="C4496:C4514" si="295">"250"</f>
        <v>250</v>
      </c>
      <c r="D4496" t="str">
        <f>"17"</f>
        <v>17</v>
      </c>
      <c r="E4496" t="str">
        <f>"1-250-17"</f>
        <v>1-250-17</v>
      </c>
      <c r="F4496" t="s">
        <v>15</v>
      </c>
      <c r="G4496" t="s">
        <v>16</v>
      </c>
      <c r="H4496" t="s">
        <v>17</v>
      </c>
      <c r="I4496">
        <v>0</v>
      </c>
      <c r="J4496">
        <v>1</v>
      </c>
      <c r="K4496">
        <v>0</v>
      </c>
    </row>
    <row r="4497" spans="1:11" x14ac:dyDescent="0.25">
      <c r="A4497" t="str">
        <f>"5686"</f>
        <v>5686</v>
      </c>
      <c r="B4497" t="str">
        <f t="shared" si="293"/>
        <v>1</v>
      </c>
      <c r="C4497" t="str">
        <f t="shared" si="295"/>
        <v>250</v>
      </c>
      <c r="D4497" t="str">
        <f>"15"</f>
        <v>15</v>
      </c>
      <c r="E4497" t="str">
        <f>"1-250-15"</f>
        <v>1-250-15</v>
      </c>
      <c r="F4497" t="s">
        <v>15</v>
      </c>
      <c r="G4497" t="s">
        <v>16</v>
      </c>
      <c r="H4497" t="s">
        <v>17</v>
      </c>
      <c r="I4497">
        <v>0</v>
      </c>
      <c r="J4497">
        <v>1</v>
      </c>
      <c r="K4497">
        <v>0</v>
      </c>
    </row>
    <row r="4498" spans="1:11" x14ac:dyDescent="0.25">
      <c r="A4498" t="str">
        <f>"5687"</f>
        <v>5687</v>
      </c>
      <c r="B4498" t="str">
        <f t="shared" si="293"/>
        <v>1</v>
      </c>
      <c r="C4498" t="str">
        <f t="shared" si="295"/>
        <v>250</v>
      </c>
      <c r="D4498" t="str">
        <f>"1"</f>
        <v>1</v>
      </c>
      <c r="E4498" t="str">
        <f>"1-250-1"</f>
        <v>1-250-1</v>
      </c>
      <c r="F4498" t="s">
        <v>15</v>
      </c>
      <c r="G4498" t="s">
        <v>16</v>
      </c>
      <c r="H4498" t="s">
        <v>17</v>
      </c>
      <c r="I4498">
        <v>1</v>
      </c>
      <c r="J4498">
        <v>0</v>
      </c>
      <c r="K4498">
        <v>0</v>
      </c>
    </row>
    <row r="4499" spans="1:11" x14ac:dyDescent="0.25">
      <c r="A4499" t="str">
        <f>"5688"</f>
        <v>5688</v>
      </c>
      <c r="B4499" t="str">
        <f t="shared" si="293"/>
        <v>1</v>
      </c>
      <c r="C4499" t="str">
        <f t="shared" si="295"/>
        <v>250</v>
      </c>
      <c r="D4499" t="str">
        <f>"18"</f>
        <v>18</v>
      </c>
      <c r="E4499" t="str">
        <f>"1-250-18"</f>
        <v>1-250-18</v>
      </c>
      <c r="F4499" t="s">
        <v>15</v>
      </c>
      <c r="G4499" t="s">
        <v>16</v>
      </c>
      <c r="H4499" t="s">
        <v>17</v>
      </c>
      <c r="I4499">
        <v>1</v>
      </c>
      <c r="J4499">
        <v>0</v>
      </c>
      <c r="K4499">
        <v>0</v>
      </c>
    </row>
    <row r="4500" spans="1:11" x14ac:dyDescent="0.25">
      <c r="A4500" t="str">
        <f>"5689"</f>
        <v>5689</v>
      </c>
      <c r="B4500" t="str">
        <f t="shared" si="293"/>
        <v>1</v>
      </c>
      <c r="C4500" t="str">
        <f t="shared" si="295"/>
        <v>250</v>
      </c>
      <c r="D4500" t="str">
        <f>"16"</f>
        <v>16</v>
      </c>
      <c r="E4500" t="str">
        <f>"1-250-16"</f>
        <v>1-250-16</v>
      </c>
      <c r="F4500" t="s">
        <v>15</v>
      </c>
      <c r="G4500" t="s">
        <v>16</v>
      </c>
      <c r="H4500" t="s">
        <v>17</v>
      </c>
      <c r="I4500">
        <v>1</v>
      </c>
      <c r="J4500">
        <v>0</v>
      </c>
      <c r="K4500">
        <v>0</v>
      </c>
    </row>
    <row r="4501" spans="1:11" x14ac:dyDescent="0.25">
      <c r="A4501" t="str">
        <f>"5690"</f>
        <v>5690</v>
      </c>
      <c r="B4501" t="str">
        <f t="shared" si="293"/>
        <v>1</v>
      </c>
      <c r="C4501" t="str">
        <f t="shared" si="295"/>
        <v>250</v>
      </c>
      <c r="D4501" t="str">
        <f>"3"</f>
        <v>3</v>
      </c>
      <c r="E4501" t="str">
        <f>"1-250-3"</f>
        <v>1-250-3</v>
      </c>
      <c r="F4501" t="s">
        <v>15</v>
      </c>
      <c r="G4501" t="s">
        <v>16</v>
      </c>
      <c r="H4501" t="s">
        <v>17</v>
      </c>
      <c r="I4501">
        <v>1</v>
      </c>
      <c r="J4501">
        <v>0</v>
      </c>
      <c r="K4501">
        <v>0</v>
      </c>
    </row>
    <row r="4502" spans="1:11" x14ac:dyDescent="0.25">
      <c r="A4502" t="str">
        <f>"5691"</f>
        <v>5691</v>
      </c>
      <c r="B4502" t="str">
        <f t="shared" si="293"/>
        <v>1</v>
      </c>
      <c r="C4502" t="str">
        <f t="shared" si="295"/>
        <v>250</v>
      </c>
      <c r="D4502" t="str">
        <f>"19"</f>
        <v>19</v>
      </c>
      <c r="E4502" t="str">
        <f>"1-250-19"</f>
        <v>1-250-19</v>
      </c>
      <c r="F4502" t="s">
        <v>15</v>
      </c>
      <c r="G4502" t="s">
        <v>16</v>
      </c>
      <c r="H4502" t="s">
        <v>17</v>
      </c>
      <c r="I4502">
        <v>1</v>
      </c>
      <c r="J4502">
        <v>0</v>
      </c>
      <c r="K4502">
        <v>0</v>
      </c>
    </row>
    <row r="4503" spans="1:11" x14ac:dyDescent="0.25">
      <c r="A4503" t="str">
        <f>"5692"</f>
        <v>5692</v>
      </c>
      <c r="B4503" t="str">
        <f t="shared" si="293"/>
        <v>1</v>
      </c>
      <c r="C4503" t="str">
        <f t="shared" si="295"/>
        <v>250</v>
      </c>
      <c r="D4503" t="str">
        <f>"6"</f>
        <v>6</v>
      </c>
      <c r="E4503" t="str">
        <f>"1-250-6"</f>
        <v>1-250-6</v>
      </c>
      <c r="F4503" t="s">
        <v>15</v>
      </c>
      <c r="G4503" t="s">
        <v>16</v>
      </c>
      <c r="H4503" t="s">
        <v>17</v>
      </c>
      <c r="I4503">
        <v>0</v>
      </c>
      <c r="J4503">
        <v>1</v>
      </c>
      <c r="K4503">
        <v>0</v>
      </c>
    </row>
    <row r="4504" spans="1:11" x14ac:dyDescent="0.25">
      <c r="A4504" t="str">
        <f>"5693"</f>
        <v>5693</v>
      </c>
      <c r="B4504" t="str">
        <f t="shared" si="293"/>
        <v>1</v>
      </c>
      <c r="C4504" t="str">
        <f t="shared" si="295"/>
        <v>250</v>
      </c>
      <c r="D4504" t="str">
        <f>"9"</f>
        <v>9</v>
      </c>
      <c r="E4504" t="str">
        <f>"1-250-9"</f>
        <v>1-250-9</v>
      </c>
      <c r="F4504" t="s">
        <v>15</v>
      </c>
      <c r="G4504" t="s">
        <v>16</v>
      </c>
      <c r="H4504" t="s">
        <v>17</v>
      </c>
      <c r="I4504">
        <v>0</v>
      </c>
      <c r="J4504">
        <v>0</v>
      </c>
      <c r="K4504">
        <v>1</v>
      </c>
    </row>
    <row r="4505" spans="1:11" x14ac:dyDescent="0.25">
      <c r="A4505" t="str">
        <f>"5694"</f>
        <v>5694</v>
      </c>
      <c r="B4505" t="str">
        <f t="shared" si="293"/>
        <v>1</v>
      </c>
      <c r="C4505" t="str">
        <f t="shared" si="295"/>
        <v>250</v>
      </c>
      <c r="D4505" t="str">
        <f>"2"</f>
        <v>2</v>
      </c>
      <c r="E4505" t="str">
        <f>"1-250-2"</f>
        <v>1-250-2</v>
      </c>
      <c r="F4505" t="s">
        <v>15</v>
      </c>
      <c r="G4505" t="s">
        <v>16</v>
      </c>
      <c r="H4505" t="s">
        <v>17</v>
      </c>
      <c r="I4505">
        <v>1</v>
      </c>
      <c r="J4505">
        <v>0</v>
      </c>
      <c r="K4505">
        <v>0</v>
      </c>
    </row>
    <row r="4506" spans="1:11" x14ac:dyDescent="0.25">
      <c r="A4506" t="str">
        <f>"5695"</f>
        <v>5695</v>
      </c>
      <c r="B4506" t="str">
        <f t="shared" si="293"/>
        <v>1</v>
      </c>
      <c r="C4506" t="str">
        <f t="shared" si="295"/>
        <v>250</v>
      </c>
      <c r="D4506" t="str">
        <f>"11"</f>
        <v>11</v>
      </c>
      <c r="E4506" t="str">
        <f>"1-250-11"</f>
        <v>1-250-11</v>
      </c>
      <c r="F4506" t="s">
        <v>15</v>
      </c>
      <c r="G4506" t="s">
        <v>16</v>
      </c>
      <c r="H4506" t="s">
        <v>17</v>
      </c>
      <c r="I4506">
        <v>1</v>
      </c>
      <c r="J4506">
        <v>0</v>
      </c>
      <c r="K4506">
        <v>0</v>
      </c>
    </row>
    <row r="4507" spans="1:11" x14ac:dyDescent="0.25">
      <c r="A4507" t="str">
        <f>"5696"</f>
        <v>5696</v>
      </c>
      <c r="B4507" t="str">
        <f t="shared" si="293"/>
        <v>1</v>
      </c>
      <c r="C4507" t="str">
        <f t="shared" si="295"/>
        <v>250</v>
      </c>
      <c r="D4507" t="str">
        <f>"10"</f>
        <v>10</v>
      </c>
      <c r="E4507" t="str">
        <f>"1-250-10"</f>
        <v>1-250-10</v>
      </c>
      <c r="F4507" t="s">
        <v>15</v>
      </c>
      <c r="G4507" t="s">
        <v>16</v>
      </c>
      <c r="H4507" t="s">
        <v>17</v>
      </c>
      <c r="I4507">
        <v>0</v>
      </c>
      <c r="J4507">
        <v>0</v>
      </c>
      <c r="K4507">
        <v>1</v>
      </c>
    </row>
    <row r="4508" spans="1:11" x14ac:dyDescent="0.25">
      <c r="A4508" t="str">
        <f>"5697"</f>
        <v>5697</v>
      </c>
      <c r="B4508" t="str">
        <f t="shared" si="293"/>
        <v>1</v>
      </c>
      <c r="C4508" t="str">
        <f t="shared" si="295"/>
        <v>250</v>
      </c>
      <c r="D4508" t="str">
        <f>"14"</f>
        <v>14</v>
      </c>
      <c r="E4508" t="str">
        <f>"1-250-14"</f>
        <v>1-250-14</v>
      </c>
      <c r="F4508" t="s">
        <v>15</v>
      </c>
      <c r="G4508" t="s">
        <v>16</v>
      </c>
      <c r="H4508" t="s">
        <v>17</v>
      </c>
      <c r="I4508">
        <v>0</v>
      </c>
      <c r="J4508">
        <v>1</v>
      </c>
      <c r="K4508">
        <v>0</v>
      </c>
    </row>
    <row r="4509" spans="1:11" x14ac:dyDescent="0.25">
      <c r="A4509" t="str">
        <f>"5698"</f>
        <v>5698</v>
      </c>
      <c r="B4509" t="str">
        <f t="shared" si="293"/>
        <v>1</v>
      </c>
      <c r="C4509" t="str">
        <f t="shared" si="295"/>
        <v>250</v>
      </c>
      <c r="D4509" t="str">
        <f>"8"</f>
        <v>8</v>
      </c>
      <c r="E4509" t="str">
        <f>"1-250-8"</f>
        <v>1-250-8</v>
      </c>
      <c r="F4509" t="s">
        <v>15</v>
      </c>
      <c r="G4509" t="s">
        <v>18</v>
      </c>
      <c r="H4509" t="s">
        <v>19</v>
      </c>
      <c r="I4509">
        <v>0</v>
      </c>
      <c r="J4509">
        <v>0</v>
      </c>
      <c r="K4509">
        <v>1</v>
      </c>
    </row>
    <row r="4510" spans="1:11" x14ac:dyDescent="0.25">
      <c r="A4510" t="str">
        <f>"5699"</f>
        <v>5699</v>
      </c>
      <c r="B4510" t="str">
        <f t="shared" si="293"/>
        <v>1</v>
      </c>
      <c r="C4510" t="str">
        <f t="shared" si="295"/>
        <v>250</v>
      </c>
      <c r="D4510" t="str">
        <f>"7"</f>
        <v>7</v>
      </c>
      <c r="E4510" t="str">
        <f>"1-250-7"</f>
        <v>1-250-7</v>
      </c>
      <c r="F4510" t="s">
        <v>15</v>
      </c>
      <c r="G4510" t="s">
        <v>16</v>
      </c>
      <c r="H4510" t="s">
        <v>17</v>
      </c>
      <c r="I4510">
        <v>1</v>
      </c>
      <c r="J4510">
        <v>0</v>
      </c>
      <c r="K4510">
        <v>0</v>
      </c>
    </row>
    <row r="4511" spans="1:11" x14ac:dyDescent="0.25">
      <c r="A4511" t="str">
        <f>"5700"</f>
        <v>5700</v>
      </c>
      <c r="B4511" t="str">
        <f t="shared" si="293"/>
        <v>1</v>
      </c>
      <c r="C4511" t="str">
        <f t="shared" si="295"/>
        <v>250</v>
      </c>
      <c r="D4511" t="str">
        <f>"13"</f>
        <v>13</v>
      </c>
      <c r="E4511" t="str">
        <f>"1-250-13"</f>
        <v>1-250-13</v>
      </c>
      <c r="F4511" t="s">
        <v>15</v>
      </c>
      <c r="G4511" t="s">
        <v>16</v>
      </c>
      <c r="H4511" t="s">
        <v>17</v>
      </c>
      <c r="I4511">
        <v>1</v>
      </c>
      <c r="J4511">
        <v>0</v>
      </c>
      <c r="K4511">
        <v>0</v>
      </c>
    </row>
    <row r="4512" spans="1:11" x14ac:dyDescent="0.25">
      <c r="A4512" t="str">
        <f>"5701"</f>
        <v>5701</v>
      </c>
      <c r="B4512" t="str">
        <f t="shared" si="293"/>
        <v>1</v>
      </c>
      <c r="C4512" t="str">
        <f t="shared" si="295"/>
        <v>250</v>
      </c>
      <c r="D4512" t="str">
        <f>"12"</f>
        <v>12</v>
      </c>
      <c r="E4512" t="str">
        <f>"1-250-12"</f>
        <v>1-250-12</v>
      </c>
      <c r="F4512" t="s">
        <v>15</v>
      </c>
      <c r="G4512" t="s">
        <v>16</v>
      </c>
      <c r="H4512" t="s">
        <v>17</v>
      </c>
      <c r="I4512">
        <v>0</v>
      </c>
      <c r="J4512">
        <v>1</v>
      </c>
      <c r="K4512">
        <v>0</v>
      </c>
    </row>
    <row r="4513" spans="1:11" x14ac:dyDescent="0.25">
      <c r="A4513" t="str">
        <f>"5702"</f>
        <v>5702</v>
      </c>
      <c r="B4513" t="str">
        <f t="shared" si="293"/>
        <v>1</v>
      </c>
      <c r="C4513" t="str">
        <f t="shared" si="295"/>
        <v>250</v>
      </c>
      <c r="D4513" t="str">
        <f>"4"</f>
        <v>4</v>
      </c>
      <c r="E4513" t="str">
        <f>"1-250-4"</f>
        <v>1-250-4</v>
      </c>
      <c r="F4513" t="s">
        <v>15</v>
      </c>
      <c r="G4513" t="s">
        <v>16</v>
      </c>
      <c r="H4513" t="s">
        <v>17</v>
      </c>
      <c r="I4513">
        <v>0</v>
      </c>
      <c r="J4513">
        <v>0</v>
      </c>
      <c r="K4513">
        <v>1</v>
      </c>
    </row>
    <row r="4514" spans="1:11" x14ac:dyDescent="0.25">
      <c r="A4514" t="str">
        <f>"5703"</f>
        <v>5703</v>
      </c>
      <c r="B4514" t="str">
        <f t="shared" si="293"/>
        <v>1</v>
      </c>
      <c r="C4514" t="str">
        <f t="shared" si="295"/>
        <v>250</v>
      </c>
      <c r="D4514" t="str">
        <f>"5"</f>
        <v>5</v>
      </c>
      <c r="E4514" t="str">
        <f>"1-250-5"</f>
        <v>1-250-5</v>
      </c>
      <c r="F4514" t="s">
        <v>15</v>
      </c>
      <c r="G4514" t="s">
        <v>16</v>
      </c>
      <c r="H4514" t="s">
        <v>17</v>
      </c>
      <c r="I4514">
        <v>1</v>
      </c>
      <c r="J4514">
        <v>0</v>
      </c>
      <c r="K4514">
        <v>0</v>
      </c>
    </row>
    <row r="4515" spans="1:11" x14ac:dyDescent="0.25">
      <c r="A4515" t="str">
        <f>"5705"</f>
        <v>5705</v>
      </c>
      <c r="B4515" t="str">
        <f t="shared" si="293"/>
        <v>1</v>
      </c>
      <c r="C4515" t="str">
        <f t="shared" ref="C4515:C4531" si="296">"251"</f>
        <v>251</v>
      </c>
      <c r="D4515" t="str">
        <f>"16"</f>
        <v>16</v>
      </c>
      <c r="E4515" t="str">
        <f>"1-251-16"</f>
        <v>1-251-16</v>
      </c>
      <c r="F4515" t="s">
        <v>15</v>
      </c>
      <c r="G4515" t="s">
        <v>20</v>
      </c>
      <c r="H4515" t="s">
        <v>21</v>
      </c>
      <c r="I4515">
        <v>1</v>
      </c>
      <c r="J4515">
        <v>0</v>
      </c>
      <c r="K4515">
        <v>0</v>
      </c>
    </row>
    <row r="4516" spans="1:11" x14ac:dyDescent="0.25">
      <c r="A4516" t="str">
        <f>"5707"</f>
        <v>5707</v>
      </c>
      <c r="B4516" t="str">
        <f t="shared" si="293"/>
        <v>1</v>
      </c>
      <c r="C4516" t="str">
        <f t="shared" si="296"/>
        <v>251</v>
      </c>
      <c r="D4516" t="str">
        <f>"17"</f>
        <v>17</v>
      </c>
      <c r="E4516" t="str">
        <f>"1-251-17"</f>
        <v>1-251-17</v>
      </c>
      <c r="F4516" t="s">
        <v>15</v>
      </c>
      <c r="G4516" t="s">
        <v>20</v>
      </c>
      <c r="H4516" t="s">
        <v>21</v>
      </c>
      <c r="I4516">
        <v>0</v>
      </c>
      <c r="J4516">
        <v>1</v>
      </c>
      <c r="K4516">
        <v>0</v>
      </c>
    </row>
    <row r="4517" spans="1:11" x14ac:dyDescent="0.25">
      <c r="A4517" t="str">
        <f>"5709"</f>
        <v>5709</v>
      </c>
      <c r="B4517" t="str">
        <f t="shared" si="293"/>
        <v>1</v>
      </c>
      <c r="C4517" t="str">
        <f t="shared" si="296"/>
        <v>251</v>
      </c>
      <c r="D4517" t="str">
        <f>"18"</f>
        <v>18</v>
      </c>
      <c r="E4517" t="str">
        <f>"1-251-18"</f>
        <v>1-251-18</v>
      </c>
      <c r="F4517" t="s">
        <v>15</v>
      </c>
      <c r="G4517" t="s">
        <v>20</v>
      </c>
      <c r="H4517" t="s">
        <v>21</v>
      </c>
      <c r="I4517">
        <v>0</v>
      </c>
      <c r="J4517">
        <v>0</v>
      </c>
      <c r="K4517">
        <v>1</v>
      </c>
    </row>
    <row r="4518" spans="1:11" x14ac:dyDescent="0.25">
      <c r="A4518" t="str">
        <f>"5710"</f>
        <v>5710</v>
      </c>
      <c r="B4518" t="str">
        <f t="shared" si="293"/>
        <v>1</v>
      </c>
      <c r="C4518" t="str">
        <f t="shared" si="296"/>
        <v>251</v>
      </c>
      <c r="D4518" t="str">
        <f>"14"</f>
        <v>14</v>
      </c>
      <c r="E4518" t="str">
        <f>"1-251-14"</f>
        <v>1-251-14</v>
      </c>
      <c r="F4518" t="s">
        <v>15</v>
      </c>
      <c r="G4518" t="s">
        <v>20</v>
      </c>
      <c r="H4518" t="s">
        <v>21</v>
      </c>
      <c r="I4518">
        <v>1</v>
      </c>
      <c r="J4518">
        <v>0</v>
      </c>
      <c r="K4518">
        <v>0</v>
      </c>
    </row>
    <row r="4519" spans="1:11" x14ac:dyDescent="0.25">
      <c r="A4519" t="str">
        <f>"5711"</f>
        <v>5711</v>
      </c>
      <c r="B4519" t="str">
        <f t="shared" si="293"/>
        <v>1</v>
      </c>
      <c r="C4519" t="str">
        <f t="shared" si="296"/>
        <v>251</v>
      </c>
      <c r="D4519" t="str">
        <f>"19"</f>
        <v>19</v>
      </c>
      <c r="E4519" t="str">
        <f>"1-251-19"</f>
        <v>1-251-19</v>
      </c>
      <c r="F4519" t="s">
        <v>15</v>
      </c>
      <c r="G4519" t="s">
        <v>20</v>
      </c>
      <c r="H4519" t="s">
        <v>21</v>
      </c>
      <c r="I4519">
        <v>1</v>
      </c>
      <c r="J4519">
        <v>0</v>
      </c>
      <c r="K4519">
        <v>0</v>
      </c>
    </row>
    <row r="4520" spans="1:11" x14ac:dyDescent="0.25">
      <c r="A4520" t="str">
        <f>"5713"</f>
        <v>5713</v>
      </c>
      <c r="B4520" t="str">
        <f t="shared" si="293"/>
        <v>1</v>
      </c>
      <c r="C4520" t="str">
        <f t="shared" si="296"/>
        <v>251</v>
      </c>
      <c r="D4520" t="str">
        <f>"20"</f>
        <v>20</v>
      </c>
      <c r="E4520" t="str">
        <f>"1-251-20"</f>
        <v>1-251-20</v>
      </c>
      <c r="F4520" t="s">
        <v>15</v>
      </c>
      <c r="G4520" t="s">
        <v>20</v>
      </c>
      <c r="H4520" t="s">
        <v>21</v>
      </c>
      <c r="I4520">
        <v>1</v>
      </c>
      <c r="J4520">
        <v>0</v>
      </c>
      <c r="K4520">
        <v>0</v>
      </c>
    </row>
    <row r="4521" spans="1:11" x14ac:dyDescent="0.25">
      <c r="A4521" t="str">
        <f>"5715"</f>
        <v>5715</v>
      </c>
      <c r="B4521" t="str">
        <f t="shared" si="293"/>
        <v>1</v>
      </c>
      <c r="C4521" t="str">
        <f t="shared" si="296"/>
        <v>251</v>
      </c>
      <c r="D4521" t="str">
        <f>"21"</f>
        <v>21</v>
      </c>
      <c r="E4521" t="str">
        <f>"1-251-21"</f>
        <v>1-251-21</v>
      </c>
      <c r="F4521" t="s">
        <v>15</v>
      </c>
      <c r="G4521" t="s">
        <v>20</v>
      </c>
      <c r="H4521" t="s">
        <v>21</v>
      </c>
      <c r="I4521">
        <v>0</v>
      </c>
      <c r="J4521">
        <v>1</v>
      </c>
      <c r="K4521">
        <v>0</v>
      </c>
    </row>
    <row r="4522" spans="1:11" x14ac:dyDescent="0.25">
      <c r="A4522" t="str">
        <f>"5717"</f>
        <v>5717</v>
      </c>
      <c r="B4522" t="str">
        <f t="shared" si="293"/>
        <v>1</v>
      </c>
      <c r="C4522" t="str">
        <f t="shared" si="296"/>
        <v>251</v>
      </c>
      <c r="D4522" t="str">
        <f>"22"</f>
        <v>22</v>
      </c>
      <c r="E4522" t="str">
        <f>"1-251-22"</f>
        <v>1-251-22</v>
      </c>
      <c r="F4522" t="s">
        <v>15</v>
      </c>
      <c r="G4522" t="s">
        <v>20</v>
      </c>
      <c r="H4522" t="s">
        <v>21</v>
      </c>
      <c r="I4522">
        <v>1</v>
      </c>
      <c r="J4522">
        <v>0</v>
      </c>
      <c r="K4522">
        <v>0</v>
      </c>
    </row>
    <row r="4523" spans="1:11" x14ac:dyDescent="0.25">
      <c r="A4523" t="str">
        <f>"5718"</f>
        <v>5718</v>
      </c>
      <c r="B4523" t="str">
        <f t="shared" si="293"/>
        <v>1</v>
      </c>
      <c r="C4523" t="str">
        <f t="shared" si="296"/>
        <v>251</v>
      </c>
      <c r="D4523" t="str">
        <f>"10"</f>
        <v>10</v>
      </c>
      <c r="E4523" t="str">
        <f>"1-251-10"</f>
        <v>1-251-10</v>
      </c>
      <c r="F4523" t="s">
        <v>15</v>
      </c>
      <c r="G4523" t="s">
        <v>20</v>
      </c>
      <c r="H4523" t="s">
        <v>21</v>
      </c>
      <c r="I4523">
        <v>1</v>
      </c>
      <c r="J4523">
        <v>0</v>
      </c>
      <c r="K4523">
        <v>0</v>
      </c>
    </row>
    <row r="4524" spans="1:11" x14ac:dyDescent="0.25">
      <c r="A4524" t="str">
        <f>"5719"</f>
        <v>5719</v>
      </c>
      <c r="B4524" t="str">
        <f t="shared" si="293"/>
        <v>1</v>
      </c>
      <c r="C4524" t="str">
        <f t="shared" si="296"/>
        <v>251</v>
      </c>
      <c r="D4524" t="str">
        <f>"23"</f>
        <v>23</v>
      </c>
      <c r="E4524" t="str">
        <f>"1-251-23"</f>
        <v>1-251-23</v>
      </c>
      <c r="F4524" t="s">
        <v>15</v>
      </c>
      <c r="G4524" t="s">
        <v>20</v>
      </c>
      <c r="H4524" t="s">
        <v>21</v>
      </c>
      <c r="I4524">
        <v>1</v>
      </c>
      <c r="J4524">
        <v>0</v>
      </c>
      <c r="K4524">
        <v>0</v>
      </c>
    </row>
    <row r="4525" spans="1:11" x14ac:dyDescent="0.25">
      <c r="A4525" t="str">
        <f>"5721"</f>
        <v>5721</v>
      </c>
      <c r="B4525" t="str">
        <f t="shared" si="293"/>
        <v>1</v>
      </c>
      <c r="C4525" t="str">
        <f t="shared" si="296"/>
        <v>251</v>
      </c>
      <c r="D4525" t="str">
        <f>"24"</f>
        <v>24</v>
      </c>
      <c r="E4525" t="str">
        <f>"1-251-24"</f>
        <v>1-251-24</v>
      </c>
      <c r="F4525" t="s">
        <v>15</v>
      </c>
      <c r="G4525" t="s">
        <v>20</v>
      </c>
      <c r="H4525" t="s">
        <v>21</v>
      </c>
      <c r="I4525">
        <v>0</v>
      </c>
      <c r="J4525">
        <v>0</v>
      </c>
      <c r="K4525">
        <v>1</v>
      </c>
    </row>
    <row r="4526" spans="1:11" x14ac:dyDescent="0.25">
      <c r="A4526" t="str">
        <f>"5723"</f>
        <v>5723</v>
      </c>
      <c r="B4526" t="str">
        <f t="shared" ref="B4526:B4565" si="297">"1"</f>
        <v>1</v>
      </c>
      <c r="C4526" t="str">
        <f t="shared" si="296"/>
        <v>251</v>
      </c>
      <c r="D4526" t="str">
        <f>"25"</f>
        <v>25</v>
      </c>
      <c r="E4526" t="str">
        <f>"1-251-25"</f>
        <v>1-251-25</v>
      </c>
      <c r="F4526" t="s">
        <v>15</v>
      </c>
      <c r="G4526" t="s">
        <v>20</v>
      </c>
      <c r="H4526" t="s">
        <v>21</v>
      </c>
      <c r="I4526">
        <v>1</v>
      </c>
      <c r="J4526">
        <v>0</v>
      </c>
      <c r="K4526">
        <v>0</v>
      </c>
    </row>
    <row r="4527" spans="1:11" x14ac:dyDescent="0.25">
      <c r="A4527" t="str">
        <f>"5724"</f>
        <v>5724</v>
      </c>
      <c r="B4527" t="str">
        <f t="shared" si="297"/>
        <v>1</v>
      </c>
      <c r="C4527" t="str">
        <f t="shared" si="296"/>
        <v>251</v>
      </c>
      <c r="D4527" t="str">
        <f>"9"</f>
        <v>9</v>
      </c>
      <c r="E4527" t="str">
        <f>"1-251-9"</f>
        <v>1-251-9</v>
      </c>
      <c r="F4527" t="s">
        <v>15</v>
      </c>
      <c r="G4527" t="s">
        <v>20</v>
      </c>
      <c r="H4527" t="s">
        <v>21</v>
      </c>
      <c r="I4527">
        <v>1</v>
      </c>
      <c r="J4527">
        <v>0</v>
      </c>
      <c r="K4527">
        <v>0</v>
      </c>
    </row>
    <row r="4528" spans="1:11" x14ac:dyDescent="0.25">
      <c r="A4528" t="str">
        <f>"5725"</f>
        <v>5725</v>
      </c>
      <c r="B4528" t="str">
        <f t="shared" si="297"/>
        <v>1</v>
      </c>
      <c r="C4528" t="str">
        <f t="shared" si="296"/>
        <v>251</v>
      </c>
      <c r="D4528" t="str">
        <f>"13"</f>
        <v>13</v>
      </c>
      <c r="E4528" t="str">
        <f>"1-251-13"</f>
        <v>1-251-13</v>
      </c>
      <c r="F4528" t="s">
        <v>15</v>
      </c>
      <c r="G4528" t="s">
        <v>20</v>
      </c>
      <c r="H4528" t="s">
        <v>21</v>
      </c>
      <c r="I4528">
        <v>0</v>
      </c>
      <c r="J4528">
        <v>1</v>
      </c>
      <c r="K4528">
        <v>0</v>
      </c>
    </row>
    <row r="4529" spans="1:11" x14ac:dyDescent="0.25">
      <c r="A4529" t="str">
        <f>"5726"</f>
        <v>5726</v>
      </c>
      <c r="B4529" t="str">
        <f t="shared" si="297"/>
        <v>1</v>
      </c>
      <c r="C4529" t="str">
        <f t="shared" si="296"/>
        <v>251</v>
      </c>
      <c r="D4529" t="str">
        <f>"12"</f>
        <v>12</v>
      </c>
      <c r="E4529" t="str">
        <f>"1-251-12"</f>
        <v>1-251-12</v>
      </c>
      <c r="F4529" t="s">
        <v>15</v>
      </c>
      <c r="G4529" t="s">
        <v>20</v>
      </c>
      <c r="H4529" t="s">
        <v>21</v>
      </c>
      <c r="I4529">
        <v>0</v>
      </c>
      <c r="J4529">
        <v>1</v>
      </c>
      <c r="K4529">
        <v>0</v>
      </c>
    </row>
    <row r="4530" spans="1:11" x14ac:dyDescent="0.25">
      <c r="A4530" t="str">
        <f>"5727"</f>
        <v>5727</v>
      </c>
      <c r="B4530" t="str">
        <f t="shared" si="297"/>
        <v>1</v>
      </c>
      <c r="C4530" t="str">
        <f t="shared" si="296"/>
        <v>251</v>
      </c>
      <c r="D4530" t="str">
        <f>"11"</f>
        <v>11</v>
      </c>
      <c r="E4530" t="str">
        <f>"1-251-11"</f>
        <v>1-251-11</v>
      </c>
      <c r="F4530" t="s">
        <v>15</v>
      </c>
      <c r="G4530" t="s">
        <v>20</v>
      </c>
      <c r="H4530" t="s">
        <v>21</v>
      </c>
      <c r="I4530">
        <v>0</v>
      </c>
      <c r="J4530">
        <v>1</v>
      </c>
      <c r="K4530">
        <v>0</v>
      </c>
    </row>
    <row r="4531" spans="1:11" x14ac:dyDescent="0.25">
      <c r="A4531" t="str">
        <f>"5728"</f>
        <v>5728</v>
      </c>
      <c r="B4531" t="str">
        <f t="shared" si="297"/>
        <v>1</v>
      </c>
      <c r="C4531" t="str">
        <f t="shared" si="296"/>
        <v>251</v>
      </c>
      <c r="D4531" t="str">
        <f>"15"</f>
        <v>15</v>
      </c>
      <c r="E4531" t="str">
        <f>"1-251-15"</f>
        <v>1-251-15</v>
      </c>
      <c r="F4531" t="s">
        <v>15</v>
      </c>
      <c r="G4531" t="s">
        <v>20</v>
      </c>
      <c r="H4531" t="s">
        <v>21</v>
      </c>
      <c r="I4531">
        <v>0</v>
      </c>
      <c r="J4531">
        <v>0</v>
      </c>
      <c r="K4531">
        <v>0</v>
      </c>
    </row>
    <row r="4532" spans="1:11" x14ac:dyDescent="0.25">
      <c r="A4532" t="str">
        <f>"5729"</f>
        <v>5729</v>
      </c>
      <c r="B4532" t="str">
        <f t="shared" si="297"/>
        <v>1</v>
      </c>
      <c r="C4532" t="str">
        <f t="shared" ref="C4532:C4550" si="298">"252"</f>
        <v>252</v>
      </c>
      <c r="D4532" t="str">
        <f>"15"</f>
        <v>15</v>
      </c>
      <c r="E4532" t="str">
        <f>"1-252-15"</f>
        <v>1-252-15</v>
      </c>
      <c r="F4532" t="s">
        <v>15</v>
      </c>
      <c r="G4532" t="s">
        <v>20</v>
      </c>
      <c r="H4532" t="s">
        <v>21</v>
      </c>
      <c r="I4532">
        <v>0</v>
      </c>
      <c r="J4532">
        <v>0</v>
      </c>
      <c r="K4532">
        <v>1</v>
      </c>
    </row>
    <row r="4533" spans="1:11" x14ac:dyDescent="0.25">
      <c r="A4533" t="str">
        <f>"5730"</f>
        <v>5730</v>
      </c>
      <c r="B4533" t="str">
        <f t="shared" si="297"/>
        <v>1</v>
      </c>
      <c r="C4533" t="str">
        <f t="shared" si="298"/>
        <v>252</v>
      </c>
      <c r="D4533" t="str">
        <f>"2"</f>
        <v>2</v>
      </c>
      <c r="E4533" t="str">
        <f>"1-252-2"</f>
        <v>1-252-2</v>
      </c>
      <c r="F4533" t="s">
        <v>15</v>
      </c>
      <c r="G4533" t="s">
        <v>20</v>
      </c>
      <c r="H4533" t="s">
        <v>21</v>
      </c>
      <c r="I4533">
        <v>1</v>
      </c>
      <c r="J4533">
        <v>0</v>
      </c>
      <c r="K4533">
        <v>0</v>
      </c>
    </row>
    <row r="4534" spans="1:11" x14ac:dyDescent="0.25">
      <c r="A4534" t="str">
        <f>"5731"</f>
        <v>5731</v>
      </c>
      <c r="B4534" t="str">
        <f t="shared" si="297"/>
        <v>1</v>
      </c>
      <c r="C4534" t="str">
        <f t="shared" si="298"/>
        <v>252</v>
      </c>
      <c r="D4534" t="str">
        <f>"16"</f>
        <v>16</v>
      </c>
      <c r="E4534" t="str">
        <f>"1-252-16"</f>
        <v>1-252-16</v>
      </c>
      <c r="F4534" t="s">
        <v>15</v>
      </c>
      <c r="G4534" t="s">
        <v>20</v>
      </c>
      <c r="H4534" t="s">
        <v>21</v>
      </c>
      <c r="I4534">
        <v>0</v>
      </c>
      <c r="J4534">
        <v>1</v>
      </c>
      <c r="K4534">
        <v>0</v>
      </c>
    </row>
    <row r="4535" spans="1:11" x14ac:dyDescent="0.25">
      <c r="A4535" t="str">
        <f>"5732"</f>
        <v>5732</v>
      </c>
      <c r="B4535" t="str">
        <f t="shared" si="297"/>
        <v>1</v>
      </c>
      <c r="C4535" t="str">
        <f t="shared" si="298"/>
        <v>252</v>
      </c>
      <c r="D4535" t="str">
        <f>"17"</f>
        <v>17</v>
      </c>
      <c r="E4535" t="str">
        <f>"1-252-17"</f>
        <v>1-252-17</v>
      </c>
      <c r="F4535" t="s">
        <v>15</v>
      </c>
      <c r="G4535" t="s">
        <v>20</v>
      </c>
      <c r="H4535" t="s">
        <v>21</v>
      </c>
      <c r="I4535">
        <v>0</v>
      </c>
      <c r="J4535">
        <v>1</v>
      </c>
      <c r="K4535">
        <v>0</v>
      </c>
    </row>
    <row r="4536" spans="1:11" x14ac:dyDescent="0.25">
      <c r="A4536" t="str">
        <f>"5733"</f>
        <v>5733</v>
      </c>
      <c r="B4536" t="str">
        <f t="shared" si="297"/>
        <v>1</v>
      </c>
      <c r="C4536" t="str">
        <f t="shared" si="298"/>
        <v>252</v>
      </c>
      <c r="D4536" t="str">
        <f>"1"</f>
        <v>1</v>
      </c>
      <c r="E4536" t="str">
        <f>"1-252-1"</f>
        <v>1-252-1</v>
      </c>
      <c r="F4536" t="s">
        <v>15</v>
      </c>
      <c r="G4536" t="s">
        <v>20</v>
      </c>
      <c r="H4536" t="s">
        <v>21</v>
      </c>
      <c r="I4536">
        <v>0</v>
      </c>
      <c r="J4536">
        <v>1</v>
      </c>
      <c r="K4536">
        <v>0</v>
      </c>
    </row>
    <row r="4537" spans="1:11" x14ac:dyDescent="0.25">
      <c r="A4537" t="str">
        <f>"5734"</f>
        <v>5734</v>
      </c>
      <c r="B4537" t="str">
        <f t="shared" si="297"/>
        <v>1</v>
      </c>
      <c r="C4537" t="str">
        <f t="shared" si="298"/>
        <v>252</v>
      </c>
      <c r="D4537" t="str">
        <f>"18"</f>
        <v>18</v>
      </c>
      <c r="E4537" t="str">
        <f>"1-252-18"</f>
        <v>1-252-18</v>
      </c>
      <c r="F4537" t="s">
        <v>15</v>
      </c>
      <c r="G4537" t="s">
        <v>20</v>
      </c>
      <c r="H4537" t="s">
        <v>21</v>
      </c>
      <c r="I4537">
        <v>0</v>
      </c>
      <c r="J4537">
        <v>0</v>
      </c>
      <c r="K4537">
        <v>1</v>
      </c>
    </row>
    <row r="4538" spans="1:11" x14ac:dyDescent="0.25">
      <c r="A4538" t="str">
        <f>"5735"</f>
        <v>5735</v>
      </c>
      <c r="B4538" t="str">
        <f t="shared" si="297"/>
        <v>1</v>
      </c>
      <c r="C4538" t="str">
        <f t="shared" si="298"/>
        <v>252</v>
      </c>
      <c r="D4538" t="str">
        <f>"14"</f>
        <v>14</v>
      </c>
      <c r="E4538" t="str">
        <f>"1-252-14"</f>
        <v>1-252-14</v>
      </c>
      <c r="F4538" t="s">
        <v>15</v>
      </c>
      <c r="G4538" t="s">
        <v>20</v>
      </c>
      <c r="H4538" t="s">
        <v>21</v>
      </c>
      <c r="I4538">
        <v>1</v>
      </c>
      <c r="J4538">
        <v>0</v>
      </c>
      <c r="K4538">
        <v>0</v>
      </c>
    </row>
    <row r="4539" spans="1:11" x14ac:dyDescent="0.25">
      <c r="A4539" t="str">
        <f>"5738"</f>
        <v>5738</v>
      </c>
      <c r="B4539" t="str">
        <f t="shared" si="297"/>
        <v>1</v>
      </c>
      <c r="C4539" t="str">
        <f t="shared" si="298"/>
        <v>252</v>
      </c>
      <c r="D4539" t="str">
        <f>"20"</f>
        <v>20</v>
      </c>
      <c r="E4539" t="str">
        <f>"1-252-20"</f>
        <v>1-252-20</v>
      </c>
      <c r="F4539" t="s">
        <v>15</v>
      </c>
      <c r="G4539" t="s">
        <v>20</v>
      </c>
      <c r="H4539" t="s">
        <v>21</v>
      </c>
      <c r="I4539">
        <v>1</v>
      </c>
      <c r="J4539">
        <v>0</v>
      </c>
      <c r="K4539">
        <v>0</v>
      </c>
    </row>
    <row r="4540" spans="1:11" x14ac:dyDescent="0.25">
      <c r="A4540" t="str">
        <f>"5739"</f>
        <v>5739</v>
      </c>
      <c r="B4540" t="str">
        <f t="shared" si="297"/>
        <v>1</v>
      </c>
      <c r="C4540" t="str">
        <f t="shared" si="298"/>
        <v>252</v>
      </c>
      <c r="D4540" t="str">
        <f>"13"</f>
        <v>13</v>
      </c>
      <c r="E4540" t="str">
        <f>"1-252-13"</f>
        <v>1-252-13</v>
      </c>
      <c r="F4540" t="s">
        <v>15</v>
      </c>
      <c r="G4540" t="s">
        <v>20</v>
      </c>
      <c r="H4540" t="s">
        <v>21</v>
      </c>
      <c r="I4540">
        <v>0</v>
      </c>
      <c r="J4540">
        <v>0</v>
      </c>
      <c r="K4540">
        <v>1</v>
      </c>
    </row>
    <row r="4541" spans="1:11" x14ac:dyDescent="0.25">
      <c r="A4541" t="str">
        <f>"5740"</f>
        <v>5740</v>
      </c>
      <c r="B4541" t="str">
        <f t="shared" si="297"/>
        <v>1</v>
      </c>
      <c r="C4541" t="str">
        <f t="shared" si="298"/>
        <v>252</v>
      </c>
      <c r="D4541" t="str">
        <f>"21"</f>
        <v>21</v>
      </c>
      <c r="E4541" t="str">
        <f>"1-252-21"</f>
        <v>1-252-21</v>
      </c>
      <c r="F4541" t="s">
        <v>15</v>
      </c>
      <c r="G4541" t="s">
        <v>20</v>
      </c>
      <c r="H4541" t="s">
        <v>21</v>
      </c>
      <c r="I4541">
        <v>0</v>
      </c>
      <c r="J4541">
        <v>0</v>
      </c>
      <c r="K4541">
        <v>1</v>
      </c>
    </row>
    <row r="4542" spans="1:11" x14ac:dyDescent="0.25">
      <c r="A4542" t="str">
        <f>"5741"</f>
        <v>5741</v>
      </c>
      <c r="B4542" t="str">
        <f t="shared" si="297"/>
        <v>1</v>
      </c>
      <c r="C4542" t="str">
        <f t="shared" si="298"/>
        <v>252</v>
      </c>
      <c r="D4542" t="str">
        <f>"8"</f>
        <v>8</v>
      </c>
      <c r="E4542" t="str">
        <f>"1-252-8"</f>
        <v>1-252-8</v>
      </c>
      <c r="F4542" t="s">
        <v>15</v>
      </c>
      <c r="G4542" t="s">
        <v>20</v>
      </c>
      <c r="H4542" t="s">
        <v>21</v>
      </c>
      <c r="I4542">
        <v>0</v>
      </c>
      <c r="J4542">
        <v>1</v>
      </c>
      <c r="K4542">
        <v>0</v>
      </c>
    </row>
    <row r="4543" spans="1:11" x14ac:dyDescent="0.25">
      <c r="A4543" t="str">
        <f>"5742"</f>
        <v>5742</v>
      </c>
      <c r="B4543" t="str">
        <f t="shared" si="297"/>
        <v>1</v>
      </c>
      <c r="C4543" t="str">
        <f t="shared" si="298"/>
        <v>252</v>
      </c>
      <c r="D4543" t="str">
        <f>"3"</f>
        <v>3</v>
      </c>
      <c r="E4543" t="str">
        <f>"1-252-3"</f>
        <v>1-252-3</v>
      </c>
      <c r="F4543" t="s">
        <v>15</v>
      </c>
      <c r="G4543" t="s">
        <v>20</v>
      </c>
      <c r="H4543" t="s">
        <v>21</v>
      </c>
      <c r="I4543">
        <v>0</v>
      </c>
      <c r="J4543">
        <v>0</v>
      </c>
      <c r="K4543">
        <v>1</v>
      </c>
    </row>
    <row r="4544" spans="1:11" x14ac:dyDescent="0.25">
      <c r="A4544" t="str">
        <f>"5743"</f>
        <v>5743</v>
      </c>
      <c r="B4544" t="str">
        <f t="shared" si="297"/>
        <v>1</v>
      </c>
      <c r="C4544" t="str">
        <f t="shared" si="298"/>
        <v>252</v>
      </c>
      <c r="D4544" t="str">
        <f>"11"</f>
        <v>11</v>
      </c>
      <c r="E4544" t="str">
        <f>"1-252-11"</f>
        <v>1-252-11</v>
      </c>
      <c r="F4544" t="s">
        <v>15</v>
      </c>
      <c r="G4544" t="s">
        <v>20</v>
      </c>
      <c r="H4544" t="s">
        <v>21</v>
      </c>
      <c r="I4544">
        <v>0</v>
      </c>
      <c r="J4544">
        <v>0</v>
      </c>
      <c r="K4544">
        <v>1</v>
      </c>
    </row>
    <row r="4545" spans="1:11" x14ac:dyDescent="0.25">
      <c r="A4545" t="str">
        <f>"5744"</f>
        <v>5744</v>
      </c>
      <c r="B4545" t="str">
        <f t="shared" si="297"/>
        <v>1</v>
      </c>
      <c r="C4545" t="str">
        <f t="shared" si="298"/>
        <v>252</v>
      </c>
      <c r="D4545" t="str">
        <f>"5"</f>
        <v>5</v>
      </c>
      <c r="E4545" t="str">
        <f>"1-252-5"</f>
        <v>1-252-5</v>
      </c>
      <c r="F4545" t="s">
        <v>15</v>
      </c>
      <c r="G4545" t="s">
        <v>20</v>
      </c>
      <c r="H4545" t="s">
        <v>21</v>
      </c>
      <c r="I4545">
        <v>0</v>
      </c>
      <c r="J4545">
        <v>1</v>
      </c>
      <c r="K4545">
        <v>0</v>
      </c>
    </row>
    <row r="4546" spans="1:11" x14ac:dyDescent="0.25">
      <c r="A4546" t="str">
        <f>"5745"</f>
        <v>5745</v>
      </c>
      <c r="B4546" t="str">
        <f t="shared" si="297"/>
        <v>1</v>
      </c>
      <c r="C4546" t="str">
        <f t="shared" si="298"/>
        <v>252</v>
      </c>
      <c r="D4546" t="str">
        <f>"9"</f>
        <v>9</v>
      </c>
      <c r="E4546" t="str">
        <f>"1-252-9"</f>
        <v>1-252-9</v>
      </c>
      <c r="F4546" t="s">
        <v>15</v>
      </c>
      <c r="G4546" t="s">
        <v>20</v>
      </c>
      <c r="H4546" t="s">
        <v>21</v>
      </c>
      <c r="I4546">
        <v>0</v>
      </c>
      <c r="J4546">
        <v>0</v>
      </c>
      <c r="K4546">
        <v>1</v>
      </c>
    </row>
    <row r="4547" spans="1:11" x14ac:dyDescent="0.25">
      <c r="A4547" t="str">
        <f>"5746"</f>
        <v>5746</v>
      </c>
      <c r="B4547" t="str">
        <f t="shared" si="297"/>
        <v>1</v>
      </c>
      <c r="C4547" t="str">
        <f t="shared" si="298"/>
        <v>252</v>
      </c>
      <c r="D4547" t="str">
        <f>"4"</f>
        <v>4</v>
      </c>
      <c r="E4547" t="str">
        <f>"1-252-4"</f>
        <v>1-252-4</v>
      </c>
      <c r="F4547" t="s">
        <v>15</v>
      </c>
      <c r="G4547" t="s">
        <v>20</v>
      </c>
      <c r="H4547" t="s">
        <v>21</v>
      </c>
      <c r="I4547">
        <v>0</v>
      </c>
      <c r="J4547">
        <v>0</v>
      </c>
      <c r="K4547">
        <v>1</v>
      </c>
    </row>
    <row r="4548" spans="1:11" x14ac:dyDescent="0.25">
      <c r="A4548" t="str">
        <f>"5747"</f>
        <v>5747</v>
      </c>
      <c r="B4548" t="str">
        <f t="shared" si="297"/>
        <v>1</v>
      </c>
      <c r="C4548" t="str">
        <f t="shared" si="298"/>
        <v>252</v>
      </c>
      <c r="D4548" t="str">
        <f>"7"</f>
        <v>7</v>
      </c>
      <c r="E4548" t="str">
        <f>"1-252-7"</f>
        <v>1-252-7</v>
      </c>
      <c r="F4548" t="s">
        <v>15</v>
      </c>
      <c r="G4548" t="s">
        <v>20</v>
      </c>
      <c r="H4548" t="s">
        <v>21</v>
      </c>
      <c r="I4548">
        <v>0</v>
      </c>
      <c r="J4548">
        <v>0</v>
      </c>
      <c r="K4548">
        <v>1</v>
      </c>
    </row>
    <row r="4549" spans="1:11" x14ac:dyDescent="0.25">
      <c r="A4549" t="str">
        <f>"5748"</f>
        <v>5748</v>
      </c>
      <c r="B4549" t="str">
        <f t="shared" si="297"/>
        <v>1</v>
      </c>
      <c r="C4549" t="str">
        <f t="shared" si="298"/>
        <v>252</v>
      </c>
      <c r="D4549" t="str">
        <f>"12"</f>
        <v>12</v>
      </c>
      <c r="E4549" t="str">
        <f>"1-252-12"</f>
        <v>1-252-12</v>
      </c>
      <c r="F4549" t="s">
        <v>15</v>
      </c>
      <c r="G4549" t="s">
        <v>20</v>
      </c>
      <c r="H4549" t="s">
        <v>21</v>
      </c>
      <c r="I4549">
        <v>0</v>
      </c>
      <c r="J4549">
        <v>0</v>
      </c>
      <c r="K4549">
        <v>1</v>
      </c>
    </row>
    <row r="4550" spans="1:11" x14ac:dyDescent="0.25">
      <c r="A4550" t="str">
        <f>"5749"</f>
        <v>5749</v>
      </c>
      <c r="B4550" t="str">
        <f t="shared" si="297"/>
        <v>1</v>
      </c>
      <c r="C4550" t="str">
        <f t="shared" si="298"/>
        <v>252</v>
      </c>
      <c r="D4550" t="str">
        <f>"6"</f>
        <v>6</v>
      </c>
      <c r="E4550" t="str">
        <f>"1-252-6"</f>
        <v>1-252-6</v>
      </c>
      <c r="F4550" t="s">
        <v>15</v>
      </c>
      <c r="G4550" t="s">
        <v>20</v>
      </c>
      <c r="H4550" t="s">
        <v>21</v>
      </c>
      <c r="I4550">
        <v>0</v>
      </c>
      <c r="J4550">
        <v>0</v>
      </c>
      <c r="K4550">
        <v>0</v>
      </c>
    </row>
    <row r="4551" spans="1:11" x14ac:dyDescent="0.25">
      <c r="A4551" t="str">
        <f>"5771"</f>
        <v>5771</v>
      </c>
      <c r="B4551" t="str">
        <f t="shared" si="297"/>
        <v>1</v>
      </c>
      <c r="C4551" t="str">
        <f t="shared" ref="C4551:C4576" si="299">"254"</f>
        <v>254</v>
      </c>
      <c r="D4551" t="str">
        <f>"26"</f>
        <v>26</v>
      </c>
      <c r="E4551" t="str">
        <f>"1-254-26"</f>
        <v>1-254-26</v>
      </c>
      <c r="F4551" t="s">
        <v>15</v>
      </c>
      <c r="G4551" t="s">
        <v>16</v>
      </c>
      <c r="H4551" t="s">
        <v>17</v>
      </c>
      <c r="I4551">
        <v>1</v>
      </c>
      <c r="J4551">
        <v>0</v>
      </c>
      <c r="K4551">
        <v>0</v>
      </c>
    </row>
    <row r="4552" spans="1:11" x14ac:dyDescent="0.25">
      <c r="A4552" t="str">
        <f>"5772"</f>
        <v>5772</v>
      </c>
      <c r="B4552" t="str">
        <f t="shared" si="297"/>
        <v>1</v>
      </c>
      <c r="C4552" t="str">
        <f t="shared" si="299"/>
        <v>254</v>
      </c>
      <c r="D4552" t="str">
        <f>"25"</f>
        <v>25</v>
      </c>
      <c r="E4552" t="str">
        <f>"1-254-25"</f>
        <v>1-254-25</v>
      </c>
      <c r="F4552" t="s">
        <v>15</v>
      </c>
      <c r="G4552" t="s">
        <v>20</v>
      </c>
      <c r="H4552" t="s">
        <v>21</v>
      </c>
      <c r="I4552">
        <v>0</v>
      </c>
      <c r="J4552">
        <v>1</v>
      </c>
      <c r="K4552">
        <v>0</v>
      </c>
    </row>
    <row r="4553" spans="1:11" x14ac:dyDescent="0.25">
      <c r="A4553" t="str">
        <f>"5773"</f>
        <v>5773</v>
      </c>
      <c r="B4553" t="str">
        <f t="shared" si="297"/>
        <v>1</v>
      </c>
      <c r="C4553" t="str">
        <f t="shared" si="299"/>
        <v>254</v>
      </c>
      <c r="D4553" t="str">
        <f>"15"</f>
        <v>15</v>
      </c>
      <c r="E4553" t="str">
        <f>"1-254-15"</f>
        <v>1-254-15</v>
      </c>
      <c r="F4553" t="s">
        <v>15</v>
      </c>
      <c r="G4553" t="s">
        <v>16</v>
      </c>
      <c r="H4553" t="s">
        <v>17</v>
      </c>
      <c r="I4553">
        <v>1</v>
      </c>
      <c r="J4553">
        <v>0</v>
      </c>
      <c r="K4553">
        <v>0</v>
      </c>
    </row>
    <row r="4554" spans="1:11" x14ac:dyDescent="0.25">
      <c r="A4554" t="str">
        <f>"5774"</f>
        <v>5774</v>
      </c>
      <c r="B4554" t="str">
        <f t="shared" si="297"/>
        <v>1</v>
      </c>
      <c r="C4554" t="str">
        <f t="shared" si="299"/>
        <v>254</v>
      </c>
      <c r="D4554" t="str">
        <f>"1"</f>
        <v>1</v>
      </c>
      <c r="E4554" t="str">
        <f>"1-254-1"</f>
        <v>1-254-1</v>
      </c>
      <c r="F4554" t="s">
        <v>15</v>
      </c>
      <c r="G4554" t="s">
        <v>18</v>
      </c>
      <c r="H4554" t="s">
        <v>19</v>
      </c>
      <c r="I4554">
        <v>0</v>
      </c>
      <c r="J4554">
        <v>1</v>
      </c>
      <c r="K4554">
        <v>0</v>
      </c>
    </row>
    <row r="4555" spans="1:11" x14ac:dyDescent="0.25">
      <c r="A4555" t="str">
        <f>"5775"</f>
        <v>5775</v>
      </c>
      <c r="B4555" t="str">
        <f t="shared" si="297"/>
        <v>1</v>
      </c>
      <c r="C4555" t="str">
        <f t="shared" si="299"/>
        <v>254</v>
      </c>
      <c r="D4555" t="str">
        <f>"16"</f>
        <v>16</v>
      </c>
      <c r="E4555" t="str">
        <f>"1-254-16"</f>
        <v>1-254-16</v>
      </c>
      <c r="F4555" t="s">
        <v>15</v>
      </c>
      <c r="G4555" t="s">
        <v>16</v>
      </c>
      <c r="H4555" t="s">
        <v>17</v>
      </c>
      <c r="I4555">
        <v>1</v>
      </c>
      <c r="J4555">
        <v>0</v>
      </c>
      <c r="K4555">
        <v>0</v>
      </c>
    </row>
    <row r="4556" spans="1:11" x14ac:dyDescent="0.25">
      <c r="A4556" t="str">
        <f>"5776"</f>
        <v>5776</v>
      </c>
      <c r="B4556" t="str">
        <f t="shared" si="297"/>
        <v>1</v>
      </c>
      <c r="C4556" t="str">
        <f t="shared" si="299"/>
        <v>254</v>
      </c>
      <c r="D4556" t="str">
        <f>"4"</f>
        <v>4</v>
      </c>
      <c r="E4556" t="str">
        <f>"1-254-4"</f>
        <v>1-254-4</v>
      </c>
      <c r="F4556" t="s">
        <v>15</v>
      </c>
      <c r="G4556" t="s">
        <v>18</v>
      </c>
      <c r="H4556" t="s">
        <v>19</v>
      </c>
      <c r="I4556">
        <v>1</v>
      </c>
      <c r="J4556">
        <v>0</v>
      </c>
      <c r="K4556">
        <v>0</v>
      </c>
    </row>
    <row r="4557" spans="1:11" x14ac:dyDescent="0.25">
      <c r="A4557" t="str">
        <f>"5777"</f>
        <v>5777</v>
      </c>
      <c r="B4557" t="str">
        <f t="shared" si="297"/>
        <v>1</v>
      </c>
      <c r="C4557" t="str">
        <f t="shared" si="299"/>
        <v>254</v>
      </c>
      <c r="D4557" t="str">
        <f>"2"</f>
        <v>2</v>
      </c>
      <c r="E4557" t="str">
        <f>"1-254-2"</f>
        <v>1-254-2</v>
      </c>
      <c r="F4557" t="s">
        <v>15</v>
      </c>
      <c r="G4557" t="s">
        <v>20</v>
      </c>
      <c r="H4557" t="s">
        <v>21</v>
      </c>
      <c r="I4557">
        <v>0</v>
      </c>
      <c r="J4557">
        <v>0</v>
      </c>
      <c r="K4557">
        <v>1</v>
      </c>
    </row>
    <row r="4558" spans="1:11" x14ac:dyDescent="0.25">
      <c r="A4558" t="str">
        <f>"5778"</f>
        <v>5778</v>
      </c>
      <c r="B4558" t="str">
        <f t="shared" si="297"/>
        <v>1</v>
      </c>
      <c r="C4558" t="str">
        <f t="shared" si="299"/>
        <v>254</v>
      </c>
      <c r="D4558" t="str">
        <f>"19"</f>
        <v>19</v>
      </c>
      <c r="E4558" t="str">
        <f>"1-254-19"</f>
        <v>1-254-19</v>
      </c>
      <c r="F4558" t="s">
        <v>15</v>
      </c>
      <c r="G4558" t="s">
        <v>16</v>
      </c>
      <c r="H4558" t="s">
        <v>17</v>
      </c>
      <c r="I4558">
        <v>0</v>
      </c>
      <c r="J4558">
        <v>1</v>
      </c>
      <c r="K4558">
        <v>0</v>
      </c>
    </row>
    <row r="4559" spans="1:11" x14ac:dyDescent="0.25">
      <c r="A4559" t="str">
        <f>"5779"</f>
        <v>5779</v>
      </c>
      <c r="B4559" t="str">
        <f t="shared" si="297"/>
        <v>1</v>
      </c>
      <c r="C4559" t="str">
        <f t="shared" si="299"/>
        <v>254</v>
      </c>
      <c r="D4559" t="str">
        <f>"14"</f>
        <v>14</v>
      </c>
      <c r="E4559" t="str">
        <f>"1-254-14"</f>
        <v>1-254-14</v>
      </c>
      <c r="F4559" t="s">
        <v>15</v>
      </c>
      <c r="G4559" t="s">
        <v>16</v>
      </c>
      <c r="H4559" t="s">
        <v>17</v>
      </c>
      <c r="I4559">
        <v>0</v>
      </c>
      <c r="J4559">
        <v>0</v>
      </c>
      <c r="K4559">
        <v>1</v>
      </c>
    </row>
    <row r="4560" spans="1:11" x14ac:dyDescent="0.25">
      <c r="A4560" t="str">
        <f>"5780"</f>
        <v>5780</v>
      </c>
      <c r="B4560" t="str">
        <f t="shared" si="297"/>
        <v>1</v>
      </c>
      <c r="C4560" t="str">
        <f t="shared" si="299"/>
        <v>254</v>
      </c>
      <c r="D4560" t="str">
        <f>"11"</f>
        <v>11</v>
      </c>
      <c r="E4560" t="str">
        <f>"1-254-11"</f>
        <v>1-254-11</v>
      </c>
      <c r="F4560" t="s">
        <v>15</v>
      </c>
      <c r="G4560" t="s">
        <v>16</v>
      </c>
      <c r="H4560" t="s">
        <v>17</v>
      </c>
      <c r="I4560">
        <v>1</v>
      </c>
      <c r="J4560">
        <v>0</v>
      </c>
      <c r="K4560">
        <v>0</v>
      </c>
    </row>
    <row r="4561" spans="1:11" x14ac:dyDescent="0.25">
      <c r="A4561" t="str">
        <f>"5781"</f>
        <v>5781</v>
      </c>
      <c r="B4561" t="str">
        <f t="shared" si="297"/>
        <v>1</v>
      </c>
      <c r="C4561" t="str">
        <f t="shared" si="299"/>
        <v>254</v>
      </c>
      <c r="D4561" t="str">
        <f>"21"</f>
        <v>21</v>
      </c>
      <c r="E4561" t="str">
        <f>"1-254-21"</f>
        <v>1-254-21</v>
      </c>
      <c r="F4561" t="s">
        <v>15</v>
      </c>
      <c r="G4561" t="s">
        <v>16</v>
      </c>
      <c r="H4561" t="s">
        <v>17</v>
      </c>
      <c r="I4561">
        <v>0</v>
      </c>
      <c r="J4561">
        <v>1</v>
      </c>
      <c r="K4561">
        <v>0</v>
      </c>
    </row>
    <row r="4562" spans="1:11" x14ac:dyDescent="0.25">
      <c r="A4562" t="str">
        <f>"5782"</f>
        <v>5782</v>
      </c>
      <c r="B4562" t="str">
        <f t="shared" si="297"/>
        <v>1</v>
      </c>
      <c r="C4562" t="str">
        <f t="shared" si="299"/>
        <v>254</v>
      </c>
      <c r="D4562" t="str">
        <f>"3"</f>
        <v>3</v>
      </c>
      <c r="E4562" t="str">
        <f>"1-254-3"</f>
        <v>1-254-3</v>
      </c>
      <c r="F4562" t="s">
        <v>15</v>
      </c>
      <c r="G4562" t="s">
        <v>16</v>
      </c>
      <c r="H4562" t="s">
        <v>17</v>
      </c>
      <c r="I4562">
        <v>1</v>
      </c>
      <c r="J4562">
        <v>0</v>
      </c>
      <c r="K4562">
        <v>0</v>
      </c>
    </row>
    <row r="4563" spans="1:11" x14ac:dyDescent="0.25">
      <c r="A4563" t="str">
        <f>"5783"</f>
        <v>5783</v>
      </c>
      <c r="B4563" t="str">
        <f t="shared" si="297"/>
        <v>1</v>
      </c>
      <c r="C4563" t="str">
        <f t="shared" si="299"/>
        <v>254</v>
      </c>
      <c r="D4563" t="str">
        <f>"23"</f>
        <v>23</v>
      </c>
      <c r="E4563" t="str">
        <f>"1-254-23"</f>
        <v>1-254-23</v>
      </c>
      <c r="F4563" t="s">
        <v>15</v>
      </c>
      <c r="G4563" t="s">
        <v>16</v>
      </c>
      <c r="H4563" t="s">
        <v>17</v>
      </c>
      <c r="I4563">
        <v>0</v>
      </c>
      <c r="J4563">
        <v>0</v>
      </c>
      <c r="K4563">
        <v>1</v>
      </c>
    </row>
    <row r="4564" spans="1:11" x14ac:dyDescent="0.25">
      <c r="A4564" t="str">
        <f>"5784"</f>
        <v>5784</v>
      </c>
      <c r="B4564" t="str">
        <f t="shared" si="297"/>
        <v>1</v>
      </c>
      <c r="C4564" t="str">
        <f t="shared" si="299"/>
        <v>254</v>
      </c>
      <c r="D4564" t="str">
        <f>"9"</f>
        <v>9</v>
      </c>
      <c r="E4564" t="str">
        <f>"1-254-9"</f>
        <v>1-254-9</v>
      </c>
      <c r="F4564" t="s">
        <v>15</v>
      </c>
      <c r="G4564" t="s">
        <v>16</v>
      </c>
      <c r="H4564" t="s">
        <v>17</v>
      </c>
      <c r="I4564">
        <v>1</v>
      </c>
      <c r="J4564">
        <v>0</v>
      </c>
      <c r="K4564">
        <v>0</v>
      </c>
    </row>
    <row r="4565" spans="1:11" x14ac:dyDescent="0.25">
      <c r="A4565" t="str">
        <f>"5785"</f>
        <v>5785</v>
      </c>
      <c r="B4565" t="str">
        <f t="shared" si="297"/>
        <v>1</v>
      </c>
      <c r="C4565" t="str">
        <f t="shared" si="299"/>
        <v>254</v>
      </c>
      <c r="D4565" t="str">
        <f>"24"</f>
        <v>24</v>
      </c>
      <c r="E4565" t="str">
        <f>"1-254-24"</f>
        <v>1-254-24</v>
      </c>
      <c r="F4565" t="s">
        <v>15</v>
      </c>
      <c r="G4565" t="s">
        <v>20</v>
      </c>
      <c r="H4565" t="s">
        <v>21</v>
      </c>
      <c r="I4565">
        <v>0</v>
      </c>
      <c r="J4565">
        <v>1</v>
      </c>
      <c r="K4565">
        <v>0</v>
      </c>
    </row>
    <row r="4566" spans="1:11" x14ac:dyDescent="0.25">
      <c r="A4566" t="str">
        <f>"5786"</f>
        <v>5786</v>
      </c>
      <c r="B4566" t="str">
        <f t="shared" ref="B4566:B4629" si="300">"1"</f>
        <v>1</v>
      </c>
      <c r="C4566" t="str">
        <f t="shared" si="299"/>
        <v>254</v>
      </c>
      <c r="D4566" t="str">
        <f>"13"</f>
        <v>13</v>
      </c>
      <c r="E4566" t="str">
        <f>"1-254-13"</f>
        <v>1-254-13</v>
      </c>
      <c r="F4566" t="s">
        <v>15</v>
      </c>
      <c r="G4566" t="s">
        <v>16</v>
      </c>
      <c r="H4566" t="s">
        <v>17</v>
      </c>
      <c r="I4566">
        <v>1</v>
      </c>
      <c r="J4566">
        <v>0</v>
      </c>
      <c r="K4566">
        <v>0</v>
      </c>
    </row>
    <row r="4567" spans="1:11" x14ac:dyDescent="0.25">
      <c r="A4567" t="str">
        <f>"5787"</f>
        <v>5787</v>
      </c>
      <c r="B4567" t="str">
        <f t="shared" si="300"/>
        <v>1</v>
      </c>
      <c r="C4567" t="str">
        <f t="shared" si="299"/>
        <v>254</v>
      </c>
      <c r="D4567" t="str">
        <f>"6"</f>
        <v>6</v>
      </c>
      <c r="E4567" t="str">
        <f>"1-254-6"</f>
        <v>1-254-6</v>
      </c>
      <c r="F4567" t="s">
        <v>15</v>
      </c>
      <c r="G4567" t="s">
        <v>16</v>
      </c>
      <c r="H4567" t="s">
        <v>17</v>
      </c>
      <c r="I4567">
        <v>1</v>
      </c>
      <c r="J4567">
        <v>0</v>
      </c>
      <c r="K4567">
        <v>0</v>
      </c>
    </row>
    <row r="4568" spans="1:11" x14ac:dyDescent="0.25">
      <c r="A4568" t="str">
        <f>"5788"</f>
        <v>5788</v>
      </c>
      <c r="B4568" t="str">
        <f t="shared" si="300"/>
        <v>1</v>
      </c>
      <c r="C4568" t="str">
        <f t="shared" si="299"/>
        <v>254</v>
      </c>
      <c r="D4568" t="str">
        <f>"7"</f>
        <v>7</v>
      </c>
      <c r="E4568" t="str">
        <f>"1-254-7"</f>
        <v>1-254-7</v>
      </c>
      <c r="F4568" t="s">
        <v>15</v>
      </c>
      <c r="G4568" t="s">
        <v>16</v>
      </c>
      <c r="H4568" t="s">
        <v>17</v>
      </c>
      <c r="I4568">
        <v>0</v>
      </c>
      <c r="J4568">
        <v>1</v>
      </c>
      <c r="K4568">
        <v>0</v>
      </c>
    </row>
    <row r="4569" spans="1:11" x14ac:dyDescent="0.25">
      <c r="A4569" t="str">
        <f>"5789"</f>
        <v>5789</v>
      </c>
      <c r="B4569" t="str">
        <f t="shared" si="300"/>
        <v>1</v>
      </c>
      <c r="C4569" t="str">
        <f t="shared" si="299"/>
        <v>254</v>
      </c>
      <c r="D4569" t="str">
        <f>"8"</f>
        <v>8</v>
      </c>
      <c r="E4569" t="str">
        <f>"1-254-8"</f>
        <v>1-254-8</v>
      </c>
      <c r="F4569" t="s">
        <v>15</v>
      </c>
      <c r="G4569" t="s">
        <v>16</v>
      </c>
      <c r="H4569" t="s">
        <v>17</v>
      </c>
      <c r="I4569">
        <v>0</v>
      </c>
      <c r="J4569">
        <v>1</v>
      </c>
      <c r="K4569">
        <v>0</v>
      </c>
    </row>
    <row r="4570" spans="1:11" x14ac:dyDescent="0.25">
      <c r="A4570" t="str">
        <f>"5790"</f>
        <v>5790</v>
      </c>
      <c r="B4570" t="str">
        <f t="shared" si="300"/>
        <v>1</v>
      </c>
      <c r="C4570" t="str">
        <f t="shared" si="299"/>
        <v>254</v>
      </c>
      <c r="D4570" t="str">
        <f>"12"</f>
        <v>12</v>
      </c>
      <c r="E4570" t="str">
        <f>"1-254-12"</f>
        <v>1-254-12</v>
      </c>
      <c r="F4570" t="s">
        <v>15</v>
      </c>
      <c r="G4570" t="s">
        <v>16</v>
      </c>
      <c r="H4570" t="s">
        <v>17</v>
      </c>
      <c r="I4570">
        <v>0</v>
      </c>
      <c r="J4570">
        <v>1</v>
      </c>
      <c r="K4570">
        <v>0</v>
      </c>
    </row>
    <row r="4571" spans="1:11" x14ac:dyDescent="0.25">
      <c r="A4571" t="str">
        <f>"5791"</f>
        <v>5791</v>
      </c>
      <c r="B4571" t="str">
        <f t="shared" si="300"/>
        <v>1</v>
      </c>
      <c r="C4571" t="str">
        <f t="shared" si="299"/>
        <v>254</v>
      </c>
      <c r="D4571" t="str">
        <f>"5"</f>
        <v>5</v>
      </c>
      <c r="E4571" t="str">
        <f>"1-254-5"</f>
        <v>1-254-5</v>
      </c>
      <c r="F4571" t="s">
        <v>15</v>
      </c>
      <c r="G4571" t="s">
        <v>16</v>
      </c>
      <c r="H4571" t="s">
        <v>17</v>
      </c>
      <c r="I4571">
        <v>1</v>
      </c>
      <c r="J4571">
        <v>0</v>
      </c>
      <c r="K4571">
        <v>0</v>
      </c>
    </row>
    <row r="4572" spans="1:11" x14ac:dyDescent="0.25">
      <c r="A4572" t="str">
        <f>"5792"</f>
        <v>5792</v>
      </c>
      <c r="B4572" t="str">
        <f t="shared" si="300"/>
        <v>1</v>
      </c>
      <c r="C4572" t="str">
        <f t="shared" si="299"/>
        <v>254</v>
      </c>
      <c r="D4572" t="str">
        <f>"10"</f>
        <v>10</v>
      </c>
      <c r="E4572" t="str">
        <f>"1-254-10"</f>
        <v>1-254-10</v>
      </c>
      <c r="F4572" t="s">
        <v>15</v>
      </c>
      <c r="G4572" t="s">
        <v>16</v>
      </c>
      <c r="H4572" t="s">
        <v>17</v>
      </c>
      <c r="I4572">
        <v>1</v>
      </c>
      <c r="J4572">
        <v>0</v>
      </c>
      <c r="K4572">
        <v>0</v>
      </c>
    </row>
    <row r="4573" spans="1:11" x14ac:dyDescent="0.25">
      <c r="A4573" t="str">
        <f>"5793"</f>
        <v>5793</v>
      </c>
      <c r="B4573" t="str">
        <f t="shared" si="300"/>
        <v>1</v>
      </c>
      <c r="C4573" t="str">
        <f t="shared" si="299"/>
        <v>254</v>
      </c>
      <c r="D4573" t="str">
        <f>"17"</f>
        <v>17</v>
      </c>
      <c r="E4573" t="str">
        <f>"1-254-17"</f>
        <v>1-254-17</v>
      </c>
      <c r="F4573" t="s">
        <v>15</v>
      </c>
      <c r="G4573" t="s">
        <v>16</v>
      </c>
      <c r="H4573" t="s">
        <v>17</v>
      </c>
      <c r="I4573">
        <v>0</v>
      </c>
      <c r="J4573">
        <v>0</v>
      </c>
      <c r="K4573">
        <v>0</v>
      </c>
    </row>
    <row r="4574" spans="1:11" x14ac:dyDescent="0.25">
      <c r="A4574" t="str">
        <f>"5794"</f>
        <v>5794</v>
      </c>
      <c r="B4574" t="str">
        <f t="shared" si="300"/>
        <v>1</v>
      </c>
      <c r="C4574" t="str">
        <f t="shared" si="299"/>
        <v>254</v>
      </c>
      <c r="D4574" t="str">
        <f>"20"</f>
        <v>20</v>
      </c>
      <c r="E4574" t="str">
        <f>"1-254-20"</f>
        <v>1-254-20</v>
      </c>
      <c r="F4574" t="s">
        <v>15</v>
      </c>
      <c r="G4574" t="s">
        <v>16</v>
      </c>
      <c r="H4574" t="s">
        <v>17</v>
      </c>
      <c r="I4574">
        <v>0</v>
      </c>
      <c r="J4574">
        <v>0</v>
      </c>
      <c r="K4574">
        <v>0</v>
      </c>
    </row>
    <row r="4575" spans="1:11" x14ac:dyDescent="0.25">
      <c r="A4575" t="str">
        <f>"5795"</f>
        <v>5795</v>
      </c>
      <c r="B4575" t="str">
        <f t="shared" si="300"/>
        <v>1</v>
      </c>
      <c r="C4575" t="str">
        <f t="shared" si="299"/>
        <v>254</v>
      </c>
      <c r="D4575" t="str">
        <f>"18"</f>
        <v>18</v>
      </c>
      <c r="E4575" t="str">
        <f>"1-254-18"</f>
        <v>1-254-18</v>
      </c>
      <c r="F4575" t="s">
        <v>15</v>
      </c>
      <c r="G4575" t="s">
        <v>16</v>
      </c>
      <c r="H4575" t="s">
        <v>17</v>
      </c>
      <c r="I4575">
        <v>0</v>
      </c>
      <c r="J4575">
        <v>0</v>
      </c>
      <c r="K4575">
        <v>0</v>
      </c>
    </row>
    <row r="4576" spans="1:11" x14ac:dyDescent="0.25">
      <c r="A4576" t="str">
        <f>"5796"</f>
        <v>5796</v>
      </c>
      <c r="B4576" t="str">
        <f t="shared" si="300"/>
        <v>1</v>
      </c>
      <c r="C4576" t="str">
        <f t="shared" si="299"/>
        <v>254</v>
      </c>
      <c r="D4576" t="str">
        <f>"22"</f>
        <v>22</v>
      </c>
      <c r="E4576" t="str">
        <f>"1-254-22"</f>
        <v>1-254-22</v>
      </c>
      <c r="F4576" t="s">
        <v>15</v>
      </c>
      <c r="G4576" t="s">
        <v>16</v>
      </c>
      <c r="H4576" t="s">
        <v>17</v>
      </c>
      <c r="I4576">
        <v>0</v>
      </c>
      <c r="J4576">
        <v>0</v>
      </c>
      <c r="K4576">
        <v>0</v>
      </c>
    </row>
    <row r="4577" spans="1:11" x14ac:dyDescent="0.25">
      <c r="A4577" t="str">
        <f>"5797"</f>
        <v>5797</v>
      </c>
      <c r="B4577" t="str">
        <f t="shared" si="300"/>
        <v>1</v>
      </c>
      <c r="C4577" t="str">
        <f t="shared" ref="C4577:C4601" si="301">"255"</f>
        <v>255</v>
      </c>
      <c r="D4577" t="str">
        <f>"21"</f>
        <v>21</v>
      </c>
      <c r="E4577" t="str">
        <f>"1-255-21"</f>
        <v>1-255-21</v>
      </c>
      <c r="F4577" t="s">
        <v>15</v>
      </c>
      <c r="G4577" t="s">
        <v>16</v>
      </c>
      <c r="H4577" t="s">
        <v>17</v>
      </c>
      <c r="I4577">
        <v>1</v>
      </c>
      <c r="J4577">
        <v>0</v>
      </c>
      <c r="K4577">
        <v>0</v>
      </c>
    </row>
    <row r="4578" spans="1:11" x14ac:dyDescent="0.25">
      <c r="A4578" t="str">
        <f>"5798"</f>
        <v>5798</v>
      </c>
      <c r="B4578" t="str">
        <f t="shared" si="300"/>
        <v>1</v>
      </c>
      <c r="C4578" t="str">
        <f t="shared" si="301"/>
        <v>255</v>
      </c>
      <c r="D4578" t="str">
        <f>"15"</f>
        <v>15</v>
      </c>
      <c r="E4578" t="str">
        <f>"1-255-15"</f>
        <v>1-255-15</v>
      </c>
      <c r="F4578" t="s">
        <v>15</v>
      </c>
      <c r="G4578" t="s">
        <v>18</v>
      </c>
      <c r="H4578" t="s">
        <v>19</v>
      </c>
      <c r="I4578">
        <v>0</v>
      </c>
      <c r="J4578">
        <v>1</v>
      </c>
      <c r="K4578">
        <v>0</v>
      </c>
    </row>
    <row r="4579" spans="1:11" x14ac:dyDescent="0.25">
      <c r="A4579" t="str">
        <f>"5799"</f>
        <v>5799</v>
      </c>
      <c r="B4579" t="str">
        <f t="shared" si="300"/>
        <v>1</v>
      </c>
      <c r="C4579" t="str">
        <f t="shared" si="301"/>
        <v>255</v>
      </c>
      <c r="D4579" t="str">
        <f>"4"</f>
        <v>4</v>
      </c>
      <c r="E4579" t="str">
        <f>"1-255-4"</f>
        <v>1-255-4</v>
      </c>
      <c r="F4579" t="s">
        <v>15</v>
      </c>
      <c r="G4579" t="s">
        <v>16</v>
      </c>
      <c r="H4579" t="s">
        <v>17</v>
      </c>
      <c r="I4579">
        <v>0</v>
      </c>
      <c r="J4579">
        <v>0</v>
      </c>
      <c r="K4579">
        <v>1</v>
      </c>
    </row>
    <row r="4580" spans="1:11" x14ac:dyDescent="0.25">
      <c r="A4580" t="str">
        <f>"5800"</f>
        <v>5800</v>
      </c>
      <c r="B4580" t="str">
        <f t="shared" si="300"/>
        <v>1</v>
      </c>
      <c r="C4580" t="str">
        <f t="shared" si="301"/>
        <v>255</v>
      </c>
      <c r="D4580" t="str">
        <f>"23"</f>
        <v>23</v>
      </c>
      <c r="E4580" t="str">
        <f>"1-255-23"</f>
        <v>1-255-23</v>
      </c>
      <c r="F4580" t="s">
        <v>15</v>
      </c>
      <c r="G4580" t="s">
        <v>16</v>
      </c>
      <c r="H4580" t="s">
        <v>17</v>
      </c>
      <c r="I4580">
        <v>0</v>
      </c>
      <c r="J4580">
        <v>1</v>
      </c>
      <c r="K4580">
        <v>0</v>
      </c>
    </row>
    <row r="4581" spans="1:11" x14ac:dyDescent="0.25">
      <c r="A4581" t="str">
        <f>"5801"</f>
        <v>5801</v>
      </c>
      <c r="B4581" t="str">
        <f t="shared" si="300"/>
        <v>1</v>
      </c>
      <c r="C4581" t="str">
        <f t="shared" si="301"/>
        <v>255</v>
      </c>
      <c r="D4581" t="str">
        <f>"16"</f>
        <v>16</v>
      </c>
      <c r="E4581" t="str">
        <f>"1-255-16"</f>
        <v>1-255-16</v>
      </c>
      <c r="F4581" t="s">
        <v>15</v>
      </c>
      <c r="G4581" t="s">
        <v>16</v>
      </c>
      <c r="H4581" t="s">
        <v>17</v>
      </c>
      <c r="I4581">
        <v>0</v>
      </c>
      <c r="J4581">
        <v>1</v>
      </c>
      <c r="K4581">
        <v>0</v>
      </c>
    </row>
    <row r="4582" spans="1:11" x14ac:dyDescent="0.25">
      <c r="A4582" t="str">
        <f>"5802"</f>
        <v>5802</v>
      </c>
      <c r="B4582" t="str">
        <f t="shared" si="300"/>
        <v>1</v>
      </c>
      <c r="C4582" t="str">
        <f t="shared" si="301"/>
        <v>255</v>
      </c>
      <c r="D4582" t="str">
        <f>"10"</f>
        <v>10</v>
      </c>
      <c r="E4582" t="str">
        <f>"1-255-10"</f>
        <v>1-255-10</v>
      </c>
      <c r="F4582" t="s">
        <v>15</v>
      </c>
      <c r="G4582" t="s">
        <v>16</v>
      </c>
      <c r="H4582" t="s">
        <v>17</v>
      </c>
      <c r="I4582">
        <v>1</v>
      </c>
      <c r="J4582">
        <v>0</v>
      </c>
      <c r="K4582">
        <v>0</v>
      </c>
    </row>
    <row r="4583" spans="1:11" x14ac:dyDescent="0.25">
      <c r="A4583" t="str">
        <f>"5803"</f>
        <v>5803</v>
      </c>
      <c r="B4583" t="str">
        <f t="shared" si="300"/>
        <v>1</v>
      </c>
      <c r="C4583" t="str">
        <f t="shared" si="301"/>
        <v>255</v>
      </c>
      <c r="D4583" t="str">
        <f>"17"</f>
        <v>17</v>
      </c>
      <c r="E4583" t="str">
        <f>"1-255-17"</f>
        <v>1-255-17</v>
      </c>
      <c r="F4583" t="s">
        <v>15</v>
      </c>
      <c r="G4583" t="s">
        <v>16</v>
      </c>
      <c r="H4583" t="s">
        <v>17</v>
      </c>
      <c r="I4583">
        <v>1</v>
      </c>
      <c r="J4583">
        <v>0</v>
      </c>
      <c r="K4583">
        <v>0</v>
      </c>
    </row>
    <row r="4584" spans="1:11" x14ac:dyDescent="0.25">
      <c r="A4584" t="str">
        <f>"5804"</f>
        <v>5804</v>
      </c>
      <c r="B4584" t="str">
        <f t="shared" si="300"/>
        <v>1</v>
      </c>
      <c r="C4584" t="str">
        <f t="shared" si="301"/>
        <v>255</v>
      </c>
      <c r="D4584" t="str">
        <f>"1"</f>
        <v>1</v>
      </c>
      <c r="E4584" t="str">
        <f>"1-255-1"</f>
        <v>1-255-1</v>
      </c>
      <c r="F4584" t="s">
        <v>15</v>
      </c>
      <c r="G4584" t="s">
        <v>16</v>
      </c>
      <c r="H4584" t="s">
        <v>17</v>
      </c>
      <c r="I4584">
        <v>1</v>
      </c>
      <c r="J4584">
        <v>0</v>
      </c>
      <c r="K4584">
        <v>0</v>
      </c>
    </row>
    <row r="4585" spans="1:11" x14ac:dyDescent="0.25">
      <c r="A4585" t="str">
        <f>"5805"</f>
        <v>5805</v>
      </c>
      <c r="B4585" t="str">
        <f t="shared" si="300"/>
        <v>1</v>
      </c>
      <c r="C4585" t="str">
        <f t="shared" si="301"/>
        <v>255</v>
      </c>
      <c r="D4585" t="str">
        <f>"18"</f>
        <v>18</v>
      </c>
      <c r="E4585" t="str">
        <f>"1-255-18"</f>
        <v>1-255-18</v>
      </c>
      <c r="F4585" t="s">
        <v>15</v>
      </c>
      <c r="G4585" t="s">
        <v>16</v>
      </c>
      <c r="H4585" t="s">
        <v>17</v>
      </c>
      <c r="I4585">
        <v>1</v>
      </c>
      <c r="J4585">
        <v>0</v>
      </c>
      <c r="K4585">
        <v>0</v>
      </c>
    </row>
    <row r="4586" spans="1:11" x14ac:dyDescent="0.25">
      <c r="A4586" t="str">
        <f>"5806"</f>
        <v>5806</v>
      </c>
      <c r="B4586" t="str">
        <f t="shared" si="300"/>
        <v>1</v>
      </c>
      <c r="C4586" t="str">
        <f t="shared" si="301"/>
        <v>255</v>
      </c>
      <c r="D4586" t="str">
        <f>"19"</f>
        <v>19</v>
      </c>
      <c r="E4586" t="str">
        <f>"1-255-19"</f>
        <v>1-255-19</v>
      </c>
      <c r="F4586" t="s">
        <v>15</v>
      </c>
      <c r="G4586" t="s">
        <v>16</v>
      </c>
      <c r="H4586" t="s">
        <v>17</v>
      </c>
      <c r="I4586">
        <v>1</v>
      </c>
      <c r="J4586">
        <v>0</v>
      </c>
      <c r="K4586">
        <v>0</v>
      </c>
    </row>
    <row r="4587" spans="1:11" x14ac:dyDescent="0.25">
      <c r="A4587" t="str">
        <f>"5807"</f>
        <v>5807</v>
      </c>
      <c r="B4587" t="str">
        <f t="shared" si="300"/>
        <v>1</v>
      </c>
      <c r="C4587" t="str">
        <f t="shared" si="301"/>
        <v>255</v>
      </c>
      <c r="D4587" t="str">
        <f>"2"</f>
        <v>2</v>
      </c>
      <c r="E4587" t="str">
        <f>"1-255-2"</f>
        <v>1-255-2</v>
      </c>
      <c r="F4587" t="s">
        <v>15</v>
      </c>
      <c r="G4587" t="s">
        <v>16</v>
      </c>
      <c r="H4587" t="s">
        <v>17</v>
      </c>
      <c r="I4587">
        <v>1</v>
      </c>
      <c r="J4587">
        <v>0</v>
      </c>
      <c r="K4587">
        <v>0</v>
      </c>
    </row>
    <row r="4588" spans="1:11" x14ac:dyDescent="0.25">
      <c r="A4588" t="str">
        <f>"5808"</f>
        <v>5808</v>
      </c>
      <c r="B4588" t="str">
        <f t="shared" si="300"/>
        <v>1</v>
      </c>
      <c r="C4588" t="str">
        <f t="shared" si="301"/>
        <v>255</v>
      </c>
      <c r="D4588" t="str">
        <f>"20"</f>
        <v>20</v>
      </c>
      <c r="E4588" t="str">
        <f>"1-255-20"</f>
        <v>1-255-20</v>
      </c>
      <c r="F4588" t="s">
        <v>15</v>
      </c>
      <c r="G4588" t="s">
        <v>16</v>
      </c>
      <c r="H4588" t="s">
        <v>17</v>
      </c>
      <c r="I4588">
        <v>1</v>
      </c>
      <c r="J4588">
        <v>0</v>
      </c>
      <c r="K4588">
        <v>0</v>
      </c>
    </row>
    <row r="4589" spans="1:11" x14ac:dyDescent="0.25">
      <c r="A4589" t="str">
        <f>"5809"</f>
        <v>5809</v>
      </c>
      <c r="B4589" t="str">
        <f t="shared" si="300"/>
        <v>1</v>
      </c>
      <c r="C4589" t="str">
        <f t="shared" si="301"/>
        <v>255</v>
      </c>
      <c r="D4589" t="str">
        <f>"6"</f>
        <v>6</v>
      </c>
      <c r="E4589" t="str">
        <f>"1-255-6"</f>
        <v>1-255-6</v>
      </c>
      <c r="F4589" t="s">
        <v>15</v>
      </c>
      <c r="G4589" t="s">
        <v>18</v>
      </c>
      <c r="H4589" t="s">
        <v>19</v>
      </c>
      <c r="I4589">
        <v>0</v>
      </c>
      <c r="J4589">
        <v>1</v>
      </c>
      <c r="K4589">
        <v>0</v>
      </c>
    </row>
    <row r="4590" spans="1:11" x14ac:dyDescent="0.25">
      <c r="A4590" t="str">
        <f>"5810"</f>
        <v>5810</v>
      </c>
      <c r="B4590" t="str">
        <f t="shared" si="300"/>
        <v>1</v>
      </c>
      <c r="C4590" t="str">
        <f t="shared" si="301"/>
        <v>255</v>
      </c>
      <c r="D4590" t="str">
        <f>"13"</f>
        <v>13</v>
      </c>
      <c r="E4590" t="str">
        <f>"1-255-13"</f>
        <v>1-255-13</v>
      </c>
      <c r="F4590" t="s">
        <v>15</v>
      </c>
      <c r="G4590" t="s">
        <v>18</v>
      </c>
      <c r="H4590" t="s">
        <v>19</v>
      </c>
      <c r="I4590">
        <v>1</v>
      </c>
      <c r="J4590">
        <v>0</v>
      </c>
      <c r="K4590">
        <v>0</v>
      </c>
    </row>
    <row r="4591" spans="1:11" x14ac:dyDescent="0.25">
      <c r="A4591" t="str">
        <f>"5811"</f>
        <v>5811</v>
      </c>
      <c r="B4591" t="str">
        <f t="shared" si="300"/>
        <v>1</v>
      </c>
      <c r="C4591" t="str">
        <f t="shared" si="301"/>
        <v>255</v>
      </c>
      <c r="D4591" t="str">
        <f>"24"</f>
        <v>24</v>
      </c>
      <c r="E4591" t="str">
        <f>"1-255-24"</f>
        <v>1-255-24</v>
      </c>
      <c r="F4591" t="s">
        <v>15</v>
      </c>
      <c r="G4591" t="s">
        <v>16</v>
      </c>
      <c r="H4591" t="s">
        <v>17</v>
      </c>
      <c r="I4591">
        <v>1</v>
      </c>
      <c r="J4591">
        <v>0</v>
      </c>
      <c r="K4591">
        <v>0</v>
      </c>
    </row>
    <row r="4592" spans="1:11" x14ac:dyDescent="0.25">
      <c r="A4592" t="str">
        <f>"5812"</f>
        <v>5812</v>
      </c>
      <c r="B4592" t="str">
        <f t="shared" si="300"/>
        <v>1</v>
      </c>
      <c r="C4592" t="str">
        <f t="shared" si="301"/>
        <v>255</v>
      </c>
      <c r="D4592" t="str">
        <f>"14"</f>
        <v>14</v>
      </c>
      <c r="E4592" t="str">
        <f>"1-255-14"</f>
        <v>1-255-14</v>
      </c>
      <c r="F4592" t="s">
        <v>15</v>
      </c>
      <c r="G4592" t="s">
        <v>18</v>
      </c>
      <c r="H4592" t="s">
        <v>19</v>
      </c>
      <c r="I4592">
        <v>0</v>
      </c>
      <c r="J4592">
        <v>1</v>
      </c>
      <c r="K4592">
        <v>0</v>
      </c>
    </row>
    <row r="4593" spans="1:11" x14ac:dyDescent="0.25">
      <c r="A4593" t="str">
        <f>"5813"</f>
        <v>5813</v>
      </c>
      <c r="B4593" t="str">
        <f t="shared" si="300"/>
        <v>1</v>
      </c>
      <c r="C4593" t="str">
        <f t="shared" si="301"/>
        <v>255</v>
      </c>
      <c r="D4593" t="str">
        <f>"25"</f>
        <v>25</v>
      </c>
      <c r="E4593" t="str">
        <f>"1-255-25"</f>
        <v>1-255-25</v>
      </c>
      <c r="F4593" t="s">
        <v>15</v>
      </c>
      <c r="G4593" t="s">
        <v>16</v>
      </c>
      <c r="H4593" t="s">
        <v>17</v>
      </c>
      <c r="I4593">
        <v>0</v>
      </c>
      <c r="J4593">
        <v>1</v>
      </c>
      <c r="K4593">
        <v>0</v>
      </c>
    </row>
    <row r="4594" spans="1:11" x14ac:dyDescent="0.25">
      <c r="A4594" t="str">
        <f>"5814"</f>
        <v>5814</v>
      </c>
      <c r="B4594" t="str">
        <f t="shared" si="300"/>
        <v>1</v>
      </c>
      <c r="C4594" t="str">
        <f t="shared" si="301"/>
        <v>255</v>
      </c>
      <c r="D4594" t="str">
        <f>"12"</f>
        <v>12</v>
      </c>
      <c r="E4594" t="str">
        <f>"1-255-12"</f>
        <v>1-255-12</v>
      </c>
      <c r="F4594" t="s">
        <v>15</v>
      </c>
      <c r="G4594" t="s">
        <v>18</v>
      </c>
      <c r="H4594" t="s">
        <v>19</v>
      </c>
      <c r="I4594">
        <v>1</v>
      </c>
      <c r="J4594">
        <v>0</v>
      </c>
      <c r="K4594">
        <v>0</v>
      </c>
    </row>
    <row r="4595" spans="1:11" x14ac:dyDescent="0.25">
      <c r="A4595" t="str">
        <f>"5815"</f>
        <v>5815</v>
      </c>
      <c r="B4595" t="str">
        <f t="shared" si="300"/>
        <v>1</v>
      </c>
      <c r="C4595" t="str">
        <f t="shared" si="301"/>
        <v>255</v>
      </c>
      <c r="D4595" t="str">
        <f>"3"</f>
        <v>3</v>
      </c>
      <c r="E4595" t="str">
        <f>"1-255-3"</f>
        <v>1-255-3</v>
      </c>
      <c r="F4595" t="s">
        <v>15</v>
      </c>
      <c r="G4595" t="s">
        <v>16</v>
      </c>
      <c r="H4595" t="s">
        <v>17</v>
      </c>
      <c r="I4595">
        <v>0</v>
      </c>
      <c r="J4595">
        <v>0</v>
      </c>
      <c r="K4595">
        <v>1</v>
      </c>
    </row>
    <row r="4596" spans="1:11" x14ac:dyDescent="0.25">
      <c r="A4596" t="str">
        <f>"5816"</f>
        <v>5816</v>
      </c>
      <c r="B4596" t="str">
        <f t="shared" si="300"/>
        <v>1</v>
      </c>
      <c r="C4596" t="str">
        <f t="shared" si="301"/>
        <v>255</v>
      </c>
      <c r="D4596" t="str">
        <f>"11"</f>
        <v>11</v>
      </c>
      <c r="E4596" t="str">
        <f>"1-255-11"</f>
        <v>1-255-11</v>
      </c>
      <c r="F4596" t="s">
        <v>15</v>
      </c>
      <c r="G4596" t="s">
        <v>16</v>
      </c>
      <c r="H4596" t="s">
        <v>17</v>
      </c>
      <c r="I4596">
        <v>1</v>
      </c>
      <c r="J4596">
        <v>0</v>
      </c>
      <c r="K4596">
        <v>0</v>
      </c>
    </row>
    <row r="4597" spans="1:11" x14ac:dyDescent="0.25">
      <c r="A4597" t="str">
        <f>"5817"</f>
        <v>5817</v>
      </c>
      <c r="B4597" t="str">
        <f t="shared" si="300"/>
        <v>1</v>
      </c>
      <c r="C4597" t="str">
        <f t="shared" si="301"/>
        <v>255</v>
      </c>
      <c r="D4597" t="str">
        <f>"7"</f>
        <v>7</v>
      </c>
      <c r="E4597" t="str">
        <f>"1-255-7"</f>
        <v>1-255-7</v>
      </c>
      <c r="F4597" t="s">
        <v>15</v>
      </c>
      <c r="G4597" t="s">
        <v>16</v>
      </c>
      <c r="H4597" t="s">
        <v>17</v>
      </c>
      <c r="I4597">
        <v>1</v>
      </c>
      <c r="J4597">
        <v>0</v>
      </c>
      <c r="K4597">
        <v>0</v>
      </c>
    </row>
    <row r="4598" spans="1:11" x14ac:dyDescent="0.25">
      <c r="A4598" t="str">
        <f>"5818"</f>
        <v>5818</v>
      </c>
      <c r="B4598" t="str">
        <f t="shared" si="300"/>
        <v>1</v>
      </c>
      <c r="C4598" t="str">
        <f t="shared" si="301"/>
        <v>255</v>
      </c>
      <c r="D4598" t="str">
        <f>"5"</f>
        <v>5</v>
      </c>
      <c r="E4598" t="str">
        <f>"1-255-5"</f>
        <v>1-255-5</v>
      </c>
      <c r="F4598" t="s">
        <v>15</v>
      </c>
      <c r="G4598" t="s">
        <v>18</v>
      </c>
      <c r="H4598" t="s">
        <v>19</v>
      </c>
      <c r="I4598">
        <v>0</v>
      </c>
      <c r="J4598">
        <v>1</v>
      </c>
      <c r="K4598">
        <v>0</v>
      </c>
    </row>
    <row r="4599" spans="1:11" x14ac:dyDescent="0.25">
      <c r="A4599" t="str">
        <f>"5819"</f>
        <v>5819</v>
      </c>
      <c r="B4599" t="str">
        <f t="shared" si="300"/>
        <v>1</v>
      </c>
      <c r="C4599" t="str">
        <f t="shared" si="301"/>
        <v>255</v>
      </c>
      <c r="D4599" t="str">
        <f>"8"</f>
        <v>8</v>
      </c>
      <c r="E4599" t="str">
        <f>"1-255-8"</f>
        <v>1-255-8</v>
      </c>
      <c r="F4599" t="s">
        <v>15</v>
      </c>
      <c r="G4599" t="s">
        <v>18</v>
      </c>
      <c r="H4599" t="s">
        <v>19</v>
      </c>
      <c r="I4599">
        <v>0</v>
      </c>
      <c r="J4599">
        <v>0</v>
      </c>
      <c r="K4599">
        <v>0</v>
      </c>
    </row>
    <row r="4600" spans="1:11" x14ac:dyDescent="0.25">
      <c r="A4600" t="str">
        <f>"5820"</f>
        <v>5820</v>
      </c>
      <c r="B4600" t="str">
        <f t="shared" si="300"/>
        <v>1</v>
      </c>
      <c r="C4600" t="str">
        <f t="shared" si="301"/>
        <v>255</v>
      </c>
      <c r="D4600" t="str">
        <f>"22"</f>
        <v>22</v>
      </c>
      <c r="E4600" t="str">
        <f>"1-255-22"</f>
        <v>1-255-22</v>
      </c>
      <c r="F4600" t="s">
        <v>15</v>
      </c>
      <c r="G4600" t="s">
        <v>16</v>
      </c>
      <c r="H4600" t="s">
        <v>17</v>
      </c>
      <c r="I4600">
        <v>0</v>
      </c>
      <c r="J4600">
        <v>0</v>
      </c>
      <c r="K4600">
        <v>0</v>
      </c>
    </row>
    <row r="4601" spans="1:11" x14ac:dyDescent="0.25">
      <c r="A4601" t="str">
        <f>"5821"</f>
        <v>5821</v>
      </c>
      <c r="B4601" t="str">
        <f t="shared" si="300"/>
        <v>1</v>
      </c>
      <c r="C4601" t="str">
        <f t="shared" si="301"/>
        <v>255</v>
      </c>
      <c r="D4601" t="str">
        <f>"9"</f>
        <v>9</v>
      </c>
      <c r="E4601" t="str">
        <f>"1-255-9"</f>
        <v>1-255-9</v>
      </c>
      <c r="F4601" t="s">
        <v>15</v>
      </c>
      <c r="G4601" t="s">
        <v>18</v>
      </c>
      <c r="H4601" t="s">
        <v>19</v>
      </c>
      <c r="I4601">
        <v>0</v>
      </c>
      <c r="J4601">
        <v>0</v>
      </c>
      <c r="K4601">
        <v>0</v>
      </c>
    </row>
    <row r="4602" spans="1:11" x14ac:dyDescent="0.25">
      <c r="A4602" t="str">
        <f>"5822"</f>
        <v>5822</v>
      </c>
      <c r="B4602" t="str">
        <f t="shared" si="300"/>
        <v>1</v>
      </c>
      <c r="C4602" t="str">
        <f t="shared" ref="C4602:C4629" si="302">"256"</f>
        <v>256</v>
      </c>
      <c r="D4602" t="str">
        <f>"24"</f>
        <v>24</v>
      </c>
      <c r="E4602" t="str">
        <f>"1-256-24"</f>
        <v>1-256-24</v>
      </c>
      <c r="F4602" t="s">
        <v>15</v>
      </c>
      <c r="G4602" t="s">
        <v>16</v>
      </c>
      <c r="H4602" t="s">
        <v>17</v>
      </c>
      <c r="I4602">
        <v>0</v>
      </c>
      <c r="J4602">
        <v>1</v>
      </c>
      <c r="K4602">
        <v>0</v>
      </c>
    </row>
    <row r="4603" spans="1:11" x14ac:dyDescent="0.25">
      <c r="A4603" t="str">
        <f>"5823"</f>
        <v>5823</v>
      </c>
      <c r="B4603" t="str">
        <f t="shared" si="300"/>
        <v>1</v>
      </c>
      <c r="C4603" t="str">
        <f t="shared" si="302"/>
        <v>256</v>
      </c>
      <c r="D4603" t="str">
        <f>"23"</f>
        <v>23</v>
      </c>
      <c r="E4603" t="str">
        <f>"1-256-23"</f>
        <v>1-256-23</v>
      </c>
      <c r="F4603" t="s">
        <v>15</v>
      </c>
      <c r="G4603" t="s">
        <v>16</v>
      </c>
      <c r="H4603" t="s">
        <v>17</v>
      </c>
      <c r="I4603">
        <v>0</v>
      </c>
      <c r="J4603">
        <v>1</v>
      </c>
      <c r="K4603">
        <v>0</v>
      </c>
    </row>
    <row r="4604" spans="1:11" x14ac:dyDescent="0.25">
      <c r="A4604" t="str">
        <f>"5824"</f>
        <v>5824</v>
      </c>
      <c r="B4604" t="str">
        <f t="shared" si="300"/>
        <v>1</v>
      </c>
      <c r="C4604" t="str">
        <f t="shared" si="302"/>
        <v>256</v>
      </c>
      <c r="D4604" t="str">
        <f>"17"</f>
        <v>17</v>
      </c>
      <c r="E4604" t="str">
        <f>"1-256-17"</f>
        <v>1-256-17</v>
      </c>
      <c r="F4604" t="s">
        <v>15</v>
      </c>
      <c r="G4604" t="s">
        <v>16</v>
      </c>
      <c r="H4604" t="s">
        <v>17</v>
      </c>
      <c r="I4604">
        <v>1</v>
      </c>
      <c r="J4604">
        <v>0</v>
      </c>
      <c r="K4604">
        <v>0</v>
      </c>
    </row>
    <row r="4605" spans="1:11" x14ac:dyDescent="0.25">
      <c r="A4605" t="str">
        <f>"5825"</f>
        <v>5825</v>
      </c>
      <c r="B4605" t="str">
        <f t="shared" si="300"/>
        <v>1</v>
      </c>
      <c r="C4605" t="str">
        <f t="shared" si="302"/>
        <v>256</v>
      </c>
      <c r="D4605" t="str">
        <f>"15"</f>
        <v>15</v>
      </c>
      <c r="E4605" t="str">
        <f>"1-256-15"</f>
        <v>1-256-15</v>
      </c>
      <c r="F4605" t="s">
        <v>15</v>
      </c>
      <c r="G4605" t="s">
        <v>16</v>
      </c>
      <c r="H4605" t="s">
        <v>17</v>
      </c>
      <c r="I4605">
        <v>0</v>
      </c>
      <c r="J4605">
        <v>1</v>
      </c>
      <c r="K4605">
        <v>0</v>
      </c>
    </row>
    <row r="4606" spans="1:11" x14ac:dyDescent="0.25">
      <c r="A4606" t="str">
        <f>"5826"</f>
        <v>5826</v>
      </c>
      <c r="B4606" t="str">
        <f t="shared" si="300"/>
        <v>1</v>
      </c>
      <c r="C4606" t="str">
        <f t="shared" si="302"/>
        <v>256</v>
      </c>
      <c r="D4606" t="str">
        <f>"1"</f>
        <v>1</v>
      </c>
      <c r="E4606" t="str">
        <f>"1-256-1"</f>
        <v>1-256-1</v>
      </c>
      <c r="F4606" t="s">
        <v>15</v>
      </c>
      <c r="G4606" t="s">
        <v>16</v>
      </c>
      <c r="H4606" t="s">
        <v>17</v>
      </c>
      <c r="I4606">
        <v>0</v>
      </c>
      <c r="J4606">
        <v>0</v>
      </c>
      <c r="K4606">
        <v>1</v>
      </c>
    </row>
    <row r="4607" spans="1:11" x14ac:dyDescent="0.25">
      <c r="A4607" t="str">
        <f>"5827"</f>
        <v>5827</v>
      </c>
      <c r="B4607" t="str">
        <f t="shared" si="300"/>
        <v>1</v>
      </c>
      <c r="C4607" t="str">
        <f t="shared" si="302"/>
        <v>256</v>
      </c>
      <c r="D4607" t="str">
        <f>"22"</f>
        <v>22</v>
      </c>
      <c r="E4607" t="str">
        <f>"1-256-22"</f>
        <v>1-256-22</v>
      </c>
      <c r="F4607" t="s">
        <v>15</v>
      </c>
      <c r="G4607" t="s">
        <v>16</v>
      </c>
      <c r="H4607" t="s">
        <v>17</v>
      </c>
      <c r="I4607">
        <v>0</v>
      </c>
      <c r="J4607">
        <v>1</v>
      </c>
      <c r="K4607">
        <v>0</v>
      </c>
    </row>
    <row r="4608" spans="1:11" x14ac:dyDescent="0.25">
      <c r="A4608" t="str">
        <f>"5828"</f>
        <v>5828</v>
      </c>
      <c r="B4608" t="str">
        <f t="shared" si="300"/>
        <v>1</v>
      </c>
      <c r="C4608" t="str">
        <f t="shared" si="302"/>
        <v>256</v>
      </c>
      <c r="D4608" t="str">
        <f>"16"</f>
        <v>16</v>
      </c>
      <c r="E4608" t="str">
        <f>"1-256-16"</f>
        <v>1-256-16</v>
      </c>
      <c r="F4608" t="s">
        <v>15</v>
      </c>
      <c r="G4608" t="s">
        <v>16</v>
      </c>
      <c r="H4608" t="s">
        <v>17</v>
      </c>
      <c r="I4608">
        <v>1</v>
      </c>
      <c r="J4608">
        <v>0</v>
      </c>
      <c r="K4608">
        <v>0</v>
      </c>
    </row>
    <row r="4609" spans="1:11" x14ac:dyDescent="0.25">
      <c r="A4609" t="str">
        <f>"5829"</f>
        <v>5829</v>
      </c>
      <c r="B4609" t="str">
        <f t="shared" si="300"/>
        <v>1</v>
      </c>
      <c r="C4609" t="str">
        <f t="shared" si="302"/>
        <v>256</v>
      </c>
      <c r="D4609" t="str">
        <f>"9"</f>
        <v>9</v>
      </c>
      <c r="E4609" t="str">
        <f>"1-256-9"</f>
        <v>1-256-9</v>
      </c>
      <c r="F4609" t="s">
        <v>15</v>
      </c>
      <c r="G4609" t="s">
        <v>20</v>
      </c>
      <c r="H4609" t="s">
        <v>21</v>
      </c>
      <c r="I4609">
        <v>1</v>
      </c>
      <c r="J4609">
        <v>0</v>
      </c>
      <c r="K4609">
        <v>0</v>
      </c>
    </row>
    <row r="4610" spans="1:11" x14ac:dyDescent="0.25">
      <c r="A4610" t="str">
        <f>"5830"</f>
        <v>5830</v>
      </c>
      <c r="B4610" t="str">
        <f t="shared" si="300"/>
        <v>1</v>
      </c>
      <c r="C4610" t="str">
        <f t="shared" si="302"/>
        <v>256</v>
      </c>
      <c r="D4610" t="str">
        <f>"18"</f>
        <v>18</v>
      </c>
      <c r="E4610" t="str">
        <f>"1-256-18"</f>
        <v>1-256-18</v>
      </c>
      <c r="F4610" t="s">
        <v>15</v>
      </c>
      <c r="G4610" t="s">
        <v>18</v>
      </c>
      <c r="H4610" t="s">
        <v>19</v>
      </c>
      <c r="I4610">
        <v>0</v>
      </c>
      <c r="J4610">
        <v>1</v>
      </c>
      <c r="K4610">
        <v>0</v>
      </c>
    </row>
    <row r="4611" spans="1:11" x14ac:dyDescent="0.25">
      <c r="A4611" t="str">
        <f>"5831"</f>
        <v>5831</v>
      </c>
      <c r="B4611" t="str">
        <f t="shared" si="300"/>
        <v>1</v>
      </c>
      <c r="C4611" t="str">
        <f t="shared" si="302"/>
        <v>256</v>
      </c>
      <c r="D4611" t="str">
        <f>"19"</f>
        <v>19</v>
      </c>
      <c r="E4611" t="str">
        <f>"1-256-19"</f>
        <v>1-256-19</v>
      </c>
      <c r="F4611" t="s">
        <v>15</v>
      </c>
      <c r="G4611" t="s">
        <v>18</v>
      </c>
      <c r="H4611" t="s">
        <v>19</v>
      </c>
      <c r="I4611">
        <v>0</v>
      </c>
      <c r="J4611">
        <v>1</v>
      </c>
      <c r="K4611">
        <v>0</v>
      </c>
    </row>
    <row r="4612" spans="1:11" x14ac:dyDescent="0.25">
      <c r="A4612" t="str">
        <f>"5832"</f>
        <v>5832</v>
      </c>
      <c r="B4612" t="str">
        <f t="shared" si="300"/>
        <v>1</v>
      </c>
      <c r="C4612" t="str">
        <f t="shared" si="302"/>
        <v>256</v>
      </c>
      <c r="D4612" t="str">
        <f>"12"</f>
        <v>12</v>
      </c>
      <c r="E4612" t="str">
        <f>"1-256-12"</f>
        <v>1-256-12</v>
      </c>
      <c r="F4612" t="s">
        <v>15</v>
      </c>
      <c r="G4612" t="s">
        <v>16</v>
      </c>
      <c r="H4612" t="s">
        <v>17</v>
      </c>
      <c r="I4612">
        <v>1</v>
      </c>
      <c r="J4612">
        <v>0</v>
      </c>
      <c r="K4612">
        <v>0</v>
      </c>
    </row>
    <row r="4613" spans="1:11" x14ac:dyDescent="0.25">
      <c r="A4613" t="str">
        <f>"5833"</f>
        <v>5833</v>
      </c>
      <c r="B4613" t="str">
        <f t="shared" si="300"/>
        <v>1</v>
      </c>
      <c r="C4613" t="str">
        <f t="shared" si="302"/>
        <v>256</v>
      </c>
      <c r="D4613" t="str">
        <f>"20"</f>
        <v>20</v>
      </c>
      <c r="E4613" t="str">
        <f>"1-256-20"</f>
        <v>1-256-20</v>
      </c>
      <c r="F4613" t="s">
        <v>15</v>
      </c>
      <c r="G4613" t="s">
        <v>16</v>
      </c>
      <c r="H4613" t="s">
        <v>17</v>
      </c>
      <c r="I4613">
        <v>1</v>
      </c>
      <c r="J4613">
        <v>0</v>
      </c>
      <c r="K4613">
        <v>0</v>
      </c>
    </row>
    <row r="4614" spans="1:11" x14ac:dyDescent="0.25">
      <c r="A4614" t="str">
        <f>"5834"</f>
        <v>5834</v>
      </c>
      <c r="B4614" t="str">
        <f t="shared" si="300"/>
        <v>1</v>
      </c>
      <c r="C4614" t="str">
        <f t="shared" si="302"/>
        <v>256</v>
      </c>
      <c r="D4614" t="str">
        <f>"4"</f>
        <v>4</v>
      </c>
      <c r="E4614" t="str">
        <f>"1-256-4"</f>
        <v>1-256-4</v>
      </c>
      <c r="F4614" t="s">
        <v>15</v>
      </c>
      <c r="G4614" t="s">
        <v>16</v>
      </c>
      <c r="H4614" t="s">
        <v>17</v>
      </c>
      <c r="I4614">
        <v>1</v>
      </c>
      <c r="J4614">
        <v>0</v>
      </c>
      <c r="K4614">
        <v>0</v>
      </c>
    </row>
    <row r="4615" spans="1:11" x14ac:dyDescent="0.25">
      <c r="A4615" t="str">
        <f>"5835"</f>
        <v>5835</v>
      </c>
      <c r="B4615" t="str">
        <f t="shared" si="300"/>
        <v>1</v>
      </c>
      <c r="C4615" t="str">
        <f t="shared" si="302"/>
        <v>256</v>
      </c>
      <c r="D4615" t="str">
        <f>"21"</f>
        <v>21</v>
      </c>
      <c r="E4615" t="str">
        <f>"1-256-21"</f>
        <v>1-256-21</v>
      </c>
      <c r="F4615" t="s">
        <v>15</v>
      </c>
      <c r="G4615" t="s">
        <v>16</v>
      </c>
      <c r="H4615" t="s">
        <v>17</v>
      </c>
      <c r="I4615">
        <v>1</v>
      </c>
      <c r="J4615">
        <v>0</v>
      </c>
      <c r="K4615">
        <v>0</v>
      </c>
    </row>
    <row r="4616" spans="1:11" x14ac:dyDescent="0.25">
      <c r="A4616" t="str">
        <f>"5836"</f>
        <v>5836</v>
      </c>
      <c r="B4616" t="str">
        <f t="shared" si="300"/>
        <v>1</v>
      </c>
      <c r="C4616" t="str">
        <f t="shared" si="302"/>
        <v>256</v>
      </c>
      <c r="D4616" t="str">
        <f>"13"</f>
        <v>13</v>
      </c>
      <c r="E4616" t="str">
        <f>"1-256-13"</f>
        <v>1-256-13</v>
      </c>
      <c r="F4616" t="s">
        <v>15</v>
      </c>
      <c r="G4616" t="s">
        <v>16</v>
      </c>
      <c r="H4616" t="s">
        <v>17</v>
      </c>
      <c r="I4616">
        <v>1</v>
      </c>
      <c r="J4616">
        <v>0</v>
      </c>
      <c r="K4616">
        <v>0</v>
      </c>
    </row>
    <row r="4617" spans="1:11" x14ac:dyDescent="0.25">
      <c r="A4617" t="str">
        <f>"5837"</f>
        <v>5837</v>
      </c>
      <c r="B4617" t="str">
        <f t="shared" si="300"/>
        <v>1</v>
      </c>
      <c r="C4617" t="str">
        <f t="shared" si="302"/>
        <v>256</v>
      </c>
      <c r="D4617" t="str">
        <f>"25"</f>
        <v>25</v>
      </c>
      <c r="E4617" t="str">
        <f>"1-256-25"</f>
        <v>1-256-25</v>
      </c>
      <c r="F4617" t="s">
        <v>15</v>
      </c>
      <c r="G4617" t="s">
        <v>16</v>
      </c>
      <c r="H4617" t="s">
        <v>17</v>
      </c>
      <c r="I4617">
        <v>0</v>
      </c>
      <c r="J4617">
        <v>1</v>
      </c>
      <c r="K4617">
        <v>0</v>
      </c>
    </row>
    <row r="4618" spans="1:11" x14ac:dyDescent="0.25">
      <c r="A4618" t="str">
        <f>"5838"</f>
        <v>5838</v>
      </c>
      <c r="B4618" t="str">
        <f t="shared" si="300"/>
        <v>1</v>
      </c>
      <c r="C4618" t="str">
        <f t="shared" si="302"/>
        <v>256</v>
      </c>
      <c r="D4618" t="str">
        <f>"2"</f>
        <v>2</v>
      </c>
      <c r="E4618" t="str">
        <f>"1-256-2"</f>
        <v>1-256-2</v>
      </c>
      <c r="F4618" t="s">
        <v>15</v>
      </c>
      <c r="G4618" t="s">
        <v>20</v>
      </c>
      <c r="H4618" t="s">
        <v>21</v>
      </c>
      <c r="I4618">
        <v>1</v>
      </c>
      <c r="J4618">
        <v>0</v>
      </c>
      <c r="K4618">
        <v>0</v>
      </c>
    </row>
    <row r="4619" spans="1:11" x14ac:dyDescent="0.25">
      <c r="A4619" t="str">
        <f>"5839"</f>
        <v>5839</v>
      </c>
      <c r="B4619" t="str">
        <f t="shared" si="300"/>
        <v>1</v>
      </c>
      <c r="C4619" t="str">
        <f t="shared" si="302"/>
        <v>256</v>
      </c>
      <c r="D4619" t="str">
        <f>"26"</f>
        <v>26</v>
      </c>
      <c r="E4619" t="str">
        <f>"1-256-26"</f>
        <v>1-256-26</v>
      </c>
      <c r="F4619" t="s">
        <v>15</v>
      </c>
      <c r="G4619" t="s">
        <v>18</v>
      </c>
      <c r="H4619" t="s">
        <v>19</v>
      </c>
      <c r="I4619">
        <v>0</v>
      </c>
      <c r="J4619">
        <v>0</v>
      </c>
      <c r="K4619">
        <v>1</v>
      </c>
    </row>
    <row r="4620" spans="1:11" x14ac:dyDescent="0.25">
      <c r="A4620" t="str">
        <f>"5840"</f>
        <v>5840</v>
      </c>
      <c r="B4620" t="str">
        <f t="shared" si="300"/>
        <v>1</v>
      </c>
      <c r="C4620" t="str">
        <f t="shared" si="302"/>
        <v>256</v>
      </c>
      <c r="D4620" t="str">
        <f>"27"</f>
        <v>27</v>
      </c>
      <c r="E4620" t="str">
        <f>"1-256-27"</f>
        <v>1-256-27</v>
      </c>
      <c r="F4620" t="s">
        <v>15</v>
      </c>
      <c r="G4620" t="s">
        <v>18</v>
      </c>
      <c r="H4620" t="s">
        <v>19</v>
      </c>
      <c r="I4620">
        <v>0</v>
      </c>
      <c r="J4620">
        <v>0</v>
      </c>
      <c r="K4620">
        <v>1</v>
      </c>
    </row>
    <row r="4621" spans="1:11" x14ac:dyDescent="0.25">
      <c r="A4621" t="str">
        <f>"5841"</f>
        <v>5841</v>
      </c>
      <c r="B4621" t="str">
        <f t="shared" si="300"/>
        <v>1</v>
      </c>
      <c r="C4621" t="str">
        <f t="shared" si="302"/>
        <v>256</v>
      </c>
      <c r="D4621" t="str">
        <f>"5"</f>
        <v>5</v>
      </c>
      <c r="E4621" t="str">
        <f>"1-256-5"</f>
        <v>1-256-5</v>
      </c>
      <c r="F4621" t="s">
        <v>15</v>
      </c>
      <c r="G4621" t="s">
        <v>16</v>
      </c>
      <c r="H4621" t="s">
        <v>17</v>
      </c>
      <c r="I4621">
        <v>1</v>
      </c>
      <c r="J4621">
        <v>0</v>
      </c>
      <c r="K4621">
        <v>0</v>
      </c>
    </row>
    <row r="4622" spans="1:11" x14ac:dyDescent="0.25">
      <c r="A4622" t="str">
        <f>"5842"</f>
        <v>5842</v>
      </c>
      <c r="B4622" t="str">
        <f t="shared" si="300"/>
        <v>1</v>
      </c>
      <c r="C4622" t="str">
        <f t="shared" si="302"/>
        <v>256</v>
      </c>
      <c r="D4622" t="str">
        <f>"28"</f>
        <v>28</v>
      </c>
      <c r="E4622" t="str">
        <f>"1-256-28"</f>
        <v>1-256-28</v>
      </c>
      <c r="F4622" t="s">
        <v>15</v>
      </c>
      <c r="G4622" t="s">
        <v>16</v>
      </c>
      <c r="H4622" t="s">
        <v>17</v>
      </c>
      <c r="I4622">
        <v>0</v>
      </c>
      <c r="J4622">
        <v>0</v>
      </c>
      <c r="K4622">
        <v>1</v>
      </c>
    </row>
    <row r="4623" spans="1:11" x14ac:dyDescent="0.25">
      <c r="A4623" t="str">
        <f>"5843"</f>
        <v>5843</v>
      </c>
      <c r="B4623" t="str">
        <f t="shared" si="300"/>
        <v>1</v>
      </c>
      <c r="C4623" t="str">
        <f t="shared" si="302"/>
        <v>256</v>
      </c>
      <c r="D4623" t="str">
        <f>"6"</f>
        <v>6</v>
      </c>
      <c r="E4623" t="str">
        <f>"1-256-6"</f>
        <v>1-256-6</v>
      </c>
      <c r="F4623" t="s">
        <v>15</v>
      </c>
      <c r="G4623" t="s">
        <v>16</v>
      </c>
      <c r="H4623" t="s">
        <v>17</v>
      </c>
      <c r="I4623">
        <v>1</v>
      </c>
      <c r="J4623">
        <v>0</v>
      </c>
      <c r="K4623">
        <v>0</v>
      </c>
    </row>
    <row r="4624" spans="1:11" x14ac:dyDescent="0.25">
      <c r="A4624" t="str">
        <f>"5844"</f>
        <v>5844</v>
      </c>
      <c r="B4624" t="str">
        <f t="shared" si="300"/>
        <v>1</v>
      </c>
      <c r="C4624" t="str">
        <f t="shared" si="302"/>
        <v>256</v>
      </c>
      <c r="D4624" t="str">
        <f>"14"</f>
        <v>14</v>
      </c>
      <c r="E4624" t="str">
        <f>"1-256-14"</f>
        <v>1-256-14</v>
      </c>
      <c r="F4624" t="s">
        <v>15</v>
      </c>
      <c r="G4624" t="s">
        <v>16</v>
      </c>
      <c r="H4624" t="s">
        <v>17</v>
      </c>
      <c r="I4624">
        <v>1</v>
      </c>
      <c r="J4624">
        <v>0</v>
      </c>
      <c r="K4624">
        <v>0</v>
      </c>
    </row>
    <row r="4625" spans="1:11" x14ac:dyDescent="0.25">
      <c r="A4625" t="str">
        <f>"5845"</f>
        <v>5845</v>
      </c>
      <c r="B4625" t="str">
        <f t="shared" si="300"/>
        <v>1</v>
      </c>
      <c r="C4625" t="str">
        <f t="shared" si="302"/>
        <v>256</v>
      </c>
      <c r="D4625" t="str">
        <f>"10"</f>
        <v>10</v>
      </c>
      <c r="E4625" t="str">
        <f>"1-256-10"</f>
        <v>1-256-10</v>
      </c>
      <c r="F4625" t="s">
        <v>15</v>
      </c>
      <c r="G4625" t="s">
        <v>20</v>
      </c>
      <c r="H4625" t="s">
        <v>21</v>
      </c>
      <c r="I4625">
        <v>1</v>
      </c>
      <c r="J4625">
        <v>0</v>
      </c>
      <c r="K4625">
        <v>0</v>
      </c>
    </row>
    <row r="4626" spans="1:11" x14ac:dyDescent="0.25">
      <c r="A4626" t="str">
        <f>"5846"</f>
        <v>5846</v>
      </c>
      <c r="B4626" t="str">
        <f t="shared" si="300"/>
        <v>1</v>
      </c>
      <c r="C4626" t="str">
        <f t="shared" si="302"/>
        <v>256</v>
      </c>
      <c r="D4626" t="str">
        <f>"3"</f>
        <v>3</v>
      </c>
      <c r="E4626" t="str">
        <f>"1-256-3"</f>
        <v>1-256-3</v>
      </c>
      <c r="F4626" t="s">
        <v>15</v>
      </c>
      <c r="G4626" t="s">
        <v>16</v>
      </c>
      <c r="H4626" t="s">
        <v>17</v>
      </c>
      <c r="I4626">
        <v>0</v>
      </c>
      <c r="J4626">
        <v>1</v>
      </c>
      <c r="K4626">
        <v>0</v>
      </c>
    </row>
    <row r="4627" spans="1:11" x14ac:dyDescent="0.25">
      <c r="A4627" t="str">
        <f>"5847"</f>
        <v>5847</v>
      </c>
      <c r="B4627" t="str">
        <f t="shared" si="300"/>
        <v>1</v>
      </c>
      <c r="C4627" t="str">
        <f t="shared" si="302"/>
        <v>256</v>
      </c>
      <c r="D4627" t="str">
        <f>"11"</f>
        <v>11</v>
      </c>
      <c r="E4627" t="str">
        <f>"1-256-11"</f>
        <v>1-256-11</v>
      </c>
      <c r="F4627" t="s">
        <v>15</v>
      </c>
      <c r="G4627" t="s">
        <v>16</v>
      </c>
      <c r="H4627" t="s">
        <v>17</v>
      </c>
      <c r="I4627">
        <v>0</v>
      </c>
      <c r="J4627">
        <v>0</v>
      </c>
      <c r="K4627">
        <v>0</v>
      </c>
    </row>
    <row r="4628" spans="1:11" x14ac:dyDescent="0.25">
      <c r="A4628" t="str">
        <f>"5848"</f>
        <v>5848</v>
      </c>
      <c r="B4628" t="str">
        <f t="shared" si="300"/>
        <v>1</v>
      </c>
      <c r="C4628" t="str">
        <f t="shared" si="302"/>
        <v>256</v>
      </c>
      <c r="D4628" t="str">
        <f>"7"</f>
        <v>7</v>
      </c>
      <c r="E4628" t="str">
        <f>"1-256-7"</f>
        <v>1-256-7</v>
      </c>
      <c r="F4628" t="s">
        <v>15</v>
      </c>
      <c r="G4628" t="s">
        <v>18</v>
      </c>
      <c r="H4628" t="s">
        <v>19</v>
      </c>
      <c r="I4628">
        <v>0</v>
      </c>
      <c r="J4628">
        <v>0</v>
      </c>
      <c r="K4628">
        <v>0</v>
      </c>
    </row>
    <row r="4629" spans="1:11" x14ac:dyDescent="0.25">
      <c r="A4629" t="str">
        <f>"5849"</f>
        <v>5849</v>
      </c>
      <c r="B4629" t="str">
        <f t="shared" si="300"/>
        <v>1</v>
      </c>
      <c r="C4629" t="str">
        <f t="shared" si="302"/>
        <v>256</v>
      </c>
      <c r="D4629" t="str">
        <f>"8"</f>
        <v>8</v>
      </c>
      <c r="E4629" t="str">
        <f>"1-256-8"</f>
        <v>1-256-8</v>
      </c>
      <c r="F4629" t="s">
        <v>15</v>
      </c>
      <c r="G4629" t="s">
        <v>18</v>
      </c>
      <c r="H4629" t="s">
        <v>19</v>
      </c>
      <c r="I4629">
        <v>0</v>
      </c>
      <c r="J4629">
        <v>0</v>
      </c>
      <c r="K4629">
        <v>0</v>
      </c>
    </row>
    <row r="4630" spans="1:11" x14ac:dyDescent="0.25">
      <c r="A4630" t="str">
        <f>"5850"</f>
        <v>5850</v>
      </c>
      <c r="B4630" t="str">
        <f t="shared" ref="B4630:B4689" si="303">"1"</f>
        <v>1</v>
      </c>
      <c r="C4630" t="str">
        <f t="shared" ref="C4630:C4656" si="304">"257"</f>
        <v>257</v>
      </c>
      <c r="D4630" t="str">
        <f>"22"</f>
        <v>22</v>
      </c>
      <c r="E4630" t="str">
        <f>"1-257-22"</f>
        <v>1-257-22</v>
      </c>
      <c r="F4630" t="s">
        <v>15</v>
      </c>
      <c r="G4630" t="s">
        <v>16</v>
      </c>
      <c r="H4630" t="s">
        <v>17</v>
      </c>
      <c r="I4630">
        <v>0</v>
      </c>
      <c r="J4630">
        <v>0</v>
      </c>
      <c r="K4630">
        <v>1</v>
      </c>
    </row>
    <row r="4631" spans="1:11" x14ac:dyDescent="0.25">
      <c r="A4631" t="str">
        <f>"5851"</f>
        <v>5851</v>
      </c>
      <c r="B4631" t="str">
        <f t="shared" si="303"/>
        <v>1</v>
      </c>
      <c r="C4631" t="str">
        <f t="shared" si="304"/>
        <v>257</v>
      </c>
      <c r="D4631" t="str">
        <f>"3"</f>
        <v>3</v>
      </c>
      <c r="E4631" t="str">
        <f>"1-257-3"</f>
        <v>1-257-3</v>
      </c>
      <c r="F4631" t="s">
        <v>15</v>
      </c>
      <c r="G4631" t="s">
        <v>16</v>
      </c>
      <c r="H4631" t="s">
        <v>17</v>
      </c>
      <c r="I4631">
        <v>0</v>
      </c>
      <c r="J4631">
        <v>0</v>
      </c>
      <c r="K4631">
        <v>1</v>
      </c>
    </row>
    <row r="4632" spans="1:11" x14ac:dyDescent="0.25">
      <c r="A4632" t="str">
        <f>"5852"</f>
        <v>5852</v>
      </c>
      <c r="B4632" t="str">
        <f t="shared" si="303"/>
        <v>1</v>
      </c>
      <c r="C4632" t="str">
        <f t="shared" si="304"/>
        <v>257</v>
      </c>
      <c r="D4632" t="str">
        <f>"24"</f>
        <v>24</v>
      </c>
      <c r="E4632" t="str">
        <f>"1-257-24"</f>
        <v>1-257-24</v>
      </c>
      <c r="F4632" t="s">
        <v>15</v>
      </c>
      <c r="G4632" t="s">
        <v>16</v>
      </c>
      <c r="H4632" t="s">
        <v>17</v>
      </c>
      <c r="I4632">
        <v>1</v>
      </c>
      <c r="J4632">
        <v>0</v>
      </c>
      <c r="K4632">
        <v>0</v>
      </c>
    </row>
    <row r="4633" spans="1:11" x14ac:dyDescent="0.25">
      <c r="A4633" t="str">
        <f>"5853"</f>
        <v>5853</v>
      </c>
      <c r="B4633" t="str">
        <f t="shared" si="303"/>
        <v>1</v>
      </c>
      <c r="C4633" t="str">
        <f t="shared" si="304"/>
        <v>257</v>
      </c>
      <c r="D4633" t="str">
        <f>"16"</f>
        <v>16</v>
      </c>
      <c r="E4633" t="str">
        <f>"1-257-16"</f>
        <v>1-257-16</v>
      </c>
      <c r="F4633" t="s">
        <v>15</v>
      </c>
      <c r="G4633" t="s">
        <v>16</v>
      </c>
      <c r="H4633" t="s">
        <v>17</v>
      </c>
      <c r="I4633">
        <v>1</v>
      </c>
      <c r="J4633">
        <v>0</v>
      </c>
      <c r="K4633">
        <v>0</v>
      </c>
    </row>
    <row r="4634" spans="1:11" x14ac:dyDescent="0.25">
      <c r="A4634" t="str">
        <f>"5854"</f>
        <v>5854</v>
      </c>
      <c r="B4634" t="str">
        <f t="shared" si="303"/>
        <v>1</v>
      </c>
      <c r="C4634" t="str">
        <f t="shared" si="304"/>
        <v>257</v>
      </c>
      <c r="D4634" t="str">
        <f>"4"</f>
        <v>4</v>
      </c>
      <c r="E4634" t="str">
        <f>"1-257-4"</f>
        <v>1-257-4</v>
      </c>
      <c r="F4634" t="s">
        <v>15</v>
      </c>
      <c r="G4634" t="s">
        <v>16</v>
      </c>
      <c r="H4634" t="s">
        <v>17</v>
      </c>
      <c r="I4634">
        <v>0</v>
      </c>
      <c r="J4634">
        <v>0</v>
      </c>
      <c r="K4634">
        <v>1</v>
      </c>
    </row>
    <row r="4635" spans="1:11" x14ac:dyDescent="0.25">
      <c r="A4635" t="str">
        <f>"5855"</f>
        <v>5855</v>
      </c>
      <c r="B4635" t="str">
        <f t="shared" si="303"/>
        <v>1</v>
      </c>
      <c r="C4635" t="str">
        <f t="shared" si="304"/>
        <v>257</v>
      </c>
      <c r="D4635" t="str">
        <f>"17"</f>
        <v>17</v>
      </c>
      <c r="E4635" t="str">
        <f>"1-257-17"</f>
        <v>1-257-17</v>
      </c>
      <c r="F4635" t="s">
        <v>15</v>
      </c>
      <c r="G4635" t="s">
        <v>16</v>
      </c>
      <c r="H4635" t="s">
        <v>17</v>
      </c>
      <c r="I4635">
        <v>1</v>
      </c>
      <c r="J4635">
        <v>0</v>
      </c>
      <c r="K4635">
        <v>0</v>
      </c>
    </row>
    <row r="4636" spans="1:11" x14ac:dyDescent="0.25">
      <c r="A4636" t="str">
        <f>"5856"</f>
        <v>5856</v>
      </c>
      <c r="B4636" t="str">
        <f t="shared" si="303"/>
        <v>1</v>
      </c>
      <c r="C4636" t="str">
        <f t="shared" si="304"/>
        <v>257</v>
      </c>
      <c r="D4636" t="str">
        <f>"5"</f>
        <v>5</v>
      </c>
      <c r="E4636" t="str">
        <f>"1-257-5"</f>
        <v>1-257-5</v>
      </c>
      <c r="F4636" t="s">
        <v>15</v>
      </c>
      <c r="G4636" t="s">
        <v>16</v>
      </c>
      <c r="H4636" t="s">
        <v>17</v>
      </c>
      <c r="I4636">
        <v>0</v>
      </c>
      <c r="J4636">
        <v>0</v>
      </c>
      <c r="K4636">
        <v>1</v>
      </c>
    </row>
    <row r="4637" spans="1:11" x14ac:dyDescent="0.25">
      <c r="A4637" t="str">
        <f>"5857"</f>
        <v>5857</v>
      </c>
      <c r="B4637" t="str">
        <f t="shared" si="303"/>
        <v>1</v>
      </c>
      <c r="C4637" t="str">
        <f t="shared" si="304"/>
        <v>257</v>
      </c>
      <c r="D4637" t="str">
        <f>"18"</f>
        <v>18</v>
      </c>
      <c r="E4637" t="str">
        <f>"1-257-18"</f>
        <v>1-257-18</v>
      </c>
      <c r="F4637" t="s">
        <v>15</v>
      </c>
      <c r="G4637" t="s">
        <v>18</v>
      </c>
      <c r="H4637" t="s">
        <v>19</v>
      </c>
      <c r="I4637">
        <v>1</v>
      </c>
      <c r="J4637">
        <v>0</v>
      </c>
      <c r="K4637">
        <v>0</v>
      </c>
    </row>
    <row r="4638" spans="1:11" x14ac:dyDescent="0.25">
      <c r="A4638" t="str">
        <f>"5858"</f>
        <v>5858</v>
      </c>
      <c r="B4638" t="str">
        <f t="shared" si="303"/>
        <v>1</v>
      </c>
      <c r="C4638" t="str">
        <f t="shared" si="304"/>
        <v>257</v>
      </c>
      <c r="D4638" t="str">
        <f>"12"</f>
        <v>12</v>
      </c>
      <c r="E4638" t="str">
        <f>"1-257-12"</f>
        <v>1-257-12</v>
      </c>
      <c r="F4638" t="s">
        <v>15</v>
      </c>
      <c r="G4638" t="s">
        <v>16</v>
      </c>
      <c r="H4638" t="s">
        <v>17</v>
      </c>
      <c r="I4638">
        <v>0</v>
      </c>
      <c r="J4638">
        <v>1</v>
      </c>
      <c r="K4638">
        <v>0</v>
      </c>
    </row>
    <row r="4639" spans="1:11" x14ac:dyDescent="0.25">
      <c r="A4639" t="str">
        <f>"5859"</f>
        <v>5859</v>
      </c>
      <c r="B4639" t="str">
        <f t="shared" si="303"/>
        <v>1</v>
      </c>
      <c r="C4639" t="str">
        <f t="shared" si="304"/>
        <v>257</v>
      </c>
      <c r="D4639" t="str">
        <f>"19"</f>
        <v>19</v>
      </c>
      <c r="E4639" t="str">
        <f>"1-257-19"</f>
        <v>1-257-19</v>
      </c>
      <c r="F4639" t="s">
        <v>15</v>
      </c>
      <c r="G4639" t="s">
        <v>18</v>
      </c>
      <c r="H4639" t="s">
        <v>19</v>
      </c>
      <c r="I4639">
        <v>1</v>
      </c>
      <c r="J4639">
        <v>0</v>
      </c>
      <c r="K4639">
        <v>0</v>
      </c>
    </row>
    <row r="4640" spans="1:11" x14ac:dyDescent="0.25">
      <c r="A4640" t="str">
        <f>"5860"</f>
        <v>5860</v>
      </c>
      <c r="B4640" t="str">
        <f t="shared" si="303"/>
        <v>1</v>
      </c>
      <c r="C4640" t="str">
        <f t="shared" si="304"/>
        <v>257</v>
      </c>
      <c r="D4640" t="str">
        <f>"1"</f>
        <v>1</v>
      </c>
      <c r="E4640" t="str">
        <f>"1-257-1"</f>
        <v>1-257-1</v>
      </c>
      <c r="F4640" t="s">
        <v>15</v>
      </c>
      <c r="G4640" t="s">
        <v>20</v>
      </c>
      <c r="H4640" t="s">
        <v>21</v>
      </c>
      <c r="I4640">
        <v>1</v>
      </c>
      <c r="J4640">
        <v>0</v>
      </c>
      <c r="K4640">
        <v>0</v>
      </c>
    </row>
    <row r="4641" spans="1:11" x14ac:dyDescent="0.25">
      <c r="A4641" t="str">
        <f>"5861"</f>
        <v>5861</v>
      </c>
      <c r="B4641" t="str">
        <f t="shared" si="303"/>
        <v>1</v>
      </c>
      <c r="C4641" t="str">
        <f t="shared" si="304"/>
        <v>257</v>
      </c>
      <c r="D4641" t="str">
        <f>"20"</f>
        <v>20</v>
      </c>
      <c r="E4641" t="str">
        <f>"1-257-20"</f>
        <v>1-257-20</v>
      </c>
      <c r="F4641" t="s">
        <v>15</v>
      </c>
      <c r="G4641" t="s">
        <v>16</v>
      </c>
      <c r="H4641" t="s">
        <v>17</v>
      </c>
      <c r="I4641">
        <v>0</v>
      </c>
      <c r="J4641">
        <v>1</v>
      </c>
      <c r="K4641">
        <v>0</v>
      </c>
    </row>
    <row r="4642" spans="1:11" x14ac:dyDescent="0.25">
      <c r="A4642" t="str">
        <f>"5862"</f>
        <v>5862</v>
      </c>
      <c r="B4642" t="str">
        <f t="shared" si="303"/>
        <v>1</v>
      </c>
      <c r="C4642" t="str">
        <f t="shared" si="304"/>
        <v>257</v>
      </c>
      <c r="D4642" t="str">
        <f>"7"</f>
        <v>7</v>
      </c>
      <c r="E4642" t="str">
        <f>"1-257-7"</f>
        <v>1-257-7</v>
      </c>
      <c r="F4642" t="s">
        <v>15</v>
      </c>
      <c r="G4642" t="s">
        <v>16</v>
      </c>
      <c r="H4642" t="s">
        <v>17</v>
      </c>
      <c r="I4642">
        <v>1</v>
      </c>
      <c r="J4642">
        <v>0</v>
      </c>
      <c r="K4642">
        <v>0</v>
      </c>
    </row>
    <row r="4643" spans="1:11" x14ac:dyDescent="0.25">
      <c r="A4643" t="str">
        <f>"5863"</f>
        <v>5863</v>
      </c>
      <c r="B4643" t="str">
        <f t="shared" si="303"/>
        <v>1</v>
      </c>
      <c r="C4643" t="str">
        <f t="shared" si="304"/>
        <v>257</v>
      </c>
      <c r="D4643" t="str">
        <f>"21"</f>
        <v>21</v>
      </c>
      <c r="E4643" t="str">
        <f>"1-257-21"</f>
        <v>1-257-21</v>
      </c>
      <c r="F4643" t="s">
        <v>15</v>
      </c>
      <c r="G4643" t="s">
        <v>16</v>
      </c>
      <c r="H4643" t="s">
        <v>17</v>
      </c>
      <c r="I4643">
        <v>0</v>
      </c>
      <c r="J4643">
        <v>1</v>
      </c>
      <c r="K4643">
        <v>0</v>
      </c>
    </row>
    <row r="4644" spans="1:11" x14ac:dyDescent="0.25">
      <c r="A4644" t="str">
        <f>"5864"</f>
        <v>5864</v>
      </c>
      <c r="B4644" t="str">
        <f t="shared" si="303"/>
        <v>1</v>
      </c>
      <c r="C4644" t="str">
        <f t="shared" si="304"/>
        <v>257</v>
      </c>
      <c r="D4644" t="str">
        <f>"13"</f>
        <v>13</v>
      </c>
      <c r="E4644" t="str">
        <f>"1-257-13"</f>
        <v>1-257-13</v>
      </c>
      <c r="F4644" t="s">
        <v>15</v>
      </c>
      <c r="G4644" t="s">
        <v>16</v>
      </c>
      <c r="H4644" t="s">
        <v>17</v>
      </c>
      <c r="I4644">
        <v>0</v>
      </c>
      <c r="J4644">
        <v>1</v>
      </c>
      <c r="K4644">
        <v>0</v>
      </c>
    </row>
    <row r="4645" spans="1:11" x14ac:dyDescent="0.25">
      <c r="A4645" t="str">
        <f>"5865"</f>
        <v>5865</v>
      </c>
      <c r="B4645" t="str">
        <f t="shared" si="303"/>
        <v>1</v>
      </c>
      <c r="C4645" t="str">
        <f t="shared" si="304"/>
        <v>257</v>
      </c>
      <c r="D4645" t="str">
        <f>"23"</f>
        <v>23</v>
      </c>
      <c r="E4645" t="str">
        <f>"1-257-23"</f>
        <v>1-257-23</v>
      </c>
      <c r="F4645" t="s">
        <v>15</v>
      </c>
      <c r="G4645" t="s">
        <v>16</v>
      </c>
      <c r="H4645" t="s">
        <v>17</v>
      </c>
      <c r="I4645">
        <v>0</v>
      </c>
      <c r="J4645">
        <v>0</v>
      </c>
      <c r="K4645">
        <v>1</v>
      </c>
    </row>
    <row r="4646" spans="1:11" x14ac:dyDescent="0.25">
      <c r="A4646" t="str">
        <f>"5866"</f>
        <v>5866</v>
      </c>
      <c r="B4646" t="str">
        <f t="shared" si="303"/>
        <v>1</v>
      </c>
      <c r="C4646" t="str">
        <f t="shared" si="304"/>
        <v>257</v>
      </c>
      <c r="D4646" t="str">
        <f>"11"</f>
        <v>11</v>
      </c>
      <c r="E4646" t="str">
        <f>"1-257-11"</f>
        <v>1-257-11</v>
      </c>
      <c r="F4646" t="s">
        <v>15</v>
      </c>
      <c r="G4646" t="s">
        <v>18</v>
      </c>
      <c r="H4646" t="s">
        <v>19</v>
      </c>
      <c r="I4646">
        <v>1</v>
      </c>
      <c r="J4646">
        <v>0</v>
      </c>
      <c r="K4646">
        <v>0</v>
      </c>
    </row>
    <row r="4647" spans="1:11" x14ac:dyDescent="0.25">
      <c r="A4647" t="str">
        <f>"5867"</f>
        <v>5867</v>
      </c>
      <c r="B4647" t="str">
        <f t="shared" si="303"/>
        <v>1</v>
      </c>
      <c r="C4647" t="str">
        <f t="shared" si="304"/>
        <v>257</v>
      </c>
      <c r="D4647" t="str">
        <f>"25"</f>
        <v>25</v>
      </c>
      <c r="E4647" t="str">
        <f>"1-257-25"</f>
        <v>1-257-25</v>
      </c>
      <c r="F4647" t="s">
        <v>15</v>
      </c>
      <c r="G4647" t="s">
        <v>16</v>
      </c>
      <c r="H4647" t="s">
        <v>17</v>
      </c>
      <c r="I4647">
        <v>0</v>
      </c>
      <c r="J4647">
        <v>0</v>
      </c>
      <c r="K4647">
        <v>1</v>
      </c>
    </row>
    <row r="4648" spans="1:11" x14ac:dyDescent="0.25">
      <c r="A4648" t="str">
        <f>"5868"</f>
        <v>5868</v>
      </c>
      <c r="B4648" t="str">
        <f t="shared" si="303"/>
        <v>1</v>
      </c>
      <c r="C4648" t="str">
        <f t="shared" si="304"/>
        <v>257</v>
      </c>
      <c r="D4648" t="str">
        <f>"8"</f>
        <v>8</v>
      </c>
      <c r="E4648" t="str">
        <f>"1-257-8"</f>
        <v>1-257-8</v>
      </c>
      <c r="F4648" t="s">
        <v>15</v>
      </c>
      <c r="G4648" t="s">
        <v>16</v>
      </c>
      <c r="H4648" t="s">
        <v>17</v>
      </c>
      <c r="I4648">
        <v>1</v>
      </c>
      <c r="J4648">
        <v>0</v>
      </c>
      <c r="K4648">
        <v>0</v>
      </c>
    </row>
    <row r="4649" spans="1:11" x14ac:dyDescent="0.25">
      <c r="A4649" t="str">
        <f>"5869"</f>
        <v>5869</v>
      </c>
      <c r="B4649" t="str">
        <f t="shared" si="303"/>
        <v>1</v>
      </c>
      <c r="C4649" t="str">
        <f t="shared" si="304"/>
        <v>257</v>
      </c>
      <c r="D4649" t="str">
        <f>"26"</f>
        <v>26</v>
      </c>
      <c r="E4649" t="str">
        <f>"1-257-26"</f>
        <v>1-257-26</v>
      </c>
      <c r="F4649" t="s">
        <v>15</v>
      </c>
      <c r="G4649" t="s">
        <v>18</v>
      </c>
      <c r="H4649" t="s">
        <v>19</v>
      </c>
      <c r="I4649">
        <v>0</v>
      </c>
      <c r="J4649">
        <v>0</v>
      </c>
      <c r="K4649">
        <v>1</v>
      </c>
    </row>
    <row r="4650" spans="1:11" x14ac:dyDescent="0.25">
      <c r="A4650" t="str">
        <f>"5870"</f>
        <v>5870</v>
      </c>
      <c r="B4650" t="str">
        <f t="shared" si="303"/>
        <v>1</v>
      </c>
      <c r="C4650" t="str">
        <f t="shared" si="304"/>
        <v>257</v>
      </c>
      <c r="D4650" t="str">
        <f>"2"</f>
        <v>2</v>
      </c>
      <c r="E4650" t="str">
        <f>"1-257-2"</f>
        <v>1-257-2</v>
      </c>
      <c r="F4650" t="s">
        <v>15</v>
      </c>
      <c r="G4650" t="s">
        <v>20</v>
      </c>
      <c r="H4650" t="s">
        <v>21</v>
      </c>
      <c r="I4650">
        <v>1</v>
      </c>
      <c r="J4650">
        <v>0</v>
      </c>
      <c r="K4650">
        <v>0</v>
      </c>
    </row>
    <row r="4651" spans="1:11" x14ac:dyDescent="0.25">
      <c r="A4651" t="str">
        <f>"5871"</f>
        <v>5871</v>
      </c>
      <c r="B4651" t="str">
        <f t="shared" si="303"/>
        <v>1</v>
      </c>
      <c r="C4651" t="str">
        <f t="shared" si="304"/>
        <v>257</v>
      </c>
      <c r="D4651" t="str">
        <f>"27"</f>
        <v>27</v>
      </c>
      <c r="E4651" t="str">
        <f>"1-257-27"</f>
        <v>1-257-27</v>
      </c>
      <c r="F4651" t="s">
        <v>15</v>
      </c>
      <c r="G4651" t="s">
        <v>16</v>
      </c>
      <c r="H4651" t="s">
        <v>17</v>
      </c>
      <c r="I4651">
        <v>1</v>
      </c>
      <c r="J4651">
        <v>0</v>
      </c>
      <c r="K4651">
        <v>0</v>
      </c>
    </row>
    <row r="4652" spans="1:11" x14ac:dyDescent="0.25">
      <c r="A4652" t="str">
        <f>"5872"</f>
        <v>5872</v>
      </c>
      <c r="B4652" t="str">
        <f t="shared" si="303"/>
        <v>1</v>
      </c>
      <c r="C4652" t="str">
        <f t="shared" si="304"/>
        <v>257</v>
      </c>
      <c r="D4652" t="str">
        <f>"6"</f>
        <v>6</v>
      </c>
      <c r="E4652" t="str">
        <f>"1-257-6"</f>
        <v>1-257-6</v>
      </c>
      <c r="F4652" t="s">
        <v>15</v>
      </c>
      <c r="G4652" t="s">
        <v>16</v>
      </c>
      <c r="H4652" t="s">
        <v>17</v>
      </c>
      <c r="I4652">
        <v>1</v>
      </c>
      <c r="J4652">
        <v>0</v>
      </c>
      <c r="K4652">
        <v>0</v>
      </c>
    </row>
    <row r="4653" spans="1:11" x14ac:dyDescent="0.25">
      <c r="A4653" t="str">
        <f>"5873"</f>
        <v>5873</v>
      </c>
      <c r="B4653" t="str">
        <f t="shared" si="303"/>
        <v>1</v>
      </c>
      <c r="C4653" t="str">
        <f t="shared" si="304"/>
        <v>257</v>
      </c>
      <c r="D4653" t="str">
        <f>"14"</f>
        <v>14</v>
      </c>
      <c r="E4653" t="str">
        <f>"1-257-14"</f>
        <v>1-257-14</v>
      </c>
      <c r="F4653" t="s">
        <v>15</v>
      </c>
      <c r="G4653" t="s">
        <v>16</v>
      </c>
      <c r="H4653" t="s">
        <v>17</v>
      </c>
      <c r="I4653">
        <v>0</v>
      </c>
      <c r="J4653">
        <v>1</v>
      </c>
      <c r="K4653">
        <v>0</v>
      </c>
    </row>
    <row r="4654" spans="1:11" x14ac:dyDescent="0.25">
      <c r="A4654" t="str">
        <f>"5874"</f>
        <v>5874</v>
      </c>
      <c r="B4654" t="str">
        <f t="shared" si="303"/>
        <v>1</v>
      </c>
      <c r="C4654" t="str">
        <f t="shared" si="304"/>
        <v>257</v>
      </c>
      <c r="D4654" t="str">
        <f>"10"</f>
        <v>10</v>
      </c>
      <c r="E4654" t="str">
        <f>"1-257-10"</f>
        <v>1-257-10</v>
      </c>
      <c r="F4654" t="s">
        <v>15</v>
      </c>
      <c r="G4654" t="s">
        <v>16</v>
      </c>
      <c r="H4654" t="s">
        <v>17</v>
      </c>
      <c r="I4654">
        <v>0</v>
      </c>
      <c r="J4654">
        <v>1</v>
      </c>
      <c r="K4654">
        <v>0</v>
      </c>
    </row>
    <row r="4655" spans="1:11" x14ac:dyDescent="0.25">
      <c r="A4655" t="str">
        <f>"5875"</f>
        <v>5875</v>
      </c>
      <c r="B4655" t="str">
        <f t="shared" si="303"/>
        <v>1</v>
      </c>
      <c r="C4655" t="str">
        <f t="shared" si="304"/>
        <v>257</v>
      </c>
      <c r="D4655" t="str">
        <f>"9"</f>
        <v>9</v>
      </c>
      <c r="E4655" t="str">
        <f>"1-257-9"</f>
        <v>1-257-9</v>
      </c>
      <c r="F4655" t="s">
        <v>15</v>
      </c>
      <c r="G4655" t="s">
        <v>16</v>
      </c>
      <c r="H4655" t="s">
        <v>17</v>
      </c>
      <c r="I4655">
        <v>0</v>
      </c>
      <c r="J4655">
        <v>0</v>
      </c>
      <c r="K4655">
        <v>1</v>
      </c>
    </row>
    <row r="4656" spans="1:11" x14ac:dyDescent="0.25">
      <c r="A4656" t="str">
        <f>"5876"</f>
        <v>5876</v>
      </c>
      <c r="B4656" t="str">
        <f t="shared" si="303"/>
        <v>1</v>
      </c>
      <c r="C4656" t="str">
        <f t="shared" si="304"/>
        <v>257</v>
      </c>
      <c r="D4656" t="str">
        <f>"15"</f>
        <v>15</v>
      </c>
      <c r="E4656" t="str">
        <f>"1-257-15"</f>
        <v>1-257-15</v>
      </c>
      <c r="F4656" t="s">
        <v>15</v>
      </c>
      <c r="G4656" t="s">
        <v>16</v>
      </c>
      <c r="H4656" t="s">
        <v>17</v>
      </c>
      <c r="I4656">
        <v>0</v>
      </c>
      <c r="J4656">
        <v>1</v>
      </c>
      <c r="K4656">
        <v>0</v>
      </c>
    </row>
    <row r="4657" spans="1:11" x14ac:dyDescent="0.25">
      <c r="A4657" t="str">
        <f>"5877"</f>
        <v>5877</v>
      </c>
      <c r="B4657" t="str">
        <f t="shared" si="303"/>
        <v>1</v>
      </c>
      <c r="C4657" t="str">
        <f t="shared" ref="C4657:C4676" si="305">"258"</f>
        <v>258</v>
      </c>
      <c r="D4657" t="str">
        <f>"17"</f>
        <v>17</v>
      </c>
      <c r="E4657" t="str">
        <f>"1-258-17"</f>
        <v>1-258-17</v>
      </c>
      <c r="F4657" t="s">
        <v>15</v>
      </c>
      <c r="G4657" t="s">
        <v>16</v>
      </c>
      <c r="H4657" t="s">
        <v>17</v>
      </c>
      <c r="I4657">
        <v>0</v>
      </c>
      <c r="J4657">
        <v>1</v>
      </c>
      <c r="K4657">
        <v>0</v>
      </c>
    </row>
    <row r="4658" spans="1:11" x14ac:dyDescent="0.25">
      <c r="A4658" t="str">
        <f>"5878"</f>
        <v>5878</v>
      </c>
      <c r="B4658" t="str">
        <f t="shared" si="303"/>
        <v>1</v>
      </c>
      <c r="C4658" t="str">
        <f t="shared" si="305"/>
        <v>258</v>
      </c>
      <c r="D4658" t="str">
        <f>"15"</f>
        <v>15</v>
      </c>
      <c r="E4658" t="str">
        <f>"1-258-15"</f>
        <v>1-258-15</v>
      </c>
      <c r="F4658" t="s">
        <v>15</v>
      </c>
      <c r="G4658" t="s">
        <v>20</v>
      </c>
      <c r="H4658" t="s">
        <v>21</v>
      </c>
      <c r="I4658">
        <v>1</v>
      </c>
      <c r="J4658">
        <v>0</v>
      </c>
      <c r="K4658">
        <v>0</v>
      </c>
    </row>
    <row r="4659" spans="1:11" x14ac:dyDescent="0.25">
      <c r="A4659" t="str">
        <f>"5879"</f>
        <v>5879</v>
      </c>
      <c r="B4659" t="str">
        <f t="shared" si="303"/>
        <v>1</v>
      </c>
      <c r="C4659" t="str">
        <f t="shared" si="305"/>
        <v>258</v>
      </c>
      <c r="D4659" t="str">
        <f>"5"</f>
        <v>5</v>
      </c>
      <c r="E4659" t="str">
        <f>"1-258-5"</f>
        <v>1-258-5</v>
      </c>
      <c r="F4659" t="s">
        <v>15</v>
      </c>
      <c r="G4659" t="s">
        <v>16</v>
      </c>
      <c r="H4659" t="s">
        <v>17</v>
      </c>
      <c r="I4659">
        <v>0</v>
      </c>
      <c r="J4659">
        <v>0</v>
      </c>
      <c r="K4659">
        <v>1</v>
      </c>
    </row>
    <row r="4660" spans="1:11" x14ac:dyDescent="0.25">
      <c r="A4660" t="str">
        <f>"5880"</f>
        <v>5880</v>
      </c>
      <c r="B4660" t="str">
        <f t="shared" si="303"/>
        <v>1</v>
      </c>
      <c r="C4660" t="str">
        <f t="shared" si="305"/>
        <v>258</v>
      </c>
      <c r="D4660" t="str">
        <f>"19"</f>
        <v>19</v>
      </c>
      <c r="E4660" t="str">
        <f>"1-258-19"</f>
        <v>1-258-19</v>
      </c>
      <c r="F4660" t="s">
        <v>15</v>
      </c>
      <c r="G4660" t="s">
        <v>16</v>
      </c>
      <c r="H4660" t="s">
        <v>17</v>
      </c>
      <c r="I4660">
        <v>0</v>
      </c>
      <c r="J4660">
        <v>0</v>
      </c>
      <c r="K4660">
        <v>1</v>
      </c>
    </row>
    <row r="4661" spans="1:11" x14ac:dyDescent="0.25">
      <c r="A4661" t="str">
        <f>"5881"</f>
        <v>5881</v>
      </c>
      <c r="B4661" t="str">
        <f t="shared" si="303"/>
        <v>1</v>
      </c>
      <c r="C4661" t="str">
        <f t="shared" si="305"/>
        <v>258</v>
      </c>
      <c r="D4661" t="str">
        <f>"16"</f>
        <v>16</v>
      </c>
      <c r="E4661" t="str">
        <f>"1-258-16"</f>
        <v>1-258-16</v>
      </c>
      <c r="F4661" t="s">
        <v>15</v>
      </c>
      <c r="G4661" t="s">
        <v>20</v>
      </c>
      <c r="H4661" t="s">
        <v>21</v>
      </c>
      <c r="I4661">
        <v>1</v>
      </c>
      <c r="J4661">
        <v>0</v>
      </c>
      <c r="K4661">
        <v>0</v>
      </c>
    </row>
    <row r="4662" spans="1:11" x14ac:dyDescent="0.25">
      <c r="A4662" t="str">
        <f>"5882"</f>
        <v>5882</v>
      </c>
      <c r="B4662" t="str">
        <f t="shared" si="303"/>
        <v>1</v>
      </c>
      <c r="C4662" t="str">
        <f t="shared" si="305"/>
        <v>258</v>
      </c>
      <c r="D4662" t="str">
        <f>"18"</f>
        <v>18</v>
      </c>
      <c r="E4662" t="str">
        <f>"1-258-18"</f>
        <v>1-258-18</v>
      </c>
      <c r="F4662" t="s">
        <v>15</v>
      </c>
      <c r="G4662" t="s">
        <v>20</v>
      </c>
      <c r="H4662" t="s">
        <v>21</v>
      </c>
      <c r="I4662">
        <v>0</v>
      </c>
      <c r="J4662">
        <v>0</v>
      </c>
      <c r="K4662">
        <v>1</v>
      </c>
    </row>
    <row r="4663" spans="1:11" x14ac:dyDescent="0.25">
      <c r="A4663" t="str">
        <f>"5883"</f>
        <v>5883</v>
      </c>
      <c r="B4663" t="str">
        <f t="shared" si="303"/>
        <v>1</v>
      </c>
      <c r="C4663" t="str">
        <f t="shared" si="305"/>
        <v>258</v>
      </c>
      <c r="D4663" t="str">
        <f>"14"</f>
        <v>14</v>
      </c>
      <c r="E4663" t="str">
        <f>"1-258-14"</f>
        <v>1-258-14</v>
      </c>
      <c r="F4663" t="s">
        <v>15</v>
      </c>
      <c r="G4663" t="s">
        <v>20</v>
      </c>
      <c r="H4663" t="s">
        <v>21</v>
      </c>
      <c r="I4663">
        <v>0</v>
      </c>
      <c r="J4663">
        <v>0</v>
      </c>
      <c r="K4663">
        <v>1</v>
      </c>
    </row>
    <row r="4664" spans="1:11" x14ac:dyDescent="0.25">
      <c r="A4664" t="str">
        <f>"5884"</f>
        <v>5884</v>
      </c>
      <c r="B4664" t="str">
        <f t="shared" si="303"/>
        <v>1</v>
      </c>
      <c r="C4664" t="str">
        <f t="shared" si="305"/>
        <v>258</v>
      </c>
      <c r="D4664" t="str">
        <f>"20"</f>
        <v>20</v>
      </c>
      <c r="E4664" t="str">
        <f>"1-258-20"</f>
        <v>1-258-20</v>
      </c>
      <c r="F4664" t="s">
        <v>15</v>
      </c>
      <c r="G4664" t="s">
        <v>16</v>
      </c>
      <c r="H4664" t="s">
        <v>17</v>
      </c>
      <c r="I4664">
        <v>0</v>
      </c>
      <c r="J4664">
        <v>1</v>
      </c>
      <c r="K4664">
        <v>0</v>
      </c>
    </row>
    <row r="4665" spans="1:11" x14ac:dyDescent="0.25">
      <c r="A4665" t="str">
        <f>"5885"</f>
        <v>5885</v>
      </c>
      <c r="B4665" t="str">
        <f t="shared" si="303"/>
        <v>1</v>
      </c>
      <c r="C4665" t="str">
        <f t="shared" si="305"/>
        <v>258</v>
      </c>
      <c r="D4665" t="str">
        <f>"9"</f>
        <v>9</v>
      </c>
      <c r="E4665" t="str">
        <f>"1-258-9"</f>
        <v>1-258-9</v>
      </c>
      <c r="F4665" t="s">
        <v>15</v>
      </c>
      <c r="G4665" t="s">
        <v>16</v>
      </c>
      <c r="H4665" t="s">
        <v>17</v>
      </c>
      <c r="I4665">
        <v>0</v>
      </c>
      <c r="J4665">
        <v>1</v>
      </c>
      <c r="K4665">
        <v>0</v>
      </c>
    </row>
    <row r="4666" spans="1:11" x14ac:dyDescent="0.25">
      <c r="A4666" t="str">
        <f>"5886"</f>
        <v>5886</v>
      </c>
      <c r="B4666" t="str">
        <f t="shared" si="303"/>
        <v>1</v>
      </c>
      <c r="C4666" t="str">
        <f t="shared" si="305"/>
        <v>258</v>
      </c>
      <c r="D4666" t="str">
        <f>"4"</f>
        <v>4</v>
      </c>
      <c r="E4666" t="str">
        <f>"1-258-4"</f>
        <v>1-258-4</v>
      </c>
      <c r="F4666" t="s">
        <v>15</v>
      </c>
      <c r="G4666" t="s">
        <v>16</v>
      </c>
      <c r="H4666" t="s">
        <v>17</v>
      </c>
      <c r="I4666">
        <v>0</v>
      </c>
      <c r="J4666">
        <v>1</v>
      </c>
      <c r="K4666">
        <v>0</v>
      </c>
    </row>
    <row r="4667" spans="1:11" x14ac:dyDescent="0.25">
      <c r="A4667" t="str">
        <f>"5887"</f>
        <v>5887</v>
      </c>
      <c r="B4667" t="str">
        <f t="shared" si="303"/>
        <v>1</v>
      </c>
      <c r="C4667" t="str">
        <f t="shared" si="305"/>
        <v>258</v>
      </c>
      <c r="D4667" t="str">
        <f>"3"</f>
        <v>3</v>
      </c>
      <c r="E4667" t="str">
        <f>"1-258-3"</f>
        <v>1-258-3</v>
      </c>
      <c r="F4667" t="s">
        <v>15</v>
      </c>
      <c r="G4667" t="s">
        <v>16</v>
      </c>
      <c r="H4667" t="s">
        <v>17</v>
      </c>
      <c r="I4667">
        <v>0</v>
      </c>
      <c r="J4667">
        <v>0</v>
      </c>
      <c r="K4667">
        <v>1</v>
      </c>
    </row>
    <row r="4668" spans="1:11" x14ac:dyDescent="0.25">
      <c r="A4668" t="str">
        <f>"5888"</f>
        <v>5888</v>
      </c>
      <c r="B4668" t="str">
        <f t="shared" si="303"/>
        <v>1</v>
      </c>
      <c r="C4668" t="str">
        <f t="shared" si="305"/>
        <v>258</v>
      </c>
      <c r="D4668" t="str">
        <f>"1"</f>
        <v>1</v>
      </c>
      <c r="E4668" t="str">
        <f>"1-258-1"</f>
        <v>1-258-1</v>
      </c>
      <c r="F4668" t="s">
        <v>15</v>
      </c>
      <c r="G4668" t="s">
        <v>20</v>
      </c>
      <c r="H4668" t="s">
        <v>21</v>
      </c>
      <c r="I4668">
        <v>0</v>
      </c>
      <c r="J4668">
        <v>1</v>
      </c>
      <c r="K4668">
        <v>0</v>
      </c>
    </row>
    <row r="4669" spans="1:11" x14ac:dyDescent="0.25">
      <c r="A4669" t="str">
        <f>"5889"</f>
        <v>5889</v>
      </c>
      <c r="B4669" t="str">
        <f t="shared" si="303"/>
        <v>1</v>
      </c>
      <c r="C4669" t="str">
        <f t="shared" si="305"/>
        <v>258</v>
      </c>
      <c r="D4669" t="str">
        <f>"10"</f>
        <v>10</v>
      </c>
      <c r="E4669" t="str">
        <f>"1-258-10"</f>
        <v>1-258-10</v>
      </c>
      <c r="F4669" t="s">
        <v>15</v>
      </c>
      <c r="G4669" t="s">
        <v>16</v>
      </c>
      <c r="H4669" t="s">
        <v>17</v>
      </c>
      <c r="I4669">
        <v>0</v>
      </c>
      <c r="J4669">
        <v>1</v>
      </c>
      <c r="K4669">
        <v>0</v>
      </c>
    </row>
    <row r="4670" spans="1:11" x14ac:dyDescent="0.25">
      <c r="A4670" t="str">
        <f>"5890"</f>
        <v>5890</v>
      </c>
      <c r="B4670" t="str">
        <f t="shared" si="303"/>
        <v>1</v>
      </c>
      <c r="C4670" t="str">
        <f t="shared" si="305"/>
        <v>258</v>
      </c>
      <c r="D4670" t="str">
        <f>"13"</f>
        <v>13</v>
      </c>
      <c r="E4670" t="str">
        <f>"1-258-13"</f>
        <v>1-258-13</v>
      </c>
      <c r="F4670" t="s">
        <v>15</v>
      </c>
      <c r="G4670" t="s">
        <v>20</v>
      </c>
      <c r="H4670" t="s">
        <v>21</v>
      </c>
      <c r="I4670">
        <v>0</v>
      </c>
      <c r="J4670">
        <v>1</v>
      </c>
      <c r="K4670">
        <v>0</v>
      </c>
    </row>
    <row r="4671" spans="1:11" x14ac:dyDescent="0.25">
      <c r="A4671" t="str">
        <f>"5891"</f>
        <v>5891</v>
      </c>
      <c r="B4671" t="str">
        <f t="shared" si="303"/>
        <v>1</v>
      </c>
      <c r="C4671" t="str">
        <f t="shared" si="305"/>
        <v>258</v>
      </c>
      <c r="D4671" t="str">
        <f>"7"</f>
        <v>7</v>
      </c>
      <c r="E4671" t="str">
        <f>"1-258-7"</f>
        <v>1-258-7</v>
      </c>
      <c r="F4671" t="s">
        <v>15</v>
      </c>
      <c r="G4671" t="s">
        <v>18</v>
      </c>
      <c r="H4671" t="s">
        <v>19</v>
      </c>
      <c r="I4671">
        <v>0</v>
      </c>
      <c r="J4671">
        <v>1</v>
      </c>
      <c r="K4671">
        <v>0</v>
      </c>
    </row>
    <row r="4672" spans="1:11" x14ac:dyDescent="0.25">
      <c r="A4672" t="str">
        <f>"5892"</f>
        <v>5892</v>
      </c>
      <c r="B4672" t="str">
        <f t="shared" si="303"/>
        <v>1</v>
      </c>
      <c r="C4672" t="str">
        <f t="shared" si="305"/>
        <v>258</v>
      </c>
      <c r="D4672" t="str">
        <f>"12"</f>
        <v>12</v>
      </c>
      <c r="E4672" t="str">
        <f>"1-258-12"</f>
        <v>1-258-12</v>
      </c>
      <c r="F4672" t="s">
        <v>15</v>
      </c>
      <c r="G4672" t="s">
        <v>20</v>
      </c>
      <c r="H4672" t="s">
        <v>21</v>
      </c>
      <c r="I4672">
        <v>0</v>
      </c>
      <c r="J4672">
        <v>0</v>
      </c>
      <c r="K4672">
        <v>1</v>
      </c>
    </row>
    <row r="4673" spans="1:11" x14ac:dyDescent="0.25">
      <c r="A4673" t="str">
        <f>"5893"</f>
        <v>5893</v>
      </c>
      <c r="B4673" t="str">
        <f t="shared" si="303"/>
        <v>1</v>
      </c>
      <c r="C4673" t="str">
        <f t="shared" si="305"/>
        <v>258</v>
      </c>
      <c r="D4673" t="str">
        <f>"6"</f>
        <v>6</v>
      </c>
      <c r="E4673" t="str">
        <f>"1-258-6"</f>
        <v>1-258-6</v>
      </c>
      <c r="F4673" t="s">
        <v>15</v>
      </c>
      <c r="G4673" t="s">
        <v>16</v>
      </c>
      <c r="H4673" t="s">
        <v>17</v>
      </c>
      <c r="I4673">
        <v>1</v>
      </c>
      <c r="J4673">
        <v>0</v>
      </c>
      <c r="K4673">
        <v>0</v>
      </c>
    </row>
    <row r="4674" spans="1:11" x14ac:dyDescent="0.25">
      <c r="A4674" t="str">
        <f>"5894"</f>
        <v>5894</v>
      </c>
      <c r="B4674" t="str">
        <f t="shared" si="303"/>
        <v>1</v>
      </c>
      <c r="C4674" t="str">
        <f t="shared" si="305"/>
        <v>258</v>
      </c>
      <c r="D4674" t="str">
        <f>"11"</f>
        <v>11</v>
      </c>
      <c r="E4674" t="str">
        <f>"1-258-11"</f>
        <v>1-258-11</v>
      </c>
      <c r="F4674" t="s">
        <v>15</v>
      </c>
      <c r="G4674" t="s">
        <v>18</v>
      </c>
      <c r="H4674" t="s">
        <v>19</v>
      </c>
      <c r="I4674">
        <v>0</v>
      </c>
      <c r="J4674">
        <v>0</v>
      </c>
      <c r="K4674">
        <v>1</v>
      </c>
    </row>
    <row r="4675" spans="1:11" x14ac:dyDescent="0.25">
      <c r="A4675" t="str">
        <f>"5895"</f>
        <v>5895</v>
      </c>
      <c r="B4675" t="str">
        <f t="shared" si="303"/>
        <v>1</v>
      </c>
      <c r="C4675" t="str">
        <f t="shared" si="305"/>
        <v>258</v>
      </c>
      <c r="D4675" t="str">
        <f>"8"</f>
        <v>8</v>
      </c>
      <c r="E4675" t="str">
        <f>"1-258-8"</f>
        <v>1-258-8</v>
      </c>
      <c r="F4675" t="s">
        <v>15</v>
      </c>
      <c r="G4675" t="s">
        <v>18</v>
      </c>
      <c r="H4675" t="s">
        <v>19</v>
      </c>
      <c r="I4675">
        <v>0</v>
      </c>
      <c r="J4675">
        <v>1</v>
      </c>
      <c r="K4675">
        <v>0</v>
      </c>
    </row>
    <row r="4676" spans="1:11" x14ac:dyDescent="0.25">
      <c r="A4676" t="str">
        <f>"5896"</f>
        <v>5896</v>
      </c>
      <c r="B4676" t="str">
        <f t="shared" si="303"/>
        <v>1</v>
      </c>
      <c r="C4676" t="str">
        <f t="shared" si="305"/>
        <v>258</v>
      </c>
      <c r="D4676" t="str">
        <f>"2"</f>
        <v>2</v>
      </c>
      <c r="E4676" t="str">
        <f>"1-258-2"</f>
        <v>1-258-2</v>
      </c>
      <c r="F4676" t="s">
        <v>15</v>
      </c>
      <c r="G4676" t="s">
        <v>16</v>
      </c>
      <c r="H4676" t="s">
        <v>17</v>
      </c>
      <c r="I4676">
        <v>0</v>
      </c>
      <c r="J4676">
        <v>0</v>
      </c>
      <c r="K4676">
        <v>0</v>
      </c>
    </row>
    <row r="4677" spans="1:11" x14ac:dyDescent="0.25">
      <c r="A4677" t="str">
        <f>"5897"</f>
        <v>5897</v>
      </c>
      <c r="B4677" t="str">
        <f t="shared" si="303"/>
        <v>1</v>
      </c>
      <c r="C4677" t="str">
        <f t="shared" ref="C4677:C4697" si="306">"259"</f>
        <v>259</v>
      </c>
      <c r="D4677" t="str">
        <f>"22"</f>
        <v>22</v>
      </c>
      <c r="E4677" t="str">
        <f>"1-259-22"</f>
        <v>1-259-22</v>
      </c>
      <c r="F4677" t="s">
        <v>15</v>
      </c>
      <c r="G4677" t="s">
        <v>18</v>
      </c>
      <c r="H4677" t="s">
        <v>19</v>
      </c>
      <c r="I4677">
        <v>0</v>
      </c>
      <c r="J4677">
        <v>0</v>
      </c>
      <c r="K4677">
        <v>1</v>
      </c>
    </row>
    <row r="4678" spans="1:11" x14ac:dyDescent="0.25">
      <c r="A4678" t="str">
        <f>"5898"</f>
        <v>5898</v>
      </c>
      <c r="B4678" t="str">
        <f t="shared" si="303"/>
        <v>1</v>
      </c>
      <c r="C4678" t="str">
        <f t="shared" si="306"/>
        <v>259</v>
      </c>
      <c r="D4678" t="str">
        <f>"15"</f>
        <v>15</v>
      </c>
      <c r="E4678" t="str">
        <f>"1-259-15"</f>
        <v>1-259-15</v>
      </c>
      <c r="F4678" t="s">
        <v>15</v>
      </c>
      <c r="G4678" t="s">
        <v>18</v>
      </c>
      <c r="H4678" t="s">
        <v>19</v>
      </c>
      <c r="I4678">
        <v>0</v>
      </c>
      <c r="J4678">
        <v>1</v>
      </c>
      <c r="K4678">
        <v>0</v>
      </c>
    </row>
    <row r="4679" spans="1:11" x14ac:dyDescent="0.25">
      <c r="A4679" t="str">
        <f>"5899"</f>
        <v>5899</v>
      </c>
      <c r="B4679" t="str">
        <f t="shared" si="303"/>
        <v>1</v>
      </c>
      <c r="C4679" t="str">
        <f t="shared" si="306"/>
        <v>259</v>
      </c>
      <c r="D4679" t="str">
        <f>"4"</f>
        <v>4</v>
      </c>
      <c r="E4679" t="str">
        <f>"1-259-4"</f>
        <v>1-259-4</v>
      </c>
      <c r="F4679" t="s">
        <v>15</v>
      </c>
      <c r="G4679" t="s">
        <v>18</v>
      </c>
      <c r="H4679" t="s">
        <v>19</v>
      </c>
      <c r="I4679">
        <v>0</v>
      </c>
      <c r="J4679">
        <v>0</v>
      </c>
      <c r="K4679">
        <v>1</v>
      </c>
    </row>
    <row r="4680" spans="1:11" x14ac:dyDescent="0.25">
      <c r="A4680" t="str">
        <f>"5900"</f>
        <v>5900</v>
      </c>
      <c r="B4680" t="str">
        <f t="shared" si="303"/>
        <v>1</v>
      </c>
      <c r="C4680" t="str">
        <f t="shared" si="306"/>
        <v>259</v>
      </c>
      <c r="D4680" t="str">
        <f>"24"</f>
        <v>24</v>
      </c>
      <c r="E4680" t="str">
        <f>"1-259-24"</f>
        <v>1-259-24</v>
      </c>
      <c r="F4680" t="s">
        <v>15</v>
      </c>
      <c r="G4680" t="s">
        <v>18</v>
      </c>
      <c r="H4680" t="s">
        <v>19</v>
      </c>
      <c r="I4680">
        <v>0</v>
      </c>
      <c r="J4680">
        <v>0</v>
      </c>
      <c r="K4680">
        <v>1</v>
      </c>
    </row>
    <row r="4681" spans="1:11" x14ac:dyDescent="0.25">
      <c r="A4681" t="str">
        <f>"5901"</f>
        <v>5901</v>
      </c>
      <c r="B4681" t="str">
        <f t="shared" si="303"/>
        <v>1</v>
      </c>
      <c r="C4681" t="str">
        <f t="shared" si="306"/>
        <v>259</v>
      </c>
      <c r="D4681" t="str">
        <f>"16"</f>
        <v>16</v>
      </c>
      <c r="E4681" t="str">
        <f>"1-259-16"</f>
        <v>1-259-16</v>
      </c>
      <c r="F4681" t="s">
        <v>15</v>
      </c>
      <c r="G4681" t="s">
        <v>18</v>
      </c>
      <c r="H4681" t="s">
        <v>19</v>
      </c>
      <c r="I4681">
        <v>0</v>
      </c>
      <c r="J4681">
        <v>1</v>
      </c>
      <c r="K4681">
        <v>0</v>
      </c>
    </row>
    <row r="4682" spans="1:11" x14ac:dyDescent="0.25">
      <c r="A4682" t="str">
        <f>"5902"</f>
        <v>5902</v>
      </c>
      <c r="B4682" t="str">
        <f t="shared" si="303"/>
        <v>1</v>
      </c>
      <c r="C4682" t="str">
        <f t="shared" si="306"/>
        <v>259</v>
      </c>
      <c r="D4682" t="str">
        <f>"9"</f>
        <v>9</v>
      </c>
      <c r="E4682" t="str">
        <f>"1-259-9"</f>
        <v>1-259-9</v>
      </c>
      <c r="F4682" t="s">
        <v>15</v>
      </c>
      <c r="G4682" t="s">
        <v>18</v>
      </c>
      <c r="H4682" t="s">
        <v>19</v>
      </c>
      <c r="I4682">
        <v>0</v>
      </c>
      <c r="J4682">
        <v>0</v>
      </c>
      <c r="K4682">
        <v>1</v>
      </c>
    </row>
    <row r="4683" spans="1:11" x14ac:dyDescent="0.25">
      <c r="A4683" t="str">
        <f>"5903"</f>
        <v>5903</v>
      </c>
      <c r="B4683" t="str">
        <f t="shared" si="303"/>
        <v>1</v>
      </c>
      <c r="C4683" t="str">
        <f t="shared" si="306"/>
        <v>259</v>
      </c>
      <c r="D4683" t="str">
        <f>"17"</f>
        <v>17</v>
      </c>
      <c r="E4683" t="str">
        <f>"1-259-17"</f>
        <v>1-259-17</v>
      </c>
      <c r="F4683" t="s">
        <v>15</v>
      </c>
      <c r="G4683" t="s">
        <v>18</v>
      </c>
      <c r="H4683" t="s">
        <v>19</v>
      </c>
      <c r="I4683">
        <v>0</v>
      </c>
      <c r="J4683">
        <v>0</v>
      </c>
      <c r="K4683">
        <v>1</v>
      </c>
    </row>
    <row r="4684" spans="1:11" x14ac:dyDescent="0.25">
      <c r="A4684" t="str">
        <f>"5906"</f>
        <v>5906</v>
      </c>
      <c r="B4684" t="str">
        <f t="shared" si="303"/>
        <v>1</v>
      </c>
      <c r="C4684" t="str">
        <f t="shared" si="306"/>
        <v>259</v>
      </c>
      <c r="D4684" t="str">
        <f>"7"</f>
        <v>7</v>
      </c>
      <c r="E4684" t="str">
        <f>"1-259-7"</f>
        <v>1-259-7</v>
      </c>
      <c r="F4684" t="s">
        <v>15</v>
      </c>
      <c r="G4684" t="s">
        <v>16</v>
      </c>
      <c r="H4684" t="s">
        <v>17</v>
      </c>
      <c r="I4684">
        <v>0</v>
      </c>
      <c r="J4684">
        <v>1</v>
      </c>
      <c r="K4684">
        <v>0</v>
      </c>
    </row>
    <row r="4685" spans="1:11" x14ac:dyDescent="0.25">
      <c r="A4685" t="str">
        <f>"5909"</f>
        <v>5909</v>
      </c>
      <c r="B4685" t="str">
        <f t="shared" si="303"/>
        <v>1</v>
      </c>
      <c r="C4685" t="str">
        <f t="shared" si="306"/>
        <v>259</v>
      </c>
      <c r="D4685" t="str">
        <f>"21"</f>
        <v>21</v>
      </c>
      <c r="E4685" t="str">
        <f>"1-259-21"</f>
        <v>1-259-21</v>
      </c>
      <c r="F4685" t="s">
        <v>15</v>
      </c>
      <c r="G4685" t="s">
        <v>18</v>
      </c>
      <c r="H4685" t="s">
        <v>19</v>
      </c>
      <c r="I4685">
        <v>1</v>
      </c>
      <c r="J4685">
        <v>0</v>
      </c>
      <c r="K4685">
        <v>0</v>
      </c>
    </row>
    <row r="4686" spans="1:11" x14ac:dyDescent="0.25">
      <c r="A4686" t="str">
        <f>"5910"</f>
        <v>5910</v>
      </c>
      <c r="B4686" t="str">
        <f t="shared" si="303"/>
        <v>1</v>
      </c>
      <c r="C4686" t="str">
        <f t="shared" si="306"/>
        <v>259</v>
      </c>
      <c r="D4686" t="str">
        <f>"6"</f>
        <v>6</v>
      </c>
      <c r="E4686" t="str">
        <f>"1-259-6"</f>
        <v>1-259-6</v>
      </c>
      <c r="F4686" t="s">
        <v>15</v>
      </c>
      <c r="G4686" t="s">
        <v>18</v>
      </c>
      <c r="H4686" t="s">
        <v>19</v>
      </c>
      <c r="I4686">
        <v>1</v>
      </c>
      <c r="J4686">
        <v>0</v>
      </c>
      <c r="K4686">
        <v>0</v>
      </c>
    </row>
    <row r="4687" spans="1:11" x14ac:dyDescent="0.25">
      <c r="A4687" t="str">
        <f>"5911"</f>
        <v>5911</v>
      </c>
      <c r="B4687" t="str">
        <f t="shared" si="303"/>
        <v>1</v>
      </c>
      <c r="C4687" t="str">
        <f t="shared" si="306"/>
        <v>259</v>
      </c>
      <c r="D4687" t="str">
        <f>"23"</f>
        <v>23</v>
      </c>
      <c r="E4687" t="str">
        <f>"1-259-23"</f>
        <v>1-259-23</v>
      </c>
      <c r="F4687" t="s">
        <v>15</v>
      </c>
      <c r="G4687" t="s">
        <v>18</v>
      </c>
      <c r="H4687" t="s">
        <v>19</v>
      </c>
      <c r="I4687">
        <v>1</v>
      </c>
      <c r="J4687">
        <v>0</v>
      </c>
      <c r="K4687">
        <v>0</v>
      </c>
    </row>
    <row r="4688" spans="1:11" x14ac:dyDescent="0.25">
      <c r="A4688" t="str">
        <f>"5912"</f>
        <v>5912</v>
      </c>
      <c r="B4688" t="str">
        <f t="shared" si="303"/>
        <v>1</v>
      </c>
      <c r="C4688" t="str">
        <f t="shared" si="306"/>
        <v>259</v>
      </c>
      <c r="D4688" t="str">
        <f>"13"</f>
        <v>13</v>
      </c>
      <c r="E4688" t="str">
        <f>"1-259-13"</f>
        <v>1-259-13</v>
      </c>
      <c r="F4688" t="s">
        <v>15</v>
      </c>
      <c r="G4688" t="s">
        <v>18</v>
      </c>
      <c r="H4688" t="s">
        <v>19</v>
      </c>
      <c r="I4688">
        <v>0</v>
      </c>
      <c r="J4688">
        <v>0</v>
      </c>
      <c r="K4688">
        <v>1</v>
      </c>
    </row>
    <row r="4689" spans="1:11" x14ac:dyDescent="0.25">
      <c r="A4689" t="str">
        <f>"5913"</f>
        <v>5913</v>
      </c>
      <c r="B4689" t="str">
        <f t="shared" si="303"/>
        <v>1</v>
      </c>
      <c r="C4689" t="str">
        <f t="shared" si="306"/>
        <v>259</v>
      </c>
      <c r="D4689" t="str">
        <f>"25"</f>
        <v>25</v>
      </c>
      <c r="E4689" t="str">
        <f>"1-259-25"</f>
        <v>1-259-25</v>
      </c>
      <c r="F4689" t="s">
        <v>15</v>
      </c>
      <c r="G4689" t="s">
        <v>18</v>
      </c>
      <c r="H4689" t="s">
        <v>19</v>
      </c>
      <c r="I4689">
        <v>1</v>
      </c>
      <c r="J4689">
        <v>0</v>
      </c>
      <c r="K4689">
        <v>0</v>
      </c>
    </row>
    <row r="4690" spans="1:11" x14ac:dyDescent="0.25">
      <c r="A4690" t="str">
        <f>"5914"</f>
        <v>5914</v>
      </c>
      <c r="B4690" t="str">
        <f t="shared" ref="B4690:B4742" si="307">"1"</f>
        <v>1</v>
      </c>
      <c r="C4690" t="str">
        <f t="shared" si="306"/>
        <v>259</v>
      </c>
      <c r="D4690" t="str">
        <f>"12"</f>
        <v>12</v>
      </c>
      <c r="E4690" t="str">
        <f>"1-259-12"</f>
        <v>1-259-12</v>
      </c>
      <c r="F4690" t="s">
        <v>15</v>
      </c>
      <c r="G4690" t="s">
        <v>18</v>
      </c>
      <c r="H4690" t="s">
        <v>19</v>
      </c>
      <c r="I4690">
        <v>0</v>
      </c>
      <c r="J4690">
        <v>0</v>
      </c>
      <c r="K4690">
        <v>1</v>
      </c>
    </row>
    <row r="4691" spans="1:11" x14ac:dyDescent="0.25">
      <c r="A4691" t="str">
        <f>"5915"</f>
        <v>5915</v>
      </c>
      <c r="B4691" t="str">
        <f t="shared" si="307"/>
        <v>1</v>
      </c>
      <c r="C4691" t="str">
        <f t="shared" si="306"/>
        <v>259</v>
      </c>
      <c r="D4691" t="str">
        <f>"3"</f>
        <v>3</v>
      </c>
      <c r="E4691" t="str">
        <f>"1-259-3"</f>
        <v>1-259-3</v>
      </c>
      <c r="F4691" t="s">
        <v>15</v>
      </c>
      <c r="G4691" t="s">
        <v>18</v>
      </c>
      <c r="H4691" t="s">
        <v>19</v>
      </c>
      <c r="I4691">
        <v>0</v>
      </c>
      <c r="J4691">
        <v>1</v>
      </c>
      <c r="K4691">
        <v>0</v>
      </c>
    </row>
    <row r="4692" spans="1:11" x14ac:dyDescent="0.25">
      <c r="A4692" t="str">
        <f>"5916"</f>
        <v>5916</v>
      </c>
      <c r="B4692" t="str">
        <f t="shared" si="307"/>
        <v>1</v>
      </c>
      <c r="C4692" t="str">
        <f t="shared" si="306"/>
        <v>259</v>
      </c>
      <c r="D4692" t="str">
        <f>"8"</f>
        <v>8</v>
      </c>
      <c r="E4692" t="str">
        <f>"1-259-8"</f>
        <v>1-259-8</v>
      </c>
      <c r="F4692" t="s">
        <v>15</v>
      </c>
      <c r="G4692" t="s">
        <v>18</v>
      </c>
      <c r="H4692" t="s">
        <v>19</v>
      </c>
      <c r="I4692">
        <v>0</v>
      </c>
      <c r="J4692">
        <v>0</v>
      </c>
      <c r="K4692">
        <v>1</v>
      </c>
    </row>
    <row r="4693" spans="1:11" x14ac:dyDescent="0.25">
      <c r="A4693" t="str">
        <f>"5917"</f>
        <v>5917</v>
      </c>
      <c r="B4693" t="str">
        <f t="shared" si="307"/>
        <v>1</v>
      </c>
      <c r="C4693" t="str">
        <f t="shared" si="306"/>
        <v>259</v>
      </c>
      <c r="D4693" t="str">
        <f>"2"</f>
        <v>2</v>
      </c>
      <c r="E4693" t="str">
        <f>"1-259-2"</f>
        <v>1-259-2</v>
      </c>
      <c r="F4693" t="s">
        <v>15</v>
      </c>
      <c r="G4693" t="s">
        <v>18</v>
      </c>
      <c r="H4693" t="s">
        <v>19</v>
      </c>
      <c r="I4693">
        <v>0</v>
      </c>
      <c r="J4693">
        <v>1</v>
      </c>
      <c r="K4693">
        <v>0</v>
      </c>
    </row>
    <row r="4694" spans="1:11" x14ac:dyDescent="0.25">
      <c r="A4694" t="str">
        <f>"5918"</f>
        <v>5918</v>
      </c>
      <c r="B4694" t="str">
        <f t="shared" si="307"/>
        <v>1</v>
      </c>
      <c r="C4694" t="str">
        <f t="shared" si="306"/>
        <v>259</v>
      </c>
      <c r="D4694" t="str">
        <f>"11"</f>
        <v>11</v>
      </c>
      <c r="E4694" t="str">
        <f>"1-259-11"</f>
        <v>1-259-11</v>
      </c>
      <c r="F4694" t="s">
        <v>15</v>
      </c>
      <c r="G4694" t="s">
        <v>18</v>
      </c>
      <c r="H4694" t="s">
        <v>19</v>
      </c>
      <c r="I4694">
        <v>0</v>
      </c>
      <c r="J4694">
        <v>1</v>
      </c>
      <c r="K4694">
        <v>0</v>
      </c>
    </row>
    <row r="4695" spans="1:11" x14ac:dyDescent="0.25">
      <c r="A4695" t="str">
        <f>"5919"</f>
        <v>5919</v>
      </c>
      <c r="B4695" t="str">
        <f t="shared" si="307"/>
        <v>1</v>
      </c>
      <c r="C4695" t="str">
        <f t="shared" si="306"/>
        <v>259</v>
      </c>
      <c r="D4695" t="str">
        <f>"1"</f>
        <v>1</v>
      </c>
      <c r="E4695" t="str">
        <f>"1-259-1"</f>
        <v>1-259-1</v>
      </c>
      <c r="F4695" t="s">
        <v>15</v>
      </c>
      <c r="G4695" t="s">
        <v>18</v>
      </c>
      <c r="H4695" t="s">
        <v>19</v>
      </c>
      <c r="I4695">
        <v>0</v>
      </c>
      <c r="J4695">
        <v>0</v>
      </c>
      <c r="K4695">
        <v>1</v>
      </c>
    </row>
    <row r="4696" spans="1:11" x14ac:dyDescent="0.25">
      <c r="A4696" t="str">
        <f>"5920"</f>
        <v>5920</v>
      </c>
      <c r="B4696" t="str">
        <f t="shared" si="307"/>
        <v>1</v>
      </c>
      <c r="C4696" t="str">
        <f t="shared" si="306"/>
        <v>259</v>
      </c>
      <c r="D4696" t="str">
        <f>"5"</f>
        <v>5</v>
      </c>
      <c r="E4696" t="str">
        <f>"1-259-5"</f>
        <v>1-259-5</v>
      </c>
      <c r="F4696" t="s">
        <v>15</v>
      </c>
      <c r="G4696" t="s">
        <v>18</v>
      </c>
      <c r="H4696" t="s">
        <v>19</v>
      </c>
      <c r="I4696">
        <v>0</v>
      </c>
      <c r="J4696">
        <v>0</v>
      </c>
      <c r="K4696">
        <v>0</v>
      </c>
    </row>
    <row r="4697" spans="1:11" x14ac:dyDescent="0.25">
      <c r="A4697" t="str">
        <f>"5921"</f>
        <v>5921</v>
      </c>
      <c r="B4697" t="str">
        <f t="shared" si="307"/>
        <v>1</v>
      </c>
      <c r="C4697" t="str">
        <f t="shared" si="306"/>
        <v>259</v>
      </c>
      <c r="D4697" t="str">
        <f>"20"</f>
        <v>20</v>
      </c>
      <c r="E4697" t="str">
        <f>"1-259-20"</f>
        <v>1-259-20</v>
      </c>
      <c r="F4697" t="s">
        <v>15</v>
      </c>
      <c r="G4697" t="s">
        <v>18</v>
      </c>
      <c r="H4697" t="s">
        <v>19</v>
      </c>
      <c r="I4697">
        <v>0</v>
      </c>
      <c r="J4697">
        <v>0</v>
      </c>
      <c r="K4697">
        <v>0</v>
      </c>
    </row>
    <row r="4698" spans="1:11" x14ac:dyDescent="0.25">
      <c r="A4698" t="str">
        <f>"5922"</f>
        <v>5922</v>
      </c>
      <c r="B4698" t="str">
        <f t="shared" si="307"/>
        <v>1</v>
      </c>
      <c r="C4698" t="str">
        <f t="shared" ref="C4698:C4720" si="308">"260"</f>
        <v>260</v>
      </c>
      <c r="D4698" t="str">
        <f>"15"</f>
        <v>15</v>
      </c>
      <c r="E4698" t="str">
        <f>"1-260-15"</f>
        <v>1-260-15</v>
      </c>
      <c r="F4698" t="s">
        <v>15</v>
      </c>
      <c r="G4698" t="s">
        <v>20</v>
      </c>
      <c r="H4698" t="s">
        <v>21</v>
      </c>
      <c r="I4698">
        <v>0</v>
      </c>
      <c r="J4698">
        <v>1</v>
      </c>
      <c r="K4698">
        <v>0</v>
      </c>
    </row>
    <row r="4699" spans="1:11" x14ac:dyDescent="0.25">
      <c r="A4699" t="str">
        <f>"5923"</f>
        <v>5923</v>
      </c>
      <c r="B4699" t="str">
        <f t="shared" si="307"/>
        <v>1</v>
      </c>
      <c r="C4699" t="str">
        <f t="shared" si="308"/>
        <v>260</v>
      </c>
      <c r="D4699" t="str">
        <f>"22"</f>
        <v>22</v>
      </c>
      <c r="E4699" t="str">
        <f>"1-260-22"</f>
        <v>1-260-22</v>
      </c>
      <c r="F4699" t="s">
        <v>15</v>
      </c>
      <c r="G4699" t="s">
        <v>20</v>
      </c>
      <c r="H4699" t="s">
        <v>21</v>
      </c>
      <c r="I4699">
        <v>0</v>
      </c>
      <c r="J4699">
        <v>0</v>
      </c>
      <c r="K4699">
        <v>1</v>
      </c>
    </row>
    <row r="4700" spans="1:11" x14ac:dyDescent="0.25">
      <c r="A4700" t="str">
        <f>"5924"</f>
        <v>5924</v>
      </c>
      <c r="B4700" t="str">
        <f t="shared" si="307"/>
        <v>1</v>
      </c>
      <c r="C4700" t="str">
        <f t="shared" si="308"/>
        <v>260</v>
      </c>
      <c r="D4700" t="str">
        <f>"18"</f>
        <v>18</v>
      </c>
      <c r="E4700" t="str">
        <f>"1-260-18"</f>
        <v>1-260-18</v>
      </c>
      <c r="F4700" t="s">
        <v>15</v>
      </c>
      <c r="G4700" t="s">
        <v>20</v>
      </c>
      <c r="H4700" t="s">
        <v>21</v>
      </c>
      <c r="I4700">
        <v>1</v>
      </c>
      <c r="J4700">
        <v>0</v>
      </c>
      <c r="K4700">
        <v>0</v>
      </c>
    </row>
    <row r="4701" spans="1:11" x14ac:dyDescent="0.25">
      <c r="A4701" t="str">
        <f>"5926"</f>
        <v>5926</v>
      </c>
      <c r="B4701" t="str">
        <f t="shared" si="307"/>
        <v>1</v>
      </c>
      <c r="C4701" t="str">
        <f t="shared" si="308"/>
        <v>260</v>
      </c>
      <c r="D4701" t="str">
        <f>"19"</f>
        <v>19</v>
      </c>
      <c r="E4701" t="str">
        <f>"1-260-19"</f>
        <v>1-260-19</v>
      </c>
      <c r="F4701" t="s">
        <v>15</v>
      </c>
      <c r="G4701" t="s">
        <v>20</v>
      </c>
      <c r="H4701" t="s">
        <v>21</v>
      </c>
      <c r="I4701">
        <v>1</v>
      </c>
      <c r="J4701">
        <v>0</v>
      </c>
      <c r="K4701">
        <v>0</v>
      </c>
    </row>
    <row r="4702" spans="1:11" x14ac:dyDescent="0.25">
      <c r="A4702" t="str">
        <f>"5927"</f>
        <v>5927</v>
      </c>
      <c r="B4702" t="str">
        <f t="shared" si="307"/>
        <v>1</v>
      </c>
      <c r="C4702" t="str">
        <f t="shared" si="308"/>
        <v>260</v>
      </c>
      <c r="D4702" t="str">
        <f>"7"</f>
        <v>7</v>
      </c>
      <c r="E4702" t="str">
        <f>"1-260-7"</f>
        <v>1-260-7</v>
      </c>
      <c r="F4702" t="s">
        <v>15</v>
      </c>
      <c r="G4702" t="s">
        <v>20</v>
      </c>
      <c r="H4702" t="s">
        <v>21</v>
      </c>
      <c r="I4702">
        <v>0</v>
      </c>
      <c r="J4702">
        <v>0</v>
      </c>
      <c r="K4702">
        <v>1</v>
      </c>
    </row>
    <row r="4703" spans="1:11" x14ac:dyDescent="0.25">
      <c r="A4703" t="str">
        <f>"5929"</f>
        <v>5929</v>
      </c>
      <c r="B4703" t="str">
        <f t="shared" si="307"/>
        <v>1</v>
      </c>
      <c r="C4703" t="str">
        <f t="shared" si="308"/>
        <v>260</v>
      </c>
      <c r="D4703" t="str">
        <f>"1"</f>
        <v>1</v>
      </c>
      <c r="E4703" t="str">
        <f>"1-260-1"</f>
        <v>1-260-1</v>
      </c>
      <c r="F4703" t="s">
        <v>15</v>
      </c>
      <c r="G4703" t="s">
        <v>20</v>
      </c>
      <c r="H4703" t="s">
        <v>21</v>
      </c>
      <c r="I4703">
        <v>0</v>
      </c>
      <c r="J4703">
        <v>1</v>
      </c>
      <c r="K4703">
        <v>0</v>
      </c>
    </row>
    <row r="4704" spans="1:11" x14ac:dyDescent="0.25">
      <c r="A4704" t="str">
        <f>"5930"</f>
        <v>5930</v>
      </c>
      <c r="B4704" t="str">
        <f t="shared" si="307"/>
        <v>1</v>
      </c>
      <c r="C4704" t="str">
        <f t="shared" si="308"/>
        <v>260</v>
      </c>
      <c r="D4704" t="str">
        <f>"21"</f>
        <v>21</v>
      </c>
      <c r="E4704" t="str">
        <f>"1-260-21"</f>
        <v>1-260-21</v>
      </c>
      <c r="F4704" t="s">
        <v>15</v>
      </c>
      <c r="G4704" t="s">
        <v>20</v>
      </c>
      <c r="H4704" t="s">
        <v>21</v>
      </c>
      <c r="I4704">
        <v>1</v>
      </c>
      <c r="J4704">
        <v>0</v>
      </c>
      <c r="K4704">
        <v>0</v>
      </c>
    </row>
    <row r="4705" spans="1:11" x14ac:dyDescent="0.25">
      <c r="A4705" t="str">
        <f>"5931"</f>
        <v>5931</v>
      </c>
      <c r="B4705" t="str">
        <f t="shared" si="307"/>
        <v>1</v>
      </c>
      <c r="C4705" t="str">
        <f t="shared" si="308"/>
        <v>260</v>
      </c>
      <c r="D4705" t="str">
        <f>"6"</f>
        <v>6</v>
      </c>
      <c r="E4705" t="str">
        <f>"1-260-6"</f>
        <v>1-260-6</v>
      </c>
      <c r="F4705" t="s">
        <v>15</v>
      </c>
      <c r="G4705" t="s">
        <v>20</v>
      </c>
      <c r="H4705" t="s">
        <v>21</v>
      </c>
      <c r="I4705">
        <v>0</v>
      </c>
      <c r="J4705">
        <v>0</v>
      </c>
      <c r="K4705">
        <v>1</v>
      </c>
    </row>
    <row r="4706" spans="1:11" x14ac:dyDescent="0.25">
      <c r="A4706" t="str">
        <f>"5932"</f>
        <v>5932</v>
      </c>
      <c r="B4706" t="str">
        <f t="shared" si="307"/>
        <v>1</v>
      </c>
      <c r="C4706" t="str">
        <f t="shared" si="308"/>
        <v>260</v>
      </c>
      <c r="D4706" t="str">
        <f>"23"</f>
        <v>23</v>
      </c>
      <c r="E4706" t="str">
        <f>"1-260-23"</f>
        <v>1-260-23</v>
      </c>
      <c r="F4706" t="s">
        <v>15</v>
      </c>
      <c r="G4706" t="s">
        <v>20</v>
      </c>
      <c r="H4706" t="s">
        <v>21</v>
      </c>
      <c r="I4706">
        <v>0</v>
      </c>
      <c r="J4706">
        <v>0</v>
      </c>
      <c r="K4706">
        <v>1</v>
      </c>
    </row>
    <row r="4707" spans="1:11" x14ac:dyDescent="0.25">
      <c r="A4707" t="str">
        <f>"5933"</f>
        <v>5933</v>
      </c>
      <c r="B4707" t="str">
        <f t="shared" si="307"/>
        <v>1</v>
      </c>
      <c r="C4707" t="str">
        <f t="shared" si="308"/>
        <v>260</v>
      </c>
      <c r="D4707" t="str">
        <f>"14"</f>
        <v>14</v>
      </c>
      <c r="E4707" t="str">
        <f>"1-260-14"</f>
        <v>1-260-14</v>
      </c>
      <c r="F4707" t="s">
        <v>15</v>
      </c>
      <c r="G4707" t="s">
        <v>20</v>
      </c>
      <c r="H4707" t="s">
        <v>21</v>
      </c>
      <c r="I4707">
        <v>1</v>
      </c>
      <c r="J4707">
        <v>0</v>
      </c>
      <c r="K4707">
        <v>0</v>
      </c>
    </row>
    <row r="4708" spans="1:11" x14ac:dyDescent="0.25">
      <c r="A4708" t="str">
        <f>"5934"</f>
        <v>5934</v>
      </c>
      <c r="B4708" t="str">
        <f t="shared" si="307"/>
        <v>1</v>
      </c>
      <c r="C4708" t="str">
        <f t="shared" si="308"/>
        <v>260</v>
      </c>
      <c r="D4708" t="str">
        <f>"24"</f>
        <v>24</v>
      </c>
      <c r="E4708" t="str">
        <f>"1-260-24"</f>
        <v>1-260-24</v>
      </c>
      <c r="F4708" t="s">
        <v>15</v>
      </c>
      <c r="G4708" t="s">
        <v>20</v>
      </c>
      <c r="H4708" t="s">
        <v>21</v>
      </c>
      <c r="I4708">
        <v>0</v>
      </c>
      <c r="J4708">
        <v>0</v>
      </c>
      <c r="K4708">
        <v>1</v>
      </c>
    </row>
    <row r="4709" spans="1:11" x14ac:dyDescent="0.25">
      <c r="A4709" t="str">
        <f>"5935"</f>
        <v>5935</v>
      </c>
      <c r="B4709" t="str">
        <f t="shared" si="307"/>
        <v>1</v>
      </c>
      <c r="C4709" t="str">
        <f t="shared" si="308"/>
        <v>260</v>
      </c>
      <c r="D4709" t="str">
        <f>"9"</f>
        <v>9</v>
      </c>
      <c r="E4709" t="str">
        <f>"1-260-9"</f>
        <v>1-260-9</v>
      </c>
      <c r="F4709" t="s">
        <v>15</v>
      </c>
      <c r="G4709" t="s">
        <v>20</v>
      </c>
      <c r="H4709" t="s">
        <v>21</v>
      </c>
      <c r="I4709">
        <v>0</v>
      </c>
      <c r="J4709">
        <v>0</v>
      </c>
      <c r="K4709">
        <v>1</v>
      </c>
    </row>
    <row r="4710" spans="1:11" x14ac:dyDescent="0.25">
      <c r="A4710" t="str">
        <f>"5936"</f>
        <v>5936</v>
      </c>
      <c r="B4710" t="str">
        <f t="shared" si="307"/>
        <v>1</v>
      </c>
      <c r="C4710" t="str">
        <f t="shared" si="308"/>
        <v>260</v>
      </c>
      <c r="D4710" t="str">
        <f>"25"</f>
        <v>25</v>
      </c>
      <c r="E4710" t="str">
        <f>"1-260-25"</f>
        <v>1-260-25</v>
      </c>
      <c r="F4710" t="s">
        <v>15</v>
      </c>
      <c r="G4710" t="s">
        <v>20</v>
      </c>
      <c r="H4710" t="s">
        <v>21</v>
      </c>
      <c r="I4710">
        <v>0</v>
      </c>
      <c r="J4710">
        <v>0</v>
      </c>
      <c r="K4710">
        <v>1</v>
      </c>
    </row>
    <row r="4711" spans="1:11" x14ac:dyDescent="0.25">
      <c r="A4711" t="str">
        <f>"5937"</f>
        <v>5937</v>
      </c>
      <c r="B4711" t="str">
        <f t="shared" si="307"/>
        <v>1</v>
      </c>
      <c r="C4711" t="str">
        <f t="shared" si="308"/>
        <v>260</v>
      </c>
      <c r="D4711" t="str">
        <f>"10"</f>
        <v>10</v>
      </c>
      <c r="E4711" t="str">
        <f>"1-260-10"</f>
        <v>1-260-10</v>
      </c>
      <c r="F4711" t="s">
        <v>15</v>
      </c>
      <c r="G4711" t="s">
        <v>20</v>
      </c>
      <c r="H4711" t="s">
        <v>21</v>
      </c>
      <c r="I4711">
        <v>0</v>
      </c>
      <c r="J4711">
        <v>0</v>
      </c>
      <c r="K4711">
        <v>1</v>
      </c>
    </row>
    <row r="4712" spans="1:11" x14ac:dyDescent="0.25">
      <c r="A4712" t="str">
        <f>"5938"</f>
        <v>5938</v>
      </c>
      <c r="B4712" t="str">
        <f t="shared" si="307"/>
        <v>1</v>
      </c>
      <c r="C4712" t="str">
        <f t="shared" si="308"/>
        <v>260</v>
      </c>
      <c r="D4712" t="str">
        <f>"12"</f>
        <v>12</v>
      </c>
      <c r="E4712" t="str">
        <f>"1-260-12"</f>
        <v>1-260-12</v>
      </c>
      <c r="F4712" t="s">
        <v>15</v>
      </c>
      <c r="G4712" t="s">
        <v>20</v>
      </c>
      <c r="H4712" t="s">
        <v>21</v>
      </c>
      <c r="I4712">
        <v>1</v>
      </c>
      <c r="J4712">
        <v>0</v>
      </c>
      <c r="K4712">
        <v>0</v>
      </c>
    </row>
    <row r="4713" spans="1:11" x14ac:dyDescent="0.25">
      <c r="A4713" t="str">
        <f>"5939"</f>
        <v>5939</v>
      </c>
      <c r="B4713" t="str">
        <f t="shared" si="307"/>
        <v>1</v>
      </c>
      <c r="C4713" t="str">
        <f t="shared" si="308"/>
        <v>260</v>
      </c>
      <c r="D4713" t="str">
        <f>"2"</f>
        <v>2</v>
      </c>
      <c r="E4713" t="str">
        <f>"1-260-2"</f>
        <v>1-260-2</v>
      </c>
      <c r="F4713" t="s">
        <v>15</v>
      </c>
      <c r="G4713" t="s">
        <v>20</v>
      </c>
      <c r="H4713" t="s">
        <v>21</v>
      </c>
      <c r="I4713">
        <v>0</v>
      </c>
      <c r="J4713">
        <v>0</v>
      </c>
      <c r="K4713">
        <v>1</v>
      </c>
    </row>
    <row r="4714" spans="1:11" x14ac:dyDescent="0.25">
      <c r="A4714" t="str">
        <f>"5940"</f>
        <v>5940</v>
      </c>
      <c r="B4714" t="str">
        <f t="shared" si="307"/>
        <v>1</v>
      </c>
      <c r="C4714" t="str">
        <f t="shared" si="308"/>
        <v>260</v>
      </c>
      <c r="D4714" t="str">
        <f>"13"</f>
        <v>13</v>
      </c>
      <c r="E4714" t="str">
        <f>"1-260-13"</f>
        <v>1-260-13</v>
      </c>
      <c r="F4714" t="s">
        <v>15</v>
      </c>
      <c r="G4714" t="s">
        <v>20</v>
      </c>
      <c r="H4714" t="s">
        <v>21</v>
      </c>
      <c r="I4714">
        <v>0</v>
      </c>
      <c r="J4714">
        <v>0</v>
      </c>
      <c r="K4714">
        <v>1</v>
      </c>
    </row>
    <row r="4715" spans="1:11" x14ac:dyDescent="0.25">
      <c r="A4715" t="str">
        <f>"5941"</f>
        <v>5941</v>
      </c>
      <c r="B4715" t="str">
        <f t="shared" si="307"/>
        <v>1</v>
      </c>
      <c r="C4715" t="str">
        <f t="shared" si="308"/>
        <v>260</v>
      </c>
      <c r="D4715" t="str">
        <f>"3"</f>
        <v>3</v>
      </c>
      <c r="E4715" t="str">
        <f>"1-260-3"</f>
        <v>1-260-3</v>
      </c>
      <c r="F4715" t="s">
        <v>15</v>
      </c>
      <c r="G4715" t="s">
        <v>20</v>
      </c>
      <c r="H4715" t="s">
        <v>21</v>
      </c>
      <c r="I4715">
        <v>0</v>
      </c>
      <c r="J4715">
        <v>0</v>
      </c>
      <c r="K4715">
        <v>1</v>
      </c>
    </row>
    <row r="4716" spans="1:11" x14ac:dyDescent="0.25">
      <c r="A4716" t="str">
        <f>"5942"</f>
        <v>5942</v>
      </c>
      <c r="B4716" t="str">
        <f t="shared" si="307"/>
        <v>1</v>
      </c>
      <c r="C4716" t="str">
        <f t="shared" si="308"/>
        <v>260</v>
      </c>
      <c r="D4716" t="str">
        <f>"11"</f>
        <v>11</v>
      </c>
      <c r="E4716" t="str">
        <f>"1-260-11"</f>
        <v>1-260-11</v>
      </c>
      <c r="F4716" t="s">
        <v>15</v>
      </c>
      <c r="G4716" t="s">
        <v>20</v>
      </c>
      <c r="H4716" t="s">
        <v>21</v>
      </c>
      <c r="I4716">
        <v>1</v>
      </c>
      <c r="J4716">
        <v>0</v>
      </c>
      <c r="K4716">
        <v>0</v>
      </c>
    </row>
    <row r="4717" spans="1:11" x14ac:dyDescent="0.25">
      <c r="A4717" t="str">
        <f>"5943"</f>
        <v>5943</v>
      </c>
      <c r="B4717" t="str">
        <f t="shared" si="307"/>
        <v>1</v>
      </c>
      <c r="C4717" t="str">
        <f t="shared" si="308"/>
        <v>260</v>
      </c>
      <c r="D4717" t="str">
        <f>"5"</f>
        <v>5</v>
      </c>
      <c r="E4717" t="str">
        <f>"1-260-5"</f>
        <v>1-260-5</v>
      </c>
      <c r="F4717" t="s">
        <v>15</v>
      </c>
      <c r="G4717" t="s">
        <v>20</v>
      </c>
      <c r="H4717" t="s">
        <v>21</v>
      </c>
      <c r="I4717">
        <v>0</v>
      </c>
      <c r="J4717">
        <v>0</v>
      </c>
      <c r="K4717">
        <v>0</v>
      </c>
    </row>
    <row r="4718" spans="1:11" x14ac:dyDescent="0.25">
      <c r="A4718" t="str">
        <f>"5944"</f>
        <v>5944</v>
      </c>
      <c r="B4718" t="str">
        <f t="shared" si="307"/>
        <v>1</v>
      </c>
      <c r="C4718" t="str">
        <f t="shared" si="308"/>
        <v>260</v>
      </c>
      <c r="D4718" t="str">
        <f>"16"</f>
        <v>16</v>
      </c>
      <c r="E4718" t="str">
        <f>"1-260-16"</f>
        <v>1-260-16</v>
      </c>
      <c r="F4718" t="s">
        <v>15</v>
      </c>
      <c r="G4718" t="s">
        <v>20</v>
      </c>
      <c r="H4718" t="s">
        <v>21</v>
      </c>
      <c r="I4718">
        <v>0</v>
      </c>
      <c r="J4718">
        <v>0</v>
      </c>
      <c r="K4718">
        <v>0</v>
      </c>
    </row>
    <row r="4719" spans="1:11" x14ac:dyDescent="0.25">
      <c r="A4719" t="str">
        <f>"5945"</f>
        <v>5945</v>
      </c>
      <c r="B4719" t="str">
        <f t="shared" si="307"/>
        <v>1</v>
      </c>
      <c r="C4719" t="str">
        <f t="shared" si="308"/>
        <v>260</v>
      </c>
      <c r="D4719" t="str">
        <f>"4"</f>
        <v>4</v>
      </c>
      <c r="E4719" t="str">
        <f>"1-260-4"</f>
        <v>1-260-4</v>
      </c>
      <c r="F4719" t="s">
        <v>15</v>
      </c>
      <c r="G4719" t="s">
        <v>20</v>
      </c>
      <c r="H4719" t="s">
        <v>21</v>
      </c>
      <c r="I4719">
        <v>0</v>
      </c>
      <c r="J4719">
        <v>0</v>
      </c>
      <c r="K4719">
        <v>0</v>
      </c>
    </row>
    <row r="4720" spans="1:11" x14ac:dyDescent="0.25">
      <c r="A4720" t="str">
        <f>"5946"</f>
        <v>5946</v>
      </c>
      <c r="B4720" t="str">
        <f t="shared" si="307"/>
        <v>1</v>
      </c>
      <c r="C4720" t="str">
        <f t="shared" si="308"/>
        <v>260</v>
      </c>
      <c r="D4720" t="str">
        <f>"17"</f>
        <v>17</v>
      </c>
      <c r="E4720" t="str">
        <f>"1-260-17"</f>
        <v>1-260-17</v>
      </c>
      <c r="F4720" t="s">
        <v>15</v>
      </c>
      <c r="G4720" t="s">
        <v>20</v>
      </c>
      <c r="H4720" t="s">
        <v>21</v>
      </c>
      <c r="I4720">
        <v>0</v>
      </c>
      <c r="J4720">
        <v>0</v>
      </c>
      <c r="K4720">
        <v>0</v>
      </c>
    </row>
    <row r="4721" spans="1:11" x14ac:dyDescent="0.25">
      <c r="A4721" t="str">
        <f>"5947"</f>
        <v>5947</v>
      </c>
      <c r="B4721" t="str">
        <f t="shared" si="307"/>
        <v>1</v>
      </c>
      <c r="C4721" t="str">
        <f t="shared" ref="C4721:C4736" si="309">"261"</f>
        <v>261</v>
      </c>
      <c r="D4721" t="str">
        <f>"15"</f>
        <v>15</v>
      </c>
      <c r="E4721" t="str">
        <f>"1-261-15"</f>
        <v>1-261-15</v>
      </c>
      <c r="F4721" t="s">
        <v>15</v>
      </c>
      <c r="G4721" t="s">
        <v>16</v>
      </c>
      <c r="H4721" t="s">
        <v>17</v>
      </c>
      <c r="I4721">
        <v>0</v>
      </c>
      <c r="J4721">
        <v>0</v>
      </c>
      <c r="K4721">
        <v>1</v>
      </c>
    </row>
    <row r="4722" spans="1:11" x14ac:dyDescent="0.25">
      <c r="A4722" t="str">
        <f>"5949"</f>
        <v>5949</v>
      </c>
      <c r="B4722" t="str">
        <f t="shared" si="307"/>
        <v>1</v>
      </c>
      <c r="C4722" t="str">
        <f t="shared" si="309"/>
        <v>261</v>
      </c>
      <c r="D4722" t="str">
        <f>"21"</f>
        <v>21</v>
      </c>
      <c r="E4722" t="str">
        <f>"1-261-21"</f>
        <v>1-261-21</v>
      </c>
      <c r="F4722" t="s">
        <v>15</v>
      </c>
      <c r="G4722" t="s">
        <v>20</v>
      </c>
      <c r="H4722" t="s">
        <v>21</v>
      </c>
      <c r="I4722">
        <v>0</v>
      </c>
      <c r="J4722">
        <v>0</v>
      </c>
      <c r="K4722">
        <v>1</v>
      </c>
    </row>
    <row r="4723" spans="1:11" x14ac:dyDescent="0.25">
      <c r="A4723" t="str">
        <f>"5951"</f>
        <v>5951</v>
      </c>
      <c r="B4723" t="str">
        <f t="shared" si="307"/>
        <v>1</v>
      </c>
      <c r="C4723" t="str">
        <f t="shared" si="309"/>
        <v>261</v>
      </c>
      <c r="D4723" t="str">
        <f>"3"</f>
        <v>3</v>
      </c>
      <c r="E4723" t="str">
        <f>"1-261-3"</f>
        <v>1-261-3</v>
      </c>
      <c r="F4723" t="s">
        <v>15</v>
      </c>
      <c r="G4723" t="s">
        <v>20</v>
      </c>
      <c r="H4723" t="s">
        <v>21</v>
      </c>
      <c r="I4723">
        <v>1</v>
      </c>
      <c r="J4723">
        <v>0</v>
      </c>
      <c r="K4723">
        <v>0</v>
      </c>
    </row>
    <row r="4724" spans="1:11" x14ac:dyDescent="0.25">
      <c r="A4724" t="str">
        <f>"5952"</f>
        <v>5952</v>
      </c>
      <c r="B4724" t="str">
        <f t="shared" si="307"/>
        <v>1</v>
      </c>
      <c r="C4724" t="str">
        <f t="shared" si="309"/>
        <v>261</v>
      </c>
      <c r="D4724" t="str">
        <f>"17"</f>
        <v>17</v>
      </c>
      <c r="E4724" t="str">
        <f>"1-261-17"</f>
        <v>1-261-17</v>
      </c>
      <c r="F4724" t="s">
        <v>15</v>
      </c>
      <c r="G4724" t="s">
        <v>16</v>
      </c>
      <c r="H4724" t="s">
        <v>17</v>
      </c>
      <c r="I4724">
        <v>0</v>
      </c>
      <c r="J4724">
        <v>0</v>
      </c>
      <c r="K4724">
        <v>1</v>
      </c>
    </row>
    <row r="4725" spans="1:11" x14ac:dyDescent="0.25">
      <c r="A4725" t="str">
        <f>"5953"</f>
        <v>5953</v>
      </c>
      <c r="B4725" t="str">
        <f t="shared" si="307"/>
        <v>1</v>
      </c>
      <c r="C4725" t="str">
        <f t="shared" si="309"/>
        <v>261</v>
      </c>
      <c r="D4725" t="str">
        <f>"11"</f>
        <v>11</v>
      </c>
      <c r="E4725" t="str">
        <f>"1-261-11"</f>
        <v>1-261-11</v>
      </c>
      <c r="F4725" t="s">
        <v>15</v>
      </c>
      <c r="G4725" t="s">
        <v>16</v>
      </c>
      <c r="H4725" t="s">
        <v>17</v>
      </c>
      <c r="I4725">
        <v>0</v>
      </c>
      <c r="J4725">
        <v>0</v>
      </c>
      <c r="K4725">
        <v>1</v>
      </c>
    </row>
    <row r="4726" spans="1:11" x14ac:dyDescent="0.25">
      <c r="A4726" t="str">
        <f>"5956"</f>
        <v>5956</v>
      </c>
      <c r="B4726" t="str">
        <f t="shared" si="307"/>
        <v>1</v>
      </c>
      <c r="C4726" t="str">
        <f t="shared" si="309"/>
        <v>261</v>
      </c>
      <c r="D4726" t="str">
        <f>"19"</f>
        <v>19</v>
      </c>
      <c r="E4726" t="str">
        <f>"1-261-19"</f>
        <v>1-261-19</v>
      </c>
      <c r="F4726" t="s">
        <v>15</v>
      </c>
      <c r="G4726" t="s">
        <v>16</v>
      </c>
      <c r="H4726" t="s">
        <v>17</v>
      </c>
      <c r="I4726">
        <v>1</v>
      </c>
      <c r="J4726">
        <v>0</v>
      </c>
      <c r="K4726">
        <v>0</v>
      </c>
    </row>
    <row r="4727" spans="1:11" x14ac:dyDescent="0.25">
      <c r="A4727" t="str">
        <f>"5957"</f>
        <v>5957</v>
      </c>
      <c r="B4727" t="str">
        <f t="shared" si="307"/>
        <v>1</v>
      </c>
      <c r="C4727" t="str">
        <f t="shared" si="309"/>
        <v>261</v>
      </c>
      <c r="D4727" t="str">
        <f>"10"</f>
        <v>10</v>
      </c>
      <c r="E4727" t="str">
        <f>"1-261-10"</f>
        <v>1-261-10</v>
      </c>
      <c r="F4727" t="s">
        <v>15</v>
      </c>
      <c r="G4727" t="s">
        <v>18</v>
      </c>
      <c r="H4727" t="s">
        <v>19</v>
      </c>
      <c r="I4727">
        <v>0</v>
      </c>
      <c r="J4727">
        <v>1</v>
      </c>
      <c r="K4727">
        <v>0</v>
      </c>
    </row>
    <row r="4728" spans="1:11" x14ac:dyDescent="0.25">
      <c r="A4728" t="str">
        <f>"5958"</f>
        <v>5958</v>
      </c>
      <c r="B4728" t="str">
        <f t="shared" si="307"/>
        <v>1</v>
      </c>
      <c r="C4728" t="str">
        <f t="shared" si="309"/>
        <v>261</v>
      </c>
      <c r="D4728" t="str">
        <f>"20"</f>
        <v>20</v>
      </c>
      <c r="E4728" t="str">
        <f>"1-261-20"</f>
        <v>1-261-20</v>
      </c>
      <c r="F4728" t="s">
        <v>15</v>
      </c>
      <c r="G4728" t="s">
        <v>16</v>
      </c>
      <c r="H4728" t="s">
        <v>17</v>
      </c>
      <c r="I4728">
        <v>0</v>
      </c>
      <c r="J4728">
        <v>1</v>
      </c>
      <c r="K4728">
        <v>0</v>
      </c>
    </row>
    <row r="4729" spans="1:11" x14ac:dyDescent="0.25">
      <c r="A4729" t="str">
        <f>"5961"</f>
        <v>5961</v>
      </c>
      <c r="B4729" t="str">
        <f t="shared" si="307"/>
        <v>1</v>
      </c>
      <c r="C4729" t="str">
        <f t="shared" si="309"/>
        <v>261</v>
      </c>
      <c r="D4729" t="str">
        <f>"13"</f>
        <v>13</v>
      </c>
      <c r="E4729" t="str">
        <f>"1-261-13"</f>
        <v>1-261-13</v>
      </c>
      <c r="F4729" t="s">
        <v>15</v>
      </c>
      <c r="G4729" t="s">
        <v>16</v>
      </c>
      <c r="H4729" t="s">
        <v>17</v>
      </c>
      <c r="I4729">
        <v>0</v>
      </c>
      <c r="J4729">
        <v>1</v>
      </c>
      <c r="K4729">
        <v>0</v>
      </c>
    </row>
    <row r="4730" spans="1:11" x14ac:dyDescent="0.25">
      <c r="A4730" t="str">
        <f>"5962"</f>
        <v>5962</v>
      </c>
      <c r="B4730" t="str">
        <f t="shared" si="307"/>
        <v>1</v>
      </c>
      <c r="C4730" t="str">
        <f t="shared" si="309"/>
        <v>261</v>
      </c>
      <c r="D4730" t="str">
        <f>"14"</f>
        <v>14</v>
      </c>
      <c r="E4730" t="str">
        <f>"1-261-14"</f>
        <v>1-261-14</v>
      </c>
      <c r="F4730" t="s">
        <v>15</v>
      </c>
      <c r="G4730" t="s">
        <v>20</v>
      </c>
      <c r="H4730" t="s">
        <v>21</v>
      </c>
      <c r="I4730">
        <v>1</v>
      </c>
      <c r="J4730">
        <v>0</v>
      </c>
      <c r="K4730">
        <v>0</v>
      </c>
    </row>
    <row r="4731" spans="1:11" x14ac:dyDescent="0.25">
      <c r="A4731" t="str">
        <f>"5963"</f>
        <v>5963</v>
      </c>
      <c r="B4731" t="str">
        <f t="shared" si="307"/>
        <v>1</v>
      </c>
      <c r="C4731" t="str">
        <f t="shared" si="309"/>
        <v>261</v>
      </c>
      <c r="D4731" t="str">
        <f>"8"</f>
        <v>8</v>
      </c>
      <c r="E4731" t="str">
        <f>"1-261-8"</f>
        <v>1-261-8</v>
      </c>
      <c r="F4731" t="s">
        <v>15</v>
      </c>
      <c r="G4731" t="s">
        <v>18</v>
      </c>
      <c r="H4731" t="s">
        <v>19</v>
      </c>
      <c r="I4731">
        <v>0</v>
      </c>
      <c r="J4731">
        <v>1</v>
      </c>
      <c r="K4731">
        <v>0</v>
      </c>
    </row>
    <row r="4732" spans="1:11" x14ac:dyDescent="0.25">
      <c r="A4732" t="str">
        <f>"5964"</f>
        <v>5964</v>
      </c>
      <c r="B4732" t="str">
        <f t="shared" si="307"/>
        <v>1</v>
      </c>
      <c r="C4732" t="str">
        <f t="shared" si="309"/>
        <v>261</v>
      </c>
      <c r="D4732" t="str">
        <f>"12"</f>
        <v>12</v>
      </c>
      <c r="E4732" t="str">
        <f>"1-261-12"</f>
        <v>1-261-12</v>
      </c>
      <c r="F4732" t="s">
        <v>15</v>
      </c>
      <c r="G4732" t="s">
        <v>16</v>
      </c>
      <c r="H4732" t="s">
        <v>17</v>
      </c>
      <c r="I4732">
        <v>1</v>
      </c>
      <c r="J4732">
        <v>0</v>
      </c>
      <c r="K4732">
        <v>0</v>
      </c>
    </row>
    <row r="4733" spans="1:11" x14ac:dyDescent="0.25">
      <c r="A4733" t="str">
        <f>"5965"</f>
        <v>5965</v>
      </c>
      <c r="B4733" t="str">
        <f t="shared" si="307"/>
        <v>1</v>
      </c>
      <c r="C4733" t="str">
        <f t="shared" si="309"/>
        <v>261</v>
      </c>
      <c r="D4733" t="str">
        <f>"6"</f>
        <v>6</v>
      </c>
      <c r="E4733" t="str">
        <f>"1-261-6"</f>
        <v>1-261-6</v>
      </c>
      <c r="F4733" t="s">
        <v>15</v>
      </c>
      <c r="G4733" t="s">
        <v>18</v>
      </c>
      <c r="H4733" t="s">
        <v>19</v>
      </c>
      <c r="I4733">
        <v>0</v>
      </c>
      <c r="J4733">
        <v>1</v>
      </c>
      <c r="K4733">
        <v>0</v>
      </c>
    </row>
    <row r="4734" spans="1:11" x14ac:dyDescent="0.25">
      <c r="A4734" t="str">
        <f>"5966"</f>
        <v>5966</v>
      </c>
      <c r="B4734" t="str">
        <f t="shared" si="307"/>
        <v>1</v>
      </c>
      <c r="C4734" t="str">
        <f t="shared" si="309"/>
        <v>261</v>
      </c>
      <c r="D4734" t="str">
        <f>"2"</f>
        <v>2</v>
      </c>
      <c r="E4734" t="str">
        <f>"1-261-2"</f>
        <v>1-261-2</v>
      </c>
      <c r="F4734" t="s">
        <v>15</v>
      </c>
      <c r="G4734" t="s">
        <v>18</v>
      </c>
      <c r="H4734" t="s">
        <v>19</v>
      </c>
      <c r="I4734">
        <v>0</v>
      </c>
      <c r="J4734">
        <v>1</v>
      </c>
      <c r="K4734">
        <v>0</v>
      </c>
    </row>
    <row r="4735" spans="1:11" x14ac:dyDescent="0.25">
      <c r="A4735" t="str">
        <f>"5967"</f>
        <v>5967</v>
      </c>
      <c r="B4735" t="str">
        <f t="shared" si="307"/>
        <v>1</v>
      </c>
      <c r="C4735" t="str">
        <f t="shared" si="309"/>
        <v>261</v>
      </c>
      <c r="D4735" t="str">
        <f>"4"</f>
        <v>4</v>
      </c>
      <c r="E4735" t="str">
        <f>"1-261-4"</f>
        <v>1-261-4</v>
      </c>
      <c r="F4735" t="s">
        <v>15</v>
      </c>
      <c r="G4735" t="s">
        <v>20</v>
      </c>
      <c r="H4735" t="s">
        <v>21</v>
      </c>
      <c r="I4735">
        <v>0</v>
      </c>
      <c r="J4735">
        <v>0</v>
      </c>
      <c r="K4735">
        <v>0</v>
      </c>
    </row>
    <row r="4736" spans="1:11" x14ac:dyDescent="0.25">
      <c r="A4736" t="str">
        <f>"5968"</f>
        <v>5968</v>
      </c>
      <c r="B4736" t="str">
        <f t="shared" si="307"/>
        <v>1</v>
      </c>
      <c r="C4736" t="str">
        <f t="shared" si="309"/>
        <v>261</v>
      </c>
      <c r="D4736" t="str">
        <f>"7"</f>
        <v>7</v>
      </c>
      <c r="E4736" t="str">
        <f>"1-261-7"</f>
        <v>1-261-7</v>
      </c>
      <c r="F4736" t="s">
        <v>15</v>
      </c>
      <c r="G4736" t="s">
        <v>20</v>
      </c>
      <c r="H4736" t="s">
        <v>21</v>
      </c>
      <c r="I4736">
        <v>0</v>
      </c>
      <c r="J4736">
        <v>0</v>
      </c>
      <c r="K4736">
        <v>0</v>
      </c>
    </row>
    <row r="4737" spans="1:11" x14ac:dyDescent="0.25">
      <c r="A4737" t="str">
        <f>"5969"</f>
        <v>5969</v>
      </c>
      <c r="B4737" t="str">
        <f t="shared" si="307"/>
        <v>1</v>
      </c>
      <c r="C4737" t="str">
        <f t="shared" ref="C4737:C4756" si="310">"262"</f>
        <v>262</v>
      </c>
      <c r="D4737" t="str">
        <f>"1"</f>
        <v>1</v>
      </c>
      <c r="E4737" t="str">
        <f>"1-262-1"</f>
        <v>1-262-1</v>
      </c>
      <c r="F4737" t="s">
        <v>15</v>
      </c>
      <c r="G4737" t="s">
        <v>16</v>
      </c>
      <c r="H4737" t="s">
        <v>17</v>
      </c>
      <c r="I4737">
        <v>0</v>
      </c>
      <c r="J4737">
        <v>0</v>
      </c>
      <c r="K4737">
        <v>1</v>
      </c>
    </row>
    <row r="4738" spans="1:11" x14ac:dyDescent="0.25">
      <c r="A4738" t="str">
        <f>"5970"</f>
        <v>5970</v>
      </c>
      <c r="B4738" t="str">
        <f t="shared" si="307"/>
        <v>1</v>
      </c>
      <c r="C4738" t="str">
        <f t="shared" si="310"/>
        <v>262</v>
      </c>
      <c r="D4738" t="str">
        <f>"16"</f>
        <v>16</v>
      </c>
      <c r="E4738" t="str">
        <f>"1-262-16"</f>
        <v>1-262-16</v>
      </c>
      <c r="F4738" t="s">
        <v>15</v>
      </c>
      <c r="G4738" t="s">
        <v>16</v>
      </c>
      <c r="H4738" t="s">
        <v>17</v>
      </c>
      <c r="I4738">
        <v>1</v>
      </c>
      <c r="J4738">
        <v>0</v>
      </c>
      <c r="K4738">
        <v>0</v>
      </c>
    </row>
    <row r="4739" spans="1:11" x14ac:dyDescent="0.25">
      <c r="A4739" t="str">
        <f>"5971"</f>
        <v>5971</v>
      </c>
      <c r="B4739" t="str">
        <f t="shared" si="307"/>
        <v>1</v>
      </c>
      <c r="C4739" t="str">
        <f t="shared" si="310"/>
        <v>262</v>
      </c>
      <c r="D4739" t="str">
        <f>"8"</f>
        <v>8</v>
      </c>
      <c r="E4739" t="str">
        <f>"1-262-8"</f>
        <v>1-262-8</v>
      </c>
      <c r="F4739" t="s">
        <v>15</v>
      </c>
      <c r="G4739" t="s">
        <v>16</v>
      </c>
      <c r="H4739" t="s">
        <v>17</v>
      </c>
      <c r="I4739">
        <v>1</v>
      </c>
      <c r="J4739">
        <v>0</v>
      </c>
      <c r="K4739">
        <v>0</v>
      </c>
    </row>
    <row r="4740" spans="1:11" x14ac:dyDescent="0.25">
      <c r="A4740" t="str">
        <f>"5972"</f>
        <v>5972</v>
      </c>
      <c r="B4740" t="str">
        <f t="shared" si="307"/>
        <v>1</v>
      </c>
      <c r="C4740" t="str">
        <f t="shared" si="310"/>
        <v>262</v>
      </c>
      <c r="D4740" t="str">
        <f>"17"</f>
        <v>17</v>
      </c>
      <c r="E4740" t="str">
        <f>"1-262-17"</f>
        <v>1-262-17</v>
      </c>
      <c r="F4740" t="s">
        <v>15</v>
      </c>
      <c r="G4740" t="s">
        <v>16</v>
      </c>
      <c r="H4740" t="s">
        <v>17</v>
      </c>
      <c r="I4740">
        <v>0</v>
      </c>
      <c r="J4740">
        <v>1</v>
      </c>
      <c r="K4740">
        <v>0</v>
      </c>
    </row>
    <row r="4741" spans="1:11" x14ac:dyDescent="0.25">
      <c r="A4741" t="str">
        <f>"5974"</f>
        <v>5974</v>
      </c>
      <c r="B4741" t="str">
        <f t="shared" si="307"/>
        <v>1</v>
      </c>
      <c r="C4741" t="str">
        <f t="shared" si="310"/>
        <v>262</v>
      </c>
      <c r="D4741" t="str">
        <f>"18"</f>
        <v>18</v>
      </c>
      <c r="E4741" t="str">
        <f>"1-262-18"</f>
        <v>1-262-18</v>
      </c>
      <c r="F4741" t="s">
        <v>15</v>
      </c>
      <c r="G4741" t="s">
        <v>16</v>
      </c>
      <c r="H4741" t="s">
        <v>17</v>
      </c>
      <c r="I4741">
        <v>1</v>
      </c>
      <c r="J4741">
        <v>0</v>
      </c>
      <c r="K4741">
        <v>0</v>
      </c>
    </row>
    <row r="4742" spans="1:11" x14ac:dyDescent="0.25">
      <c r="A4742" t="str">
        <f>"5976"</f>
        <v>5976</v>
      </c>
      <c r="B4742" t="str">
        <f t="shared" si="307"/>
        <v>1</v>
      </c>
      <c r="C4742" t="str">
        <f t="shared" si="310"/>
        <v>262</v>
      </c>
      <c r="D4742" t="str">
        <f>"19"</f>
        <v>19</v>
      </c>
      <c r="E4742" t="str">
        <f>"1-262-19"</f>
        <v>1-262-19</v>
      </c>
      <c r="F4742" t="s">
        <v>15</v>
      </c>
      <c r="G4742" t="s">
        <v>16</v>
      </c>
      <c r="H4742" t="s">
        <v>17</v>
      </c>
      <c r="I4742">
        <v>0</v>
      </c>
      <c r="J4742">
        <v>0</v>
      </c>
      <c r="K4742">
        <v>1</v>
      </c>
    </row>
    <row r="4743" spans="1:11" x14ac:dyDescent="0.25">
      <c r="A4743" t="str">
        <f>"5978"</f>
        <v>5978</v>
      </c>
      <c r="B4743" t="str">
        <f t="shared" ref="B4743:B4796" si="311">"1"</f>
        <v>1</v>
      </c>
      <c r="C4743" t="str">
        <f t="shared" si="310"/>
        <v>262</v>
      </c>
      <c r="D4743" t="str">
        <f>"20"</f>
        <v>20</v>
      </c>
      <c r="E4743" t="str">
        <f>"1-262-20"</f>
        <v>1-262-20</v>
      </c>
      <c r="F4743" t="s">
        <v>15</v>
      </c>
      <c r="G4743" t="s">
        <v>16</v>
      </c>
      <c r="H4743" t="s">
        <v>17</v>
      </c>
      <c r="I4743">
        <v>0</v>
      </c>
      <c r="J4743">
        <v>0</v>
      </c>
      <c r="K4743">
        <v>1</v>
      </c>
    </row>
    <row r="4744" spans="1:11" x14ac:dyDescent="0.25">
      <c r="A4744" t="str">
        <f>"5980"</f>
        <v>5980</v>
      </c>
      <c r="B4744" t="str">
        <f t="shared" si="311"/>
        <v>1</v>
      </c>
      <c r="C4744" t="str">
        <f t="shared" si="310"/>
        <v>262</v>
      </c>
      <c r="D4744" t="str">
        <f>"21"</f>
        <v>21</v>
      </c>
      <c r="E4744" t="str">
        <f>"1-262-21"</f>
        <v>1-262-21</v>
      </c>
      <c r="F4744" t="s">
        <v>15</v>
      </c>
      <c r="G4744" t="s">
        <v>16</v>
      </c>
      <c r="H4744" t="s">
        <v>17</v>
      </c>
      <c r="I4744">
        <v>0</v>
      </c>
      <c r="J4744">
        <v>0</v>
      </c>
      <c r="K4744">
        <v>1</v>
      </c>
    </row>
    <row r="4745" spans="1:11" x14ac:dyDescent="0.25">
      <c r="A4745" t="str">
        <f>"5982"</f>
        <v>5982</v>
      </c>
      <c r="B4745" t="str">
        <f t="shared" si="311"/>
        <v>1</v>
      </c>
      <c r="C4745" t="str">
        <f t="shared" si="310"/>
        <v>262</v>
      </c>
      <c r="D4745" t="str">
        <f>"22"</f>
        <v>22</v>
      </c>
      <c r="E4745" t="str">
        <f>"1-262-22"</f>
        <v>1-262-22</v>
      </c>
      <c r="F4745" t="s">
        <v>15</v>
      </c>
      <c r="G4745" t="s">
        <v>16</v>
      </c>
      <c r="H4745" t="s">
        <v>17</v>
      </c>
      <c r="I4745">
        <v>1</v>
      </c>
      <c r="J4745">
        <v>0</v>
      </c>
      <c r="K4745">
        <v>0</v>
      </c>
    </row>
    <row r="4746" spans="1:11" x14ac:dyDescent="0.25">
      <c r="A4746" t="str">
        <f>"5983"</f>
        <v>5983</v>
      </c>
      <c r="B4746" t="str">
        <f t="shared" si="311"/>
        <v>1</v>
      </c>
      <c r="C4746" t="str">
        <f t="shared" si="310"/>
        <v>262</v>
      </c>
      <c r="D4746" t="str">
        <f>"9"</f>
        <v>9</v>
      </c>
      <c r="E4746" t="str">
        <f>"1-262-9"</f>
        <v>1-262-9</v>
      </c>
      <c r="F4746" t="s">
        <v>15</v>
      </c>
      <c r="G4746" t="s">
        <v>16</v>
      </c>
      <c r="H4746" t="s">
        <v>17</v>
      </c>
      <c r="I4746">
        <v>0</v>
      </c>
      <c r="J4746">
        <v>1</v>
      </c>
      <c r="K4746">
        <v>0</v>
      </c>
    </row>
    <row r="4747" spans="1:11" x14ac:dyDescent="0.25">
      <c r="A4747" t="str">
        <f>"5984"</f>
        <v>5984</v>
      </c>
      <c r="B4747" t="str">
        <f t="shared" si="311"/>
        <v>1</v>
      </c>
      <c r="C4747" t="str">
        <f t="shared" si="310"/>
        <v>262</v>
      </c>
      <c r="D4747" t="str">
        <f>"23"</f>
        <v>23</v>
      </c>
      <c r="E4747" t="str">
        <f>"1-262-23"</f>
        <v>1-262-23</v>
      </c>
      <c r="F4747" t="s">
        <v>15</v>
      </c>
      <c r="G4747" t="s">
        <v>16</v>
      </c>
      <c r="H4747" t="s">
        <v>17</v>
      </c>
      <c r="I4747">
        <v>0</v>
      </c>
      <c r="J4747">
        <v>0</v>
      </c>
      <c r="K4747">
        <v>1</v>
      </c>
    </row>
    <row r="4748" spans="1:11" x14ac:dyDescent="0.25">
      <c r="A4748" t="str">
        <f>"5985"</f>
        <v>5985</v>
      </c>
      <c r="B4748" t="str">
        <f t="shared" si="311"/>
        <v>1</v>
      </c>
      <c r="C4748" t="str">
        <f t="shared" si="310"/>
        <v>262</v>
      </c>
      <c r="D4748" t="str">
        <f>"6"</f>
        <v>6</v>
      </c>
      <c r="E4748" t="str">
        <f>"1-262-6"</f>
        <v>1-262-6</v>
      </c>
      <c r="F4748" t="s">
        <v>15</v>
      </c>
      <c r="G4748" t="s">
        <v>16</v>
      </c>
      <c r="H4748" t="s">
        <v>17</v>
      </c>
      <c r="I4748">
        <v>0</v>
      </c>
      <c r="J4748">
        <v>1</v>
      </c>
      <c r="K4748">
        <v>0</v>
      </c>
    </row>
    <row r="4749" spans="1:11" x14ac:dyDescent="0.25">
      <c r="A4749" t="str">
        <f>"5986"</f>
        <v>5986</v>
      </c>
      <c r="B4749" t="str">
        <f t="shared" si="311"/>
        <v>1</v>
      </c>
      <c r="C4749" t="str">
        <f t="shared" si="310"/>
        <v>262</v>
      </c>
      <c r="D4749" t="str">
        <f>"24"</f>
        <v>24</v>
      </c>
      <c r="E4749" t="str">
        <f>"1-262-24"</f>
        <v>1-262-24</v>
      </c>
      <c r="F4749" t="s">
        <v>15</v>
      </c>
      <c r="G4749" t="s">
        <v>16</v>
      </c>
      <c r="H4749" t="s">
        <v>17</v>
      </c>
      <c r="I4749">
        <v>1</v>
      </c>
      <c r="J4749">
        <v>0</v>
      </c>
      <c r="K4749">
        <v>0</v>
      </c>
    </row>
    <row r="4750" spans="1:11" x14ac:dyDescent="0.25">
      <c r="A4750" t="str">
        <f>"5987"</f>
        <v>5987</v>
      </c>
      <c r="B4750" t="str">
        <f t="shared" si="311"/>
        <v>1</v>
      </c>
      <c r="C4750" t="str">
        <f t="shared" si="310"/>
        <v>262</v>
      </c>
      <c r="D4750" t="str">
        <f>"2"</f>
        <v>2</v>
      </c>
      <c r="E4750" t="str">
        <f>"1-262-2"</f>
        <v>1-262-2</v>
      </c>
      <c r="F4750" t="s">
        <v>15</v>
      </c>
      <c r="G4750" t="s">
        <v>16</v>
      </c>
      <c r="H4750" t="s">
        <v>17</v>
      </c>
      <c r="I4750">
        <v>0</v>
      </c>
      <c r="J4750">
        <v>1</v>
      </c>
      <c r="K4750">
        <v>0</v>
      </c>
    </row>
    <row r="4751" spans="1:11" x14ac:dyDescent="0.25">
      <c r="A4751" t="str">
        <f>"5988"</f>
        <v>5988</v>
      </c>
      <c r="B4751" t="str">
        <f t="shared" si="311"/>
        <v>1</v>
      </c>
      <c r="C4751" t="str">
        <f t="shared" si="310"/>
        <v>262</v>
      </c>
      <c r="D4751" t="str">
        <f>"25"</f>
        <v>25</v>
      </c>
      <c r="E4751" t="str">
        <f>"1-262-25"</f>
        <v>1-262-25</v>
      </c>
      <c r="F4751" t="s">
        <v>15</v>
      </c>
      <c r="G4751" t="s">
        <v>16</v>
      </c>
      <c r="H4751" t="s">
        <v>17</v>
      </c>
      <c r="I4751">
        <v>1</v>
      </c>
      <c r="J4751">
        <v>0</v>
      </c>
      <c r="K4751">
        <v>0</v>
      </c>
    </row>
    <row r="4752" spans="1:11" x14ac:dyDescent="0.25">
      <c r="A4752" t="str">
        <f>"5989"</f>
        <v>5989</v>
      </c>
      <c r="B4752" t="str">
        <f t="shared" si="311"/>
        <v>1</v>
      </c>
      <c r="C4752" t="str">
        <f t="shared" si="310"/>
        <v>262</v>
      </c>
      <c r="D4752" t="str">
        <f>"5"</f>
        <v>5</v>
      </c>
      <c r="E4752" t="str">
        <f>"1-262-5"</f>
        <v>1-262-5</v>
      </c>
      <c r="F4752" t="s">
        <v>15</v>
      </c>
      <c r="G4752" t="s">
        <v>16</v>
      </c>
      <c r="H4752" t="s">
        <v>17</v>
      </c>
      <c r="I4752">
        <v>0</v>
      </c>
      <c r="J4752">
        <v>1</v>
      </c>
      <c r="K4752">
        <v>0</v>
      </c>
    </row>
    <row r="4753" spans="1:11" x14ac:dyDescent="0.25">
      <c r="A4753" t="str">
        <f>"5990"</f>
        <v>5990</v>
      </c>
      <c r="B4753" t="str">
        <f t="shared" si="311"/>
        <v>1</v>
      </c>
      <c r="C4753" t="str">
        <f t="shared" si="310"/>
        <v>262</v>
      </c>
      <c r="D4753" t="str">
        <f>"14"</f>
        <v>14</v>
      </c>
      <c r="E4753" t="str">
        <f>"1-262-14"</f>
        <v>1-262-14</v>
      </c>
      <c r="F4753" t="s">
        <v>15</v>
      </c>
      <c r="G4753" t="s">
        <v>18</v>
      </c>
      <c r="H4753" t="s">
        <v>19</v>
      </c>
      <c r="I4753">
        <v>0</v>
      </c>
      <c r="J4753">
        <v>0</v>
      </c>
      <c r="K4753">
        <v>1</v>
      </c>
    </row>
    <row r="4754" spans="1:11" x14ac:dyDescent="0.25">
      <c r="A4754" t="str">
        <f>"5991"</f>
        <v>5991</v>
      </c>
      <c r="B4754" t="str">
        <f t="shared" si="311"/>
        <v>1</v>
      </c>
      <c r="C4754" t="str">
        <f t="shared" si="310"/>
        <v>262</v>
      </c>
      <c r="D4754" t="str">
        <f>"12"</f>
        <v>12</v>
      </c>
      <c r="E4754" t="str">
        <f>"1-262-12"</f>
        <v>1-262-12</v>
      </c>
      <c r="F4754" t="s">
        <v>15</v>
      </c>
      <c r="G4754" t="s">
        <v>16</v>
      </c>
      <c r="H4754" t="s">
        <v>17</v>
      </c>
      <c r="I4754">
        <v>1</v>
      </c>
      <c r="J4754">
        <v>0</v>
      </c>
      <c r="K4754">
        <v>0</v>
      </c>
    </row>
    <row r="4755" spans="1:11" x14ac:dyDescent="0.25">
      <c r="A4755" t="str">
        <f>"5992"</f>
        <v>5992</v>
      </c>
      <c r="B4755" t="str">
        <f t="shared" si="311"/>
        <v>1</v>
      </c>
      <c r="C4755" t="str">
        <f t="shared" si="310"/>
        <v>262</v>
      </c>
      <c r="D4755" t="str">
        <f>"7"</f>
        <v>7</v>
      </c>
      <c r="E4755" t="str">
        <f>"1-262-7"</f>
        <v>1-262-7</v>
      </c>
      <c r="F4755" t="s">
        <v>15</v>
      </c>
      <c r="G4755" t="s">
        <v>16</v>
      </c>
      <c r="H4755" t="s">
        <v>17</v>
      </c>
      <c r="I4755">
        <v>0</v>
      </c>
      <c r="J4755">
        <v>0</v>
      </c>
      <c r="K4755">
        <v>0</v>
      </c>
    </row>
    <row r="4756" spans="1:11" x14ac:dyDescent="0.25">
      <c r="A4756" t="str">
        <f>"5993"</f>
        <v>5993</v>
      </c>
      <c r="B4756" t="str">
        <f t="shared" si="311"/>
        <v>1</v>
      </c>
      <c r="C4756" t="str">
        <f t="shared" si="310"/>
        <v>262</v>
      </c>
      <c r="D4756" t="str">
        <f>"15"</f>
        <v>15</v>
      </c>
      <c r="E4756" t="str">
        <f>"1-262-15"</f>
        <v>1-262-15</v>
      </c>
      <c r="F4756" t="s">
        <v>15</v>
      </c>
      <c r="G4756" t="s">
        <v>16</v>
      </c>
      <c r="H4756" t="s">
        <v>17</v>
      </c>
      <c r="I4756">
        <v>0</v>
      </c>
      <c r="J4756">
        <v>0</v>
      </c>
      <c r="K4756">
        <v>0</v>
      </c>
    </row>
    <row r="4757" spans="1:11" x14ac:dyDescent="0.25">
      <c r="A4757" t="str">
        <f>"5994"</f>
        <v>5994</v>
      </c>
      <c r="B4757" t="str">
        <f t="shared" si="311"/>
        <v>1</v>
      </c>
      <c r="C4757" t="str">
        <f t="shared" ref="C4757:C4774" si="312">"263"</f>
        <v>263</v>
      </c>
      <c r="D4757" t="str">
        <f>"22"</f>
        <v>22</v>
      </c>
      <c r="E4757" t="str">
        <f>"1-263-22"</f>
        <v>1-263-22</v>
      </c>
      <c r="F4757" t="s">
        <v>15</v>
      </c>
      <c r="G4757" t="s">
        <v>16</v>
      </c>
      <c r="H4757" t="s">
        <v>17</v>
      </c>
      <c r="I4757">
        <v>1</v>
      </c>
      <c r="J4757">
        <v>0</v>
      </c>
      <c r="K4757">
        <v>0</v>
      </c>
    </row>
    <row r="4758" spans="1:11" x14ac:dyDescent="0.25">
      <c r="A4758" t="str">
        <f>"5996"</f>
        <v>5996</v>
      </c>
      <c r="B4758" t="str">
        <f t="shared" si="311"/>
        <v>1</v>
      </c>
      <c r="C4758" t="str">
        <f t="shared" si="312"/>
        <v>263</v>
      </c>
      <c r="D4758" t="str">
        <f>"16"</f>
        <v>16</v>
      </c>
      <c r="E4758" t="str">
        <f>"1-263-16"</f>
        <v>1-263-16</v>
      </c>
      <c r="F4758" t="s">
        <v>15</v>
      </c>
      <c r="G4758" t="s">
        <v>18</v>
      </c>
      <c r="H4758" t="s">
        <v>19</v>
      </c>
      <c r="I4758">
        <v>1</v>
      </c>
      <c r="J4758">
        <v>0</v>
      </c>
      <c r="K4758">
        <v>0</v>
      </c>
    </row>
    <row r="4759" spans="1:11" x14ac:dyDescent="0.25">
      <c r="A4759" t="str">
        <f>"5997"</f>
        <v>5997</v>
      </c>
      <c r="B4759" t="str">
        <f t="shared" si="311"/>
        <v>1</v>
      </c>
      <c r="C4759" t="str">
        <f t="shared" si="312"/>
        <v>263</v>
      </c>
      <c r="D4759" t="str">
        <f>"17"</f>
        <v>17</v>
      </c>
      <c r="E4759" t="str">
        <f>"1-263-17"</f>
        <v>1-263-17</v>
      </c>
      <c r="F4759" t="s">
        <v>15</v>
      </c>
      <c r="G4759" t="s">
        <v>18</v>
      </c>
      <c r="H4759" t="s">
        <v>19</v>
      </c>
      <c r="I4759">
        <v>0</v>
      </c>
      <c r="J4759">
        <v>0</v>
      </c>
      <c r="K4759">
        <v>1</v>
      </c>
    </row>
    <row r="4760" spans="1:11" x14ac:dyDescent="0.25">
      <c r="A4760" t="str">
        <f>"5998"</f>
        <v>5998</v>
      </c>
      <c r="B4760" t="str">
        <f t="shared" si="311"/>
        <v>1</v>
      </c>
      <c r="C4760" t="str">
        <f t="shared" si="312"/>
        <v>263</v>
      </c>
      <c r="D4760" t="str">
        <f>"3"</f>
        <v>3</v>
      </c>
      <c r="E4760" t="str">
        <f>"1-263-3"</f>
        <v>1-263-3</v>
      </c>
      <c r="F4760" t="s">
        <v>15</v>
      </c>
      <c r="G4760" t="s">
        <v>18</v>
      </c>
      <c r="H4760" t="s">
        <v>19</v>
      </c>
      <c r="I4760">
        <v>0</v>
      </c>
      <c r="J4760">
        <v>0</v>
      </c>
      <c r="K4760">
        <v>1</v>
      </c>
    </row>
    <row r="4761" spans="1:11" x14ac:dyDescent="0.25">
      <c r="A4761" t="str">
        <f>"5999"</f>
        <v>5999</v>
      </c>
      <c r="B4761" t="str">
        <f t="shared" si="311"/>
        <v>1</v>
      </c>
      <c r="C4761" t="str">
        <f t="shared" si="312"/>
        <v>263</v>
      </c>
      <c r="D4761" t="str">
        <f>"18"</f>
        <v>18</v>
      </c>
      <c r="E4761" t="str">
        <f>"1-263-18"</f>
        <v>1-263-18</v>
      </c>
      <c r="F4761" t="s">
        <v>15</v>
      </c>
      <c r="G4761" t="s">
        <v>18</v>
      </c>
      <c r="H4761" t="s">
        <v>19</v>
      </c>
      <c r="I4761">
        <v>0</v>
      </c>
      <c r="J4761">
        <v>0</v>
      </c>
      <c r="K4761">
        <v>1</v>
      </c>
    </row>
    <row r="4762" spans="1:11" x14ac:dyDescent="0.25">
      <c r="A4762" t="str">
        <f>"6000"</f>
        <v>6000</v>
      </c>
      <c r="B4762" t="str">
        <f t="shared" si="311"/>
        <v>1</v>
      </c>
      <c r="C4762" t="str">
        <f t="shared" si="312"/>
        <v>263</v>
      </c>
      <c r="D4762" t="str">
        <f>"13"</f>
        <v>13</v>
      </c>
      <c r="E4762" t="str">
        <f>"1-263-13"</f>
        <v>1-263-13</v>
      </c>
      <c r="F4762" t="s">
        <v>15</v>
      </c>
      <c r="G4762" t="s">
        <v>18</v>
      </c>
      <c r="H4762" t="s">
        <v>19</v>
      </c>
      <c r="I4762">
        <v>1</v>
      </c>
      <c r="J4762">
        <v>0</v>
      </c>
      <c r="K4762">
        <v>0</v>
      </c>
    </row>
    <row r="4763" spans="1:11" x14ac:dyDescent="0.25">
      <c r="A4763" t="str">
        <f>"6001"</f>
        <v>6001</v>
      </c>
      <c r="B4763" t="str">
        <f t="shared" si="311"/>
        <v>1</v>
      </c>
      <c r="C4763" t="str">
        <f t="shared" si="312"/>
        <v>263</v>
      </c>
      <c r="D4763" t="str">
        <f>"19"</f>
        <v>19</v>
      </c>
      <c r="E4763" t="str">
        <f>"1-263-19"</f>
        <v>1-263-19</v>
      </c>
      <c r="F4763" t="s">
        <v>15</v>
      </c>
      <c r="G4763" t="s">
        <v>18</v>
      </c>
      <c r="H4763" t="s">
        <v>19</v>
      </c>
      <c r="I4763">
        <v>0</v>
      </c>
      <c r="J4763">
        <v>0</v>
      </c>
      <c r="K4763">
        <v>1</v>
      </c>
    </row>
    <row r="4764" spans="1:11" x14ac:dyDescent="0.25">
      <c r="A4764" t="str">
        <f>"6003"</f>
        <v>6003</v>
      </c>
      <c r="B4764" t="str">
        <f t="shared" si="311"/>
        <v>1</v>
      </c>
      <c r="C4764" t="str">
        <f t="shared" si="312"/>
        <v>263</v>
      </c>
      <c r="D4764" t="str">
        <f>"20"</f>
        <v>20</v>
      </c>
      <c r="E4764" t="str">
        <f>"1-263-20"</f>
        <v>1-263-20</v>
      </c>
      <c r="F4764" t="s">
        <v>15</v>
      </c>
      <c r="G4764" t="s">
        <v>18</v>
      </c>
      <c r="H4764" t="s">
        <v>19</v>
      </c>
      <c r="I4764">
        <v>0</v>
      </c>
      <c r="J4764">
        <v>0</v>
      </c>
      <c r="K4764">
        <v>1</v>
      </c>
    </row>
    <row r="4765" spans="1:11" x14ac:dyDescent="0.25">
      <c r="A4765" t="str">
        <f>"6005"</f>
        <v>6005</v>
      </c>
      <c r="B4765" t="str">
        <f t="shared" si="311"/>
        <v>1</v>
      </c>
      <c r="C4765" t="str">
        <f t="shared" si="312"/>
        <v>263</v>
      </c>
      <c r="D4765" t="str">
        <f>"21"</f>
        <v>21</v>
      </c>
      <c r="E4765" t="str">
        <f>"1-263-21"</f>
        <v>1-263-21</v>
      </c>
      <c r="F4765" t="s">
        <v>15</v>
      </c>
      <c r="G4765" t="s">
        <v>18</v>
      </c>
      <c r="H4765" t="s">
        <v>19</v>
      </c>
      <c r="I4765">
        <v>1</v>
      </c>
      <c r="J4765">
        <v>0</v>
      </c>
      <c r="K4765">
        <v>0</v>
      </c>
    </row>
    <row r="4766" spans="1:11" x14ac:dyDescent="0.25">
      <c r="A4766" t="str">
        <f>"6007"</f>
        <v>6007</v>
      </c>
      <c r="B4766" t="str">
        <f t="shared" si="311"/>
        <v>1</v>
      </c>
      <c r="C4766" t="str">
        <f t="shared" si="312"/>
        <v>263</v>
      </c>
      <c r="D4766" t="str">
        <f>"5"</f>
        <v>5</v>
      </c>
      <c r="E4766" t="str">
        <f>"1-263-5"</f>
        <v>1-263-5</v>
      </c>
      <c r="F4766" t="s">
        <v>15</v>
      </c>
      <c r="G4766" t="s">
        <v>18</v>
      </c>
      <c r="H4766" t="s">
        <v>19</v>
      </c>
      <c r="I4766">
        <v>0</v>
      </c>
      <c r="J4766">
        <v>0</v>
      </c>
      <c r="K4766">
        <v>1</v>
      </c>
    </row>
    <row r="4767" spans="1:11" x14ac:dyDescent="0.25">
      <c r="A4767" t="str">
        <f>"6008"</f>
        <v>6008</v>
      </c>
      <c r="B4767" t="str">
        <f t="shared" si="311"/>
        <v>1</v>
      </c>
      <c r="C4767" t="str">
        <f t="shared" si="312"/>
        <v>263</v>
      </c>
      <c r="D4767" t="str">
        <f>"11"</f>
        <v>11</v>
      </c>
      <c r="E4767" t="str">
        <f>"1-263-11"</f>
        <v>1-263-11</v>
      </c>
      <c r="F4767" t="s">
        <v>15</v>
      </c>
      <c r="G4767" t="s">
        <v>18</v>
      </c>
      <c r="H4767" t="s">
        <v>19</v>
      </c>
      <c r="I4767">
        <v>0</v>
      </c>
      <c r="J4767">
        <v>0</v>
      </c>
      <c r="K4767">
        <v>1</v>
      </c>
    </row>
    <row r="4768" spans="1:11" x14ac:dyDescent="0.25">
      <c r="A4768" t="str">
        <f>"6009"</f>
        <v>6009</v>
      </c>
      <c r="B4768" t="str">
        <f t="shared" si="311"/>
        <v>1</v>
      </c>
      <c r="C4768" t="str">
        <f t="shared" si="312"/>
        <v>263</v>
      </c>
      <c r="D4768" t="str">
        <f>"4"</f>
        <v>4</v>
      </c>
      <c r="E4768" t="str">
        <f>"1-263-4"</f>
        <v>1-263-4</v>
      </c>
      <c r="F4768" t="s">
        <v>15</v>
      </c>
      <c r="G4768" t="s">
        <v>18</v>
      </c>
      <c r="H4768" t="s">
        <v>19</v>
      </c>
      <c r="I4768">
        <v>1</v>
      </c>
      <c r="J4768">
        <v>0</v>
      </c>
      <c r="K4768">
        <v>0</v>
      </c>
    </row>
    <row r="4769" spans="1:11" x14ac:dyDescent="0.25">
      <c r="A4769" t="str">
        <f>"6010"</f>
        <v>6010</v>
      </c>
      <c r="B4769" t="str">
        <f t="shared" si="311"/>
        <v>1</v>
      </c>
      <c r="C4769" t="str">
        <f t="shared" si="312"/>
        <v>263</v>
      </c>
      <c r="D4769" t="str">
        <f>"6"</f>
        <v>6</v>
      </c>
      <c r="E4769" t="str">
        <f>"1-263-6"</f>
        <v>1-263-6</v>
      </c>
      <c r="F4769" t="s">
        <v>15</v>
      </c>
      <c r="G4769" t="s">
        <v>18</v>
      </c>
      <c r="H4769" t="s">
        <v>19</v>
      </c>
      <c r="I4769">
        <v>1</v>
      </c>
      <c r="J4769">
        <v>0</v>
      </c>
      <c r="K4769">
        <v>0</v>
      </c>
    </row>
    <row r="4770" spans="1:11" x14ac:dyDescent="0.25">
      <c r="A4770" t="str">
        <f>"6011"</f>
        <v>6011</v>
      </c>
      <c r="B4770" t="str">
        <f t="shared" si="311"/>
        <v>1</v>
      </c>
      <c r="C4770" t="str">
        <f t="shared" si="312"/>
        <v>263</v>
      </c>
      <c r="D4770" t="str">
        <f>"9"</f>
        <v>9</v>
      </c>
      <c r="E4770" t="str">
        <f>"1-263-9"</f>
        <v>1-263-9</v>
      </c>
      <c r="F4770" t="s">
        <v>15</v>
      </c>
      <c r="G4770" t="s">
        <v>20</v>
      </c>
      <c r="H4770" t="s">
        <v>21</v>
      </c>
      <c r="I4770">
        <v>0</v>
      </c>
      <c r="J4770">
        <v>0</v>
      </c>
      <c r="K4770">
        <v>1</v>
      </c>
    </row>
    <row r="4771" spans="1:11" x14ac:dyDescent="0.25">
      <c r="A4771" t="str">
        <f>"6012"</f>
        <v>6012</v>
      </c>
      <c r="B4771" t="str">
        <f t="shared" si="311"/>
        <v>1</v>
      </c>
      <c r="C4771" t="str">
        <f t="shared" si="312"/>
        <v>263</v>
      </c>
      <c r="D4771" t="str">
        <f>"10"</f>
        <v>10</v>
      </c>
      <c r="E4771" t="str">
        <f>"1-263-10"</f>
        <v>1-263-10</v>
      </c>
      <c r="F4771" t="s">
        <v>15</v>
      </c>
      <c r="G4771" t="s">
        <v>18</v>
      </c>
      <c r="H4771" t="s">
        <v>19</v>
      </c>
      <c r="I4771">
        <v>0</v>
      </c>
      <c r="J4771">
        <v>0</v>
      </c>
      <c r="K4771">
        <v>1</v>
      </c>
    </row>
    <row r="4772" spans="1:11" x14ac:dyDescent="0.25">
      <c r="A4772" t="str">
        <f>"6013"</f>
        <v>6013</v>
      </c>
      <c r="B4772" t="str">
        <f t="shared" si="311"/>
        <v>1</v>
      </c>
      <c r="C4772" t="str">
        <f t="shared" si="312"/>
        <v>263</v>
      </c>
      <c r="D4772" t="str">
        <f>"2"</f>
        <v>2</v>
      </c>
      <c r="E4772" t="str">
        <f>"1-263-2"</f>
        <v>1-263-2</v>
      </c>
      <c r="F4772" t="s">
        <v>15</v>
      </c>
      <c r="G4772" t="s">
        <v>18</v>
      </c>
      <c r="H4772" t="s">
        <v>19</v>
      </c>
      <c r="I4772">
        <v>0</v>
      </c>
      <c r="J4772">
        <v>0</v>
      </c>
      <c r="K4772">
        <v>0</v>
      </c>
    </row>
    <row r="4773" spans="1:11" x14ac:dyDescent="0.25">
      <c r="A4773" t="str">
        <f>"6014"</f>
        <v>6014</v>
      </c>
      <c r="B4773" t="str">
        <f t="shared" si="311"/>
        <v>1</v>
      </c>
      <c r="C4773" t="str">
        <f t="shared" si="312"/>
        <v>263</v>
      </c>
      <c r="D4773" t="str">
        <f>"14"</f>
        <v>14</v>
      </c>
      <c r="E4773" t="str">
        <f>"1-263-14"</f>
        <v>1-263-14</v>
      </c>
      <c r="F4773" t="s">
        <v>15</v>
      </c>
      <c r="G4773" t="s">
        <v>18</v>
      </c>
      <c r="H4773" t="s">
        <v>19</v>
      </c>
      <c r="I4773">
        <v>0</v>
      </c>
      <c r="J4773">
        <v>0</v>
      </c>
      <c r="K4773">
        <v>0</v>
      </c>
    </row>
    <row r="4774" spans="1:11" x14ac:dyDescent="0.25">
      <c r="A4774" t="str">
        <f>"6015"</f>
        <v>6015</v>
      </c>
      <c r="B4774" t="str">
        <f t="shared" si="311"/>
        <v>1</v>
      </c>
      <c r="C4774" t="str">
        <f t="shared" si="312"/>
        <v>263</v>
      </c>
      <c r="D4774" t="str">
        <f>"15"</f>
        <v>15</v>
      </c>
      <c r="E4774" t="str">
        <f>"1-263-15"</f>
        <v>1-263-15</v>
      </c>
      <c r="F4774" t="s">
        <v>15</v>
      </c>
      <c r="G4774" t="s">
        <v>18</v>
      </c>
      <c r="H4774" t="s">
        <v>19</v>
      </c>
      <c r="I4774">
        <v>0</v>
      </c>
      <c r="J4774">
        <v>0</v>
      </c>
      <c r="K4774">
        <v>0</v>
      </c>
    </row>
    <row r="4775" spans="1:11" x14ac:dyDescent="0.25">
      <c r="A4775" t="str">
        <f>"6017"</f>
        <v>6017</v>
      </c>
      <c r="B4775" t="str">
        <f t="shared" si="311"/>
        <v>1</v>
      </c>
      <c r="C4775" t="str">
        <f t="shared" ref="C4775:C4794" si="313">"264"</f>
        <v>264</v>
      </c>
      <c r="D4775" t="str">
        <f>"1"</f>
        <v>1</v>
      </c>
      <c r="E4775" t="str">
        <f>"1-264-1"</f>
        <v>1-264-1</v>
      </c>
      <c r="F4775" t="s">
        <v>15</v>
      </c>
      <c r="G4775" t="s">
        <v>16</v>
      </c>
      <c r="H4775" t="s">
        <v>17</v>
      </c>
      <c r="I4775">
        <v>1</v>
      </c>
      <c r="J4775">
        <v>0</v>
      </c>
      <c r="K4775">
        <v>0</v>
      </c>
    </row>
    <row r="4776" spans="1:11" x14ac:dyDescent="0.25">
      <c r="A4776" t="str">
        <f>"6018"</f>
        <v>6018</v>
      </c>
      <c r="B4776" t="str">
        <f t="shared" si="311"/>
        <v>1</v>
      </c>
      <c r="C4776" t="str">
        <f t="shared" si="313"/>
        <v>264</v>
      </c>
      <c r="D4776" t="str">
        <f>"24"</f>
        <v>24</v>
      </c>
      <c r="E4776" t="str">
        <f>"1-264-24"</f>
        <v>1-264-24</v>
      </c>
      <c r="F4776" t="s">
        <v>15</v>
      </c>
      <c r="G4776" t="s">
        <v>16</v>
      </c>
      <c r="H4776" t="s">
        <v>17</v>
      </c>
      <c r="I4776">
        <v>0</v>
      </c>
      <c r="J4776">
        <v>1</v>
      </c>
      <c r="K4776">
        <v>0</v>
      </c>
    </row>
    <row r="4777" spans="1:11" x14ac:dyDescent="0.25">
      <c r="A4777" t="str">
        <f>"6019"</f>
        <v>6019</v>
      </c>
      <c r="B4777" t="str">
        <f t="shared" si="311"/>
        <v>1</v>
      </c>
      <c r="C4777" t="str">
        <f t="shared" si="313"/>
        <v>264</v>
      </c>
      <c r="D4777" t="str">
        <f>"16"</f>
        <v>16</v>
      </c>
      <c r="E4777" t="str">
        <f>"1-264-16"</f>
        <v>1-264-16</v>
      </c>
      <c r="F4777" t="s">
        <v>15</v>
      </c>
      <c r="G4777" t="s">
        <v>18</v>
      </c>
      <c r="H4777" t="s">
        <v>19</v>
      </c>
      <c r="I4777">
        <v>0</v>
      </c>
      <c r="J4777">
        <v>1</v>
      </c>
      <c r="K4777">
        <v>0</v>
      </c>
    </row>
    <row r="4778" spans="1:11" x14ac:dyDescent="0.25">
      <c r="A4778" t="str">
        <f>"6020"</f>
        <v>6020</v>
      </c>
      <c r="B4778" t="str">
        <f t="shared" si="311"/>
        <v>1</v>
      </c>
      <c r="C4778" t="str">
        <f t="shared" si="313"/>
        <v>264</v>
      </c>
      <c r="D4778" t="str">
        <f>"3"</f>
        <v>3</v>
      </c>
      <c r="E4778" t="str">
        <f>"1-264-3"</f>
        <v>1-264-3</v>
      </c>
      <c r="F4778" t="s">
        <v>15</v>
      </c>
      <c r="G4778" t="s">
        <v>20</v>
      </c>
      <c r="H4778" t="s">
        <v>21</v>
      </c>
      <c r="I4778">
        <v>1</v>
      </c>
      <c r="J4778">
        <v>0</v>
      </c>
      <c r="K4778">
        <v>0</v>
      </c>
    </row>
    <row r="4779" spans="1:11" x14ac:dyDescent="0.25">
      <c r="A4779" t="str">
        <f>"6021"</f>
        <v>6021</v>
      </c>
      <c r="B4779" t="str">
        <f t="shared" si="311"/>
        <v>1</v>
      </c>
      <c r="C4779" t="str">
        <f t="shared" si="313"/>
        <v>264</v>
      </c>
      <c r="D4779" t="str">
        <f>"17"</f>
        <v>17</v>
      </c>
      <c r="E4779" t="str">
        <f>"1-264-17"</f>
        <v>1-264-17</v>
      </c>
      <c r="F4779" t="s">
        <v>15</v>
      </c>
      <c r="G4779" t="s">
        <v>18</v>
      </c>
      <c r="H4779" t="s">
        <v>19</v>
      </c>
      <c r="I4779">
        <v>0</v>
      </c>
      <c r="J4779">
        <v>1</v>
      </c>
      <c r="K4779">
        <v>0</v>
      </c>
    </row>
    <row r="4780" spans="1:11" x14ac:dyDescent="0.25">
      <c r="A4780" t="str">
        <f>"6022"</f>
        <v>6022</v>
      </c>
      <c r="B4780" t="str">
        <f t="shared" si="311"/>
        <v>1</v>
      </c>
      <c r="C4780" t="str">
        <f t="shared" si="313"/>
        <v>264</v>
      </c>
      <c r="D4780" t="str">
        <f>"8"</f>
        <v>8</v>
      </c>
      <c r="E4780" t="str">
        <f>"1-264-8"</f>
        <v>1-264-8</v>
      </c>
      <c r="F4780" t="s">
        <v>15</v>
      </c>
      <c r="G4780" t="s">
        <v>20</v>
      </c>
      <c r="H4780" t="s">
        <v>21</v>
      </c>
      <c r="I4780">
        <v>1</v>
      </c>
      <c r="J4780">
        <v>0</v>
      </c>
      <c r="K4780">
        <v>0</v>
      </c>
    </row>
    <row r="4781" spans="1:11" x14ac:dyDescent="0.25">
      <c r="A4781" t="str">
        <f>"6023"</f>
        <v>6023</v>
      </c>
      <c r="B4781" t="str">
        <f t="shared" si="311"/>
        <v>1</v>
      </c>
      <c r="C4781" t="str">
        <f t="shared" si="313"/>
        <v>264</v>
      </c>
      <c r="D4781" t="str">
        <f>"18"</f>
        <v>18</v>
      </c>
      <c r="E4781" t="str">
        <f>"1-264-18"</f>
        <v>1-264-18</v>
      </c>
      <c r="F4781" t="s">
        <v>15</v>
      </c>
      <c r="G4781" t="s">
        <v>18</v>
      </c>
      <c r="H4781" t="s">
        <v>19</v>
      </c>
      <c r="I4781">
        <v>1</v>
      </c>
      <c r="J4781">
        <v>0</v>
      </c>
      <c r="K4781">
        <v>0</v>
      </c>
    </row>
    <row r="4782" spans="1:11" x14ac:dyDescent="0.25">
      <c r="A4782" t="str">
        <f>"6024"</f>
        <v>6024</v>
      </c>
      <c r="B4782" t="str">
        <f t="shared" si="311"/>
        <v>1</v>
      </c>
      <c r="C4782" t="str">
        <f t="shared" si="313"/>
        <v>264</v>
      </c>
      <c r="D4782" t="str">
        <f>"7"</f>
        <v>7</v>
      </c>
      <c r="E4782" t="str">
        <f>"1-264-7"</f>
        <v>1-264-7</v>
      </c>
      <c r="F4782" t="s">
        <v>15</v>
      </c>
      <c r="G4782" t="s">
        <v>20</v>
      </c>
      <c r="H4782" t="s">
        <v>21</v>
      </c>
      <c r="I4782">
        <v>1</v>
      </c>
      <c r="J4782">
        <v>0</v>
      </c>
      <c r="K4782">
        <v>0</v>
      </c>
    </row>
    <row r="4783" spans="1:11" x14ac:dyDescent="0.25">
      <c r="A4783" t="str">
        <f>"6025"</f>
        <v>6025</v>
      </c>
      <c r="B4783" t="str">
        <f t="shared" si="311"/>
        <v>1</v>
      </c>
      <c r="C4783" t="str">
        <f t="shared" si="313"/>
        <v>264</v>
      </c>
      <c r="D4783" t="str">
        <f>"19"</f>
        <v>19</v>
      </c>
      <c r="E4783" t="str">
        <f>"1-264-19"</f>
        <v>1-264-19</v>
      </c>
      <c r="F4783" t="s">
        <v>15</v>
      </c>
      <c r="G4783" t="s">
        <v>18</v>
      </c>
      <c r="H4783" t="s">
        <v>19</v>
      </c>
      <c r="I4783">
        <v>1</v>
      </c>
      <c r="J4783">
        <v>0</v>
      </c>
      <c r="K4783">
        <v>0</v>
      </c>
    </row>
    <row r="4784" spans="1:11" x14ac:dyDescent="0.25">
      <c r="A4784" t="str">
        <f>"6027"</f>
        <v>6027</v>
      </c>
      <c r="B4784" t="str">
        <f t="shared" si="311"/>
        <v>1</v>
      </c>
      <c r="C4784" t="str">
        <f t="shared" si="313"/>
        <v>264</v>
      </c>
      <c r="D4784" t="str">
        <f>"20"</f>
        <v>20</v>
      </c>
      <c r="E4784" t="str">
        <f>"1-264-20"</f>
        <v>1-264-20</v>
      </c>
      <c r="F4784" t="s">
        <v>15</v>
      </c>
      <c r="G4784" t="s">
        <v>20</v>
      </c>
      <c r="H4784" t="s">
        <v>21</v>
      </c>
      <c r="I4784">
        <v>0</v>
      </c>
      <c r="J4784">
        <v>0</v>
      </c>
      <c r="K4784">
        <v>1</v>
      </c>
    </row>
    <row r="4785" spans="1:11" x14ac:dyDescent="0.25">
      <c r="A4785" t="str">
        <f>"6029"</f>
        <v>6029</v>
      </c>
      <c r="B4785" t="str">
        <f t="shared" si="311"/>
        <v>1</v>
      </c>
      <c r="C4785" t="str">
        <f t="shared" si="313"/>
        <v>264</v>
      </c>
      <c r="D4785" t="str">
        <f>"21"</f>
        <v>21</v>
      </c>
      <c r="E4785" t="str">
        <f>"1-264-21"</f>
        <v>1-264-21</v>
      </c>
      <c r="F4785" t="s">
        <v>15</v>
      </c>
      <c r="G4785" t="s">
        <v>16</v>
      </c>
      <c r="H4785" t="s">
        <v>17</v>
      </c>
      <c r="I4785">
        <v>1</v>
      </c>
      <c r="J4785">
        <v>0</v>
      </c>
      <c r="K4785">
        <v>0</v>
      </c>
    </row>
    <row r="4786" spans="1:11" x14ac:dyDescent="0.25">
      <c r="A4786" t="str">
        <f>"6031"</f>
        <v>6031</v>
      </c>
      <c r="B4786" t="str">
        <f t="shared" si="311"/>
        <v>1</v>
      </c>
      <c r="C4786" t="str">
        <f t="shared" si="313"/>
        <v>264</v>
      </c>
      <c r="D4786" t="str">
        <f>"22"</f>
        <v>22</v>
      </c>
      <c r="E4786" t="str">
        <f>"1-264-22"</f>
        <v>1-264-22</v>
      </c>
      <c r="F4786" t="s">
        <v>15</v>
      </c>
      <c r="G4786" t="s">
        <v>18</v>
      </c>
      <c r="H4786" t="s">
        <v>19</v>
      </c>
      <c r="I4786">
        <v>0</v>
      </c>
      <c r="J4786">
        <v>1</v>
      </c>
      <c r="K4786">
        <v>0</v>
      </c>
    </row>
    <row r="4787" spans="1:11" x14ac:dyDescent="0.25">
      <c r="A4787" t="str">
        <f>"6032"</f>
        <v>6032</v>
      </c>
      <c r="B4787" t="str">
        <f t="shared" si="311"/>
        <v>1</v>
      </c>
      <c r="C4787" t="str">
        <f t="shared" si="313"/>
        <v>264</v>
      </c>
      <c r="D4787" t="str">
        <f>"4"</f>
        <v>4</v>
      </c>
      <c r="E4787" t="str">
        <f>"1-264-4"</f>
        <v>1-264-4</v>
      </c>
      <c r="F4787" t="s">
        <v>15</v>
      </c>
      <c r="G4787" t="s">
        <v>20</v>
      </c>
      <c r="H4787" t="s">
        <v>21</v>
      </c>
      <c r="I4787">
        <v>0</v>
      </c>
      <c r="J4787">
        <v>1</v>
      </c>
      <c r="K4787">
        <v>0</v>
      </c>
    </row>
    <row r="4788" spans="1:11" x14ac:dyDescent="0.25">
      <c r="A4788" t="str">
        <f>"6033"</f>
        <v>6033</v>
      </c>
      <c r="B4788" t="str">
        <f t="shared" si="311"/>
        <v>1</v>
      </c>
      <c r="C4788" t="str">
        <f t="shared" si="313"/>
        <v>264</v>
      </c>
      <c r="D4788" t="str">
        <f>"9"</f>
        <v>9</v>
      </c>
      <c r="E4788" t="str">
        <f>"1-264-9"</f>
        <v>1-264-9</v>
      </c>
      <c r="F4788" t="s">
        <v>15</v>
      </c>
      <c r="G4788" t="s">
        <v>20</v>
      </c>
      <c r="H4788" t="s">
        <v>21</v>
      </c>
      <c r="I4788">
        <v>0</v>
      </c>
      <c r="J4788">
        <v>0</v>
      </c>
      <c r="K4788">
        <v>1</v>
      </c>
    </row>
    <row r="4789" spans="1:11" x14ac:dyDescent="0.25">
      <c r="A4789" t="str">
        <f>"6034"</f>
        <v>6034</v>
      </c>
      <c r="B4789" t="str">
        <f t="shared" si="311"/>
        <v>1</v>
      </c>
      <c r="C4789" t="str">
        <f t="shared" si="313"/>
        <v>264</v>
      </c>
      <c r="D4789" t="str">
        <f>"14"</f>
        <v>14</v>
      </c>
      <c r="E4789" t="str">
        <f>"1-264-14"</f>
        <v>1-264-14</v>
      </c>
      <c r="F4789" t="s">
        <v>15</v>
      </c>
      <c r="G4789" t="s">
        <v>16</v>
      </c>
      <c r="H4789" t="s">
        <v>17</v>
      </c>
      <c r="I4789">
        <v>1</v>
      </c>
      <c r="J4789">
        <v>0</v>
      </c>
      <c r="K4789">
        <v>0</v>
      </c>
    </row>
    <row r="4790" spans="1:11" x14ac:dyDescent="0.25">
      <c r="A4790" t="str">
        <f>"6035"</f>
        <v>6035</v>
      </c>
      <c r="B4790" t="str">
        <f t="shared" si="311"/>
        <v>1</v>
      </c>
      <c r="C4790" t="str">
        <f t="shared" si="313"/>
        <v>264</v>
      </c>
      <c r="D4790" t="str">
        <f>"11"</f>
        <v>11</v>
      </c>
      <c r="E4790" t="str">
        <f>"1-264-11"</f>
        <v>1-264-11</v>
      </c>
      <c r="F4790" t="s">
        <v>15</v>
      </c>
      <c r="G4790" t="s">
        <v>16</v>
      </c>
      <c r="H4790" t="s">
        <v>17</v>
      </c>
      <c r="I4790">
        <v>0</v>
      </c>
      <c r="J4790">
        <v>1</v>
      </c>
      <c r="K4790">
        <v>0</v>
      </c>
    </row>
    <row r="4791" spans="1:11" x14ac:dyDescent="0.25">
      <c r="A4791" t="str">
        <f>"6036"</f>
        <v>6036</v>
      </c>
      <c r="B4791" t="str">
        <f t="shared" si="311"/>
        <v>1</v>
      </c>
      <c r="C4791" t="str">
        <f t="shared" si="313"/>
        <v>264</v>
      </c>
      <c r="D4791" t="str">
        <f>"13"</f>
        <v>13</v>
      </c>
      <c r="E4791" t="str">
        <f>"1-264-13"</f>
        <v>1-264-13</v>
      </c>
      <c r="F4791" t="s">
        <v>15</v>
      </c>
      <c r="G4791" t="s">
        <v>16</v>
      </c>
      <c r="H4791" t="s">
        <v>17</v>
      </c>
      <c r="I4791">
        <v>0</v>
      </c>
      <c r="J4791">
        <v>0</v>
      </c>
      <c r="K4791">
        <v>1</v>
      </c>
    </row>
    <row r="4792" spans="1:11" x14ac:dyDescent="0.25">
      <c r="A4792" t="str">
        <f>"6037"</f>
        <v>6037</v>
      </c>
      <c r="B4792" t="str">
        <f t="shared" si="311"/>
        <v>1</v>
      </c>
      <c r="C4792" t="str">
        <f t="shared" si="313"/>
        <v>264</v>
      </c>
      <c r="D4792" t="str">
        <f>"5"</f>
        <v>5</v>
      </c>
      <c r="E4792" t="str">
        <f>"1-264-5"</f>
        <v>1-264-5</v>
      </c>
      <c r="F4792" t="s">
        <v>15</v>
      </c>
      <c r="G4792" t="s">
        <v>20</v>
      </c>
      <c r="H4792" t="s">
        <v>21</v>
      </c>
      <c r="I4792">
        <v>0</v>
      </c>
      <c r="J4792">
        <v>1</v>
      </c>
      <c r="K4792">
        <v>0</v>
      </c>
    </row>
    <row r="4793" spans="1:11" x14ac:dyDescent="0.25">
      <c r="A4793" t="str">
        <f>"6038"</f>
        <v>6038</v>
      </c>
      <c r="B4793" t="str">
        <f t="shared" si="311"/>
        <v>1</v>
      </c>
      <c r="C4793" t="str">
        <f t="shared" si="313"/>
        <v>264</v>
      </c>
      <c r="D4793" t="str">
        <f>"2"</f>
        <v>2</v>
      </c>
      <c r="E4793" t="str">
        <f>"1-264-2"</f>
        <v>1-264-2</v>
      </c>
      <c r="F4793" t="s">
        <v>15</v>
      </c>
      <c r="G4793" t="s">
        <v>20</v>
      </c>
      <c r="H4793" t="s">
        <v>21</v>
      </c>
      <c r="I4793">
        <v>0</v>
      </c>
      <c r="J4793">
        <v>0</v>
      </c>
      <c r="K4793">
        <v>0</v>
      </c>
    </row>
    <row r="4794" spans="1:11" x14ac:dyDescent="0.25">
      <c r="A4794" t="str">
        <f>"6039"</f>
        <v>6039</v>
      </c>
      <c r="B4794" t="str">
        <f t="shared" si="311"/>
        <v>1</v>
      </c>
      <c r="C4794" t="str">
        <f t="shared" si="313"/>
        <v>264</v>
      </c>
      <c r="D4794" t="str">
        <f>"23"</f>
        <v>23</v>
      </c>
      <c r="E4794" t="str">
        <f>"1-264-23"</f>
        <v>1-264-23</v>
      </c>
      <c r="F4794" t="s">
        <v>15</v>
      </c>
      <c r="G4794" t="s">
        <v>18</v>
      </c>
      <c r="H4794" t="s">
        <v>19</v>
      </c>
      <c r="I4794">
        <v>0</v>
      </c>
      <c r="J4794">
        <v>0</v>
      </c>
      <c r="K4794">
        <v>0</v>
      </c>
    </row>
    <row r="4795" spans="1:11" x14ac:dyDescent="0.25">
      <c r="A4795" t="str">
        <f>"6040"</f>
        <v>6040</v>
      </c>
      <c r="B4795" t="str">
        <f t="shared" si="311"/>
        <v>1</v>
      </c>
      <c r="C4795" t="str">
        <f t="shared" ref="C4795:C4811" si="314">"265"</f>
        <v>265</v>
      </c>
      <c r="D4795" t="str">
        <f>"15"</f>
        <v>15</v>
      </c>
      <c r="E4795" t="str">
        <f>"1-265-15"</f>
        <v>1-265-15</v>
      </c>
      <c r="F4795" t="s">
        <v>15</v>
      </c>
      <c r="G4795" t="s">
        <v>16</v>
      </c>
      <c r="H4795" t="s">
        <v>17</v>
      </c>
      <c r="I4795">
        <v>0</v>
      </c>
      <c r="J4795">
        <v>1</v>
      </c>
      <c r="K4795">
        <v>0</v>
      </c>
    </row>
    <row r="4796" spans="1:11" x14ac:dyDescent="0.25">
      <c r="A4796" t="str">
        <f>"6041"</f>
        <v>6041</v>
      </c>
      <c r="B4796" t="str">
        <f t="shared" si="311"/>
        <v>1</v>
      </c>
      <c r="C4796" t="str">
        <f t="shared" si="314"/>
        <v>265</v>
      </c>
      <c r="D4796" t="str">
        <f>"1"</f>
        <v>1</v>
      </c>
      <c r="E4796" t="str">
        <f>"1-265-1"</f>
        <v>1-265-1</v>
      </c>
      <c r="F4796" t="s">
        <v>15</v>
      </c>
      <c r="G4796" t="s">
        <v>16</v>
      </c>
      <c r="H4796" t="s">
        <v>17</v>
      </c>
      <c r="I4796">
        <v>0</v>
      </c>
      <c r="J4796">
        <v>0</v>
      </c>
      <c r="K4796">
        <v>1</v>
      </c>
    </row>
    <row r="4797" spans="1:11" x14ac:dyDescent="0.25">
      <c r="A4797" t="str">
        <f>"6042"</f>
        <v>6042</v>
      </c>
      <c r="B4797" t="str">
        <f t="shared" ref="B4797:B4854" si="315">"1"</f>
        <v>1</v>
      </c>
      <c r="C4797" t="str">
        <f t="shared" si="314"/>
        <v>265</v>
      </c>
      <c r="D4797" t="str">
        <f>"16"</f>
        <v>16</v>
      </c>
      <c r="E4797" t="str">
        <f>"1-265-16"</f>
        <v>1-265-16</v>
      </c>
      <c r="F4797" t="s">
        <v>15</v>
      </c>
      <c r="G4797" t="s">
        <v>16</v>
      </c>
      <c r="H4797" t="s">
        <v>17</v>
      </c>
      <c r="I4797">
        <v>1</v>
      </c>
      <c r="J4797">
        <v>0</v>
      </c>
      <c r="K4797">
        <v>0</v>
      </c>
    </row>
    <row r="4798" spans="1:11" x14ac:dyDescent="0.25">
      <c r="A4798" t="str">
        <f>"6043"</f>
        <v>6043</v>
      </c>
      <c r="B4798" t="str">
        <f t="shared" si="315"/>
        <v>1</v>
      </c>
      <c r="C4798" t="str">
        <f t="shared" si="314"/>
        <v>265</v>
      </c>
      <c r="D4798" t="str">
        <f>"17"</f>
        <v>17</v>
      </c>
      <c r="E4798" t="str">
        <f>"1-265-17"</f>
        <v>1-265-17</v>
      </c>
      <c r="F4798" t="s">
        <v>15</v>
      </c>
      <c r="G4798" t="s">
        <v>16</v>
      </c>
      <c r="H4798" t="s">
        <v>17</v>
      </c>
      <c r="I4798">
        <v>1</v>
      </c>
      <c r="J4798">
        <v>0</v>
      </c>
      <c r="K4798">
        <v>0</v>
      </c>
    </row>
    <row r="4799" spans="1:11" x14ac:dyDescent="0.25">
      <c r="A4799" t="str">
        <f>"6044"</f>
        <v>6044</v>
      </c>
      <c r="B4799" t="str">
        <f t="shared" si="315"/>
        <v>1</v>
      </c>
      <c r="C4799" t="str">
        <f t="shared" si="314"/>
        <v>265</v>
      </c>
      <c r="D4799" t="str">
        <f>"4"</f>
        <v>4</v>
      </c>
      <c r="E4799" t="str">
        <f>"1-265-4"</f>
        <v>1-265-4</v>
      </c>
      <c r="F4799" t="s">
        <v>15</v>
      </c>
      <c r="G4799" t="s">
        <v>16</v>
      </c>
      <c r="H4799" t="s">
        <v>17</v>
      </c>
      <c r="I4799">
        <v>0</v>
      </c>
      <c r="J4799">
        <v>0</v>
      </c>
      <c r="K4799">
        <v>1</v>
      </c>
    </row>
    <row r="4800" spans="1:11" x14ac:dyDescent="0.25">
      <c r="A4800" t="str">
        <f>"6045"</f>
        <v>6045</v>
      </c>
      <c r="B4800" t="str">
        <f t="shared" si="315"/>
        <v>1</v>
      </c>
      <c r="C4800" t="str">
        <f t="shared" si="314"/>
        <v>265</v>
      </c>
      <c r="D4800" t="str">
        <f>"14"</f>
        <v>14</v>
      </c>
      <c r="E4800" t="str">
        <f>"1-265-14"</f>
        <v>1-265-14</v>
      </c>
      <c r="F4800" t="s">
        <v>15</v>
      </c>
      <c r="G4800" t="s">
        <v>16</v>
      </c>
      <c r="H4800" t="s">
        <v>17</v>
      </c>
      <c r="I4800">
        <v>0</v>
      </c>
      <c r="J4800">
        <v>1</v>
      </c>
      <c r="K4800">
        <v>0</v>
      </c>
    </row>
    <row r="4801" spans="1:11" x14ac:dyDescent="0.25">
      <c r="A4801" t="str">
        <f>"6046"</f>
        <v>6046</v>
      </c>
      <c r="B4801" t="str">
        <f t="shared" si="315"/>
        <v>1</v>
      </c>
      <c r="C4801" t="str">
        <f t="shared" si="314"/>
        <v>265</v>
      </c>
      <c r="D4801" t="str">
        <f>"3"</f>
        <v>3</v>
      </c>
      <c r="E4801" t="str">
        <f>"1-265-3"</f>
        <v>1-265-3</v>
      </c>
      <c r="F4801" t="s">
        <v>15</v>
      </c>
      <c r="G4801" t="s">
        <v>16</v>
      </c>
      <c r="H4801" t="s">
        <v>17</v>
      </c>
      <c r="I4801">
        <v>1</v>
      </c>
      <c r="J4801">
        <v>0</v>
      </c>
      <c r="K4801">
        <v>0</v>
      </c>
    </row>
    <row r="4802" spans="1:11" x14ac:dyDescent="0.25">
      <c r="A4802" t="str">
        <f>"6047"</f>
        <v>6047</v>
      </c>
      <c r="B4802" t="str">
        <f t="shared" si="315"/>
        <v>1</v>
      </c>
      <c r="C4802" t="str">
        <f t="shared" si="314"/>
        <v>265</v>
      </c>
      <c r="D4802" t="str">
        <f>"7"</f>
        <v>7</v>
      </c>
      <c r="E4802" t="str">
        <f>"1-265-7"</f>
        <v>1-265-7</v>
      </c>
      <c r="F4802" t="s">
        <v>15</v>
      </c>
      <c r="G4802" t="s">
        <v>16</v>
      </c>
      <c r="H4802" t="s">
        <v>17</v>
      </c>
      <c r="I4802">
        <v>0</v>
      </c>
      <c r="J4802">
        <v>0</v>
      </c>
      <c r="K4802">
        <v>1</v>
      </c>
    </row>
    <row r="4803" spans="1:11" x14ac:dyDescent="0.25">
      <c r="A4803" t="str">
        <f>"6048"</f>
        <v>6048</v>
      </c>
      <c r="B4803" t="str">
        <f t="shared" si="315"/>
        <v>1</v>
      </c>
      <c r="C4803" t="str">
        <f t="shared" si="314"/>
        <v>265</v>
      </c>
      <c r="D4803" t="str">
        <f>"2"</f>
        <v>2</v>
      </c>
      <c r="E4803" t="str">
        <f>"1-265-2"</f>
        <v>1-265-2</v>
      </c>
      <c r="F4803" t="s">
        <v>15</v>
      </c>
      <c r="G4803" t="s">
        <v>16</v>
      </c>
      <c r="H4803" t="s">
        <v>17</v>
      </c>
      <c r="I4803">
        <v>1</v>
      </c>
      <c r="J4803">
        <v>0</v>
      </c>
      <c r="K4803">
        <v>0</v>
      </c>
    </row>
    <row r="4804" spans="1:11" x14ac:dyDescent="0.25">
      <c r="A4804" t="str">
        <f>"6049"</f>
        <v>6049</v>
      </c>
      <c r="B4804" t="str">
        <f t="shared" si="315"/>
        <v>1</v>
      </c>
      <c r="C4804" t="str">
        <f t="shared" si="314"/>
        <v>265</v>
      </c>
      <c r="D4804" t="str">
        <f>"9"</f>
        <v>9</v>
      </c>
      <c r="E4804" t="str">
        <f>"1-265-9"</f>
        <v>1-265-9</v>
      </c>
      <c r="F4804" t="s">
        <v>15</v>
      </c>
      <c r="G4804" t="s">
        <v>18</v>
      </c>
      <c r="H4804" t="s">
        <v>19</v>
      </c>
      <c r="I4804">
        <v>0</v>
      </c>
      <c r="J4804">
        <v>1</v>
      </c>
      <c r="K4804">
        <v>0</v>
      </c>
    </row>
    <row r="4805" spans="1:11" x14ac:dyDescent="0.25">
      <c r="A4805" t="str">
        <f>"6050"</f>
        <v>6050</v>
      </c>
      <c r="B4805" t="str">
        <f t="shared" si="315"/>
        <v>1</v>
      </c>
      <c r="C4805" t="str">
        <f t="shared" si="314"/>
        <v>265</v>
      </c>
      <c r="D4805" t="str">
        <f>"13"</f>
        <v>13</v>
      </c>
      <c r="E4805" t="str">
        <f>"1-265-13"</f>
        <v>1-265-13</v>
      </c>
      <c r="F4805" t="s">
        <v>15</v>
      </c>
      <c r="G4805" t="s">
        <v>20</v>
      </c>
      <c r="H4805" t="s">
        <v>21</v>
      </c>
      <c r="I4805">
        <v>0</v>
      </c>
      <c r="J4805">
        <v>0</v>
      </c>
      <c r="K4805">
        <v>1</v>
      </c>
    </row>
    <row r="4806" spans="1:11" x14ac:dyDescent="0.25">
      <c r="A4806" t="str">
        <f>"6051"</f>
        <v>6051</v>
      </c>
      <c r="B4806" t="str">
        <f t="shared" si="315"/>
        <v>1</v>
      </c>
      <c r="C4806" t="str">
        <f t="shared" si="314"/>
        <v>265</v>
      </c>
      <c r="D4806" t="str">
        <f>"11"</f>
        <v>11</v>
      </c>
      <c r="E4806" t="str">
        <f>"1-265-11"</f>
        <v>1-265-11</v>
      </c>
      <c r="F4806" t="s">
        <v>15</v>
      </c>
      <c r="G4806" t="s">
        <v>18</v>
      </c>
      <c r="H4806" t="s">
        <v>19</v>
      </c>
      <c r="I4806">
        <v>0</v>
      </c>
      <c r="J4806">
        <v>1</v>
      </c>
      <c r="K4806">
        <v>0</v>
      </c>
    </row>
    <row r="4807" spans="1:11" x14ac:dyDescent="0.25">
      <c r="A4807" t="str">
        <f>"6052"</f>
        <v>6052</v>
      </c>
      <c r="B4807" t="str">
        <f t="shared" si="315"/>
        <v>1</v>
      </c>
      <c r="C4807" t="str">
        <f t="shared" si="314"/>
        <v>265</v>
      </c>
      <c r="D4807" t="str">
        <f>"12"</f>
        <v>12</v>
      </c>
      <c r="E4807" t="str">
        <f>"1-265-12"</f>
        <v>1-265-12</v>
      </c>
      <c r="F4807" t="s">
        <v>15</v>
      </c>
      <c r="G4807" t="s">
        <v>16</v>
      </c>
      <c r="H4807" t="s">
        <v>17</v>
      </c>
      <c r="I4807">
        <v>0</v>
      </c>
      <c r="J4807">
        <v>0</v>
      </c>
      <c r="K4807">
        <v>1</v>
      </c>
    </row>
    <row r="4808" spans="1:11" x14ac:dyDescent="0.25">
      <c r="A4808" t="str">
        <f>"6053"</f>
        <v>6053</v>
      </c>
      <c r="B4808" t="str">
        <f t="shared" si="315"/>
        <v>1</v>
      </c>
      <c r="C4808" t="str">
        <f t="shared" si="314"/>
        <v>265</v>
      </c>
      <c r="D4808" t="str">
        <f>"8"</f>
        <v>8</v>
      </c>
      <c r="E4808" t="str">
        <f>"1-265-8"</f>
        <v>1-265-8</v>
      </c>
      <c r="F4808" t="s">
        <v>15</v>
      </c>
      <c r="G4808" t="s">
        <v>16</v>
      </c>
      <c r="H4808" t="s">
        <v>17</v>
      </c>
      <c r="I4808">
        <v>1</v>
      </c>
      <c r="J4808">
        <v>0</v>
      </c>
      <c r="K4808">
        <v>0</v>
      </c>
    </row>
    <row r="4809" spans="1:11" x14ac:dyDescent="0.25">
      <c r="A4809" t="str">
        <f>"6054"</f>
        <v>6054</v>
      </c>
      <c r="B4809" t="str">
        <f t="shared" si="315"/>
        <v>1</v>
      </c>
      <c r="C4809" t="str">
        <f t="shared" si="314"/>
        <v>265</v>
      </c>
      <c r="D4809" t="str">
        <f>"5"</f>
        <v>5</v>
      </c>
      <c r="E4809" t="str">
        <f>"1-265-5"</f>
        <v>1-265-5</v>
      </c>
      <c r="F4809" t="s">
        <v>15</v>
      </c>
      <c r="G4809" t="s">
        <v>18</v>
      </c>
      <c r="H4809" t="s">
        <v>19</v>
      </c>
      <c r="I4809">
        <v>0</v>
      </c>
      <c r="J4809">
        <v>0</v>
      </c>
      <c r="K4809">
        <v>0</v>
      </c>
    </row>
    <row r="4810" spans="1:11" x14ac:dyDescent="0.25">
      <c r="A4810" t="str">
        <f>"6055"</f>
        <v>6055</v>
      </c>
      <c r="B4810" t="str">
        <f t="shared" si="315"/>
        <v>1</v>
      </c>
      <c r="C4810" t="str">
        <f t="shared" si="314"/>
        <v>265</v>
      </c>
      <c r="D4810" t="str">
        <f>"10"</f>
        <v>10</v>
      </c>
      <c r="E4810" t="str">
        <f>"1-265-10"</f>
        <v>1-265-10</v>
      </c>
      <c r="F4810" t="s">
        <v>15</v>
      </c>
      <c r="G4810" t="s">
        <v>16</v>
      </c>
      <c r="H4810" t="s">
        <v>17</v>
      </c>
      <c r="I4810">
        <v>0</v>
      </c>
      <c r="J4810">
        <v>0</v>
      </c>
      <c r="K4810">
        <v>0</v>
      </c>
    </row>
    <row r="4811" spans="1:11" x14ac:dyDescent="0.25">
      <c r="A4811" t="str">
        <f>"6056"</f>
        <v>6056</v>
      </c>
      <c r="B4811" t="str">
        <f t="shared" si="315"/>
        <v>1</v>
      </c>
      <c r="C4811" t="str">
        <f t="shared" si="314"/>
        <v>265</v>
      </c>
      <c r="D4811" t="str">
        <f>"6"</f>
        <v>6</v>
      </c>
      <c r="E4811" t="str">
        <f>"1-265-6"</f>
        <v>1-265-6</v>
      </c>
      <c r="F4811" t="s">
        <v>15</v>
      </c>
      <c r="G4811" t="s">
        <v>18</v>
      </c>
      <c r="H4811" t="s">
        <v>19</v>
      </c>
      <c r="I4811">
        <v>0</v>
      </c>
      <c r="J4811">
        <v>0</v>
      </c>
      <c r="K4811">
        <v>0</v>
      </c>
    </row>
    <row r="4812" spans="1:11" x14ac:dyDescent="0.25">
      <c r="A4812" t="str">
        <f>"6058"</f>
        <v>6058</v>
      </c>
      <c r="B4812" t="str">
        <f t="shared" si="315"/>
        <v>1</v>
      </c>
      <c r="C4812" t="str">
        <f t="shared" ref="C4812:C4831" si="316">"266"</f>
        <v>266</v>
      </c>
      <c r="D4812" t="str">
        <f>"15"</f>
        <v>15</v>
      </c>
      <c r="E4812" t="str">
        <f>"1-266-15"</f>
        <v>1-266-15</v>
      </c>
      <c r="F4812" t="s">
        <v>15</v>
      </c>
      <c r="G4812" t="s">
        <v>18</v>
      </c>
      <c r="H4812" t="s">
        <v>19</v>
      </c>
      <c r="I4812">
        <v>0</v>
      </c>
      <c r="J4812">
        <v>0</v>
      </c>
      <c r="K4812">
        <v>1</v>
      </c>
    </row>
    <row r="4813" spans="1:11" x14ac:dyDescent="0.25">
      <c r="A4813" t="str">
        <f>"6059"</f>
        <v>6059</v>
      </c>
      <c r="B4813" t="str">
        <f t="shared" si="315"/>
        <v>1</v>
      </c>
      <c r="C4813" t="str">
        <f t="shared" si="316"/>
        <v>266</v>
      </c>
      <c r="D4813" t="str">
        <f>"1"</f>
        <v>1</v>
      </c>
      <c r="E4813" t="str">
        <f>"1-266-1"</f>
        <v>1-266-1</v>
      </c>
      <c r="F4813" t="s">
        <v>15</v>
      </c>
      <c r="G4813" t="s">
        <v>18</v>
      </c>
      <c r="H4813" t="s">
        <v>19</v>
      </c>
      <c r="I4813">
        <v>1</v>
      </c>
      <c r="J4813">
        <v>0</v>
      </c>
      <c r="K4813">
        <v>0</v>
      </c>
    </row>
    <row r="4814" spans="1:11" x14ac:dyDescent="0.25">
      <c r="A4814" t="str">
        <f>"6062"</f>
        <v>6062</v>
      </c>
      <c r="B4814" t="str">
        <f t="shared" si="315"/>
        <v>1</v>
      </c>
      <c r="C4814" t="str">
        <f t="shared" si="316"/>
        <v>266</v>
      </c>
      <c r="D4814" t="str">
        <f>"2"</f>
        <v>2</v>
      </c>
      <c r="E4814" t="str">
        <f>"1-266-2"</f>
        <v>1-266-2</v>
      </c>
      <c r="F4814" t="s">
        <v>15</v>
      </c>
      <c r="G4814" t="s">
        <v>18</v>
      </c>
      <c r="H4814" t="s">
        <v>19</v>
      </c>
      <c r="I4814">
        <v>1</v>
      </c>
      <c r="J4814">
        <v>0</v>
      </c>
      <c r="K4814">
        <v>0</v>
      </c>
    </row>
    <row r="4815" spans="1:11" x14ac:dyDescent="0.25">
      <c r="A4815" t="str">
        <f>"6063"</f>
        <v>6063</v>
      </c>
      <c r="B4815" t="str">
        <f t="shared" si="315"/>
        <v>1</v>
      </c>
      <c r="C4815" t="str">
        <f t="shared" si="316"/>
        <v>266</v>
      </c>
      <c r="D4815" t="str">
        <f>"17"</f>
        <v>17</v>
      </c>
      <c r="E4815" t="str">
        <f>"1-266-17"</f>
        <v>1-266-17</v>
      </c>
      <c r="F4815" t="s">
        <v>15</v>
      </c>
      <c r="G4815" t="s">
        <v>18</v>
      </c>
      <c r="H4815" t="s">
        <v>19</v>
      </c>
      <c r="I4815">
        <v>0</v>
      </c>
      <c r="J4815">
        <v>0</v>
      </c>
      <c r="K4815">
        <v>1</v>
      </c>
    </row>
    <row r="4816" spans="1:11" x14ac:dyDescent="0.25">
      <c r="A4816" t="str">
        <f>"6064"</f>
        <v>6064</v>
      </c>
      <c r="B4816" t="str">
        <f t="shared" si="315"/>
        <v>1</v>
      </c>
      <c r="C4816" t="str">
        <f t="shared" si="316"/>
        <v>266</v>
      </c>
      <c r="D4816" t="str">
        <f>"6"</f>
        <v>6</v>
      </c>
      <c r="E4816" t="str">
        <f>"1-266-6"</f>
        <v>1-266-6</v>
      </c>
      <c r="F4816" t="s">
        <v>15</v>
      </c>
      <c r="G4816" t="s">
        <v>18</v>
      </c>
      <c r="H4816" t="s">
        <v>19</v>
      </c>
      <c r="I4816">
        <v>1</v>
      </c>
      <c r="J4816">
        <v>0</v>
      </c>
      <c r="K4816">
        <v>0</v>
      </c>
    </row>
    <row r="4817" spans="1:11" x14ac:dyDescent="0.25">
      <c r="A4817" t="str">
        <f>"6065"</f>
        <v>6065</v>
      </c>
      <c r="B4817" t="str">
        <f t="shared" si="315"/>
        <v>1</v>
      </c>
      <c r="C4817" t="str">
        <f t="shared" si="316"/>
        <v>266</v>
      </c>
      <c r="D4817" t="str">
        <f>"18"</f>
        <v>18</v>
      </c>
      <c r="E4817" t="str">
        <f>"1-266-18"</f>
        <v>1-266-18</v>
      </c>
      <c r="F4817" t="s">
        <v>15</v>
      </c>
      <c r="G4817" t="s">
        <v>16</v>
      </c>
      <c r="H4817" t="s">
        <v>17</v>
      </c>
      <c r="I4817">
        <v>0</v>
      </c>
      <c r="J4817">
        <v>0</v>
      </c>
      <c r="K4817">
        <v>1</v>
      </c>
    </row>
    <row r="4818" spans="1:11" x14ac:dyDescent="0.25">
      <c r="A4818" t="str">
        <f>"6066"</f>
        <v>6066</v>
      </c>
      <c r="B4818" t="str">
        <f t="shared" si="315"/>
        <v>1</v>
      </c>
      <c r="C4818" t="str">
        <f t="shared" si="316"/>
        <v>266</v>
      </c>
      <c r="D4818" t="str">
        <f>"20"</f>
        <v>20</v>
      </c>
      <c r="E4818" t="str">
        <f>"1-266-20"</f>
        <v>1-266-20</v>
      </c>
      <c r="F4818" t="s">
        <v>15</v>
      </c>
      <c r="G4818" t="s">
        <v>18</v>
      </c>
      <c r="H4818" t="s">
        <v>19</v>
      </c>
      <c r="I4818">
        <v>0</v>
      </c>
      <c r="J4818">
        <v>0</v>
      </c>
      <c r="K4818">
        <v>1</v>
      </c>
    </row>
    <row r="4819" spans="1:11" x14ac:dyDescent="0.25">
      <c r="A4819" t="str">
        <f>"6067"</f>
        <v>6067</v>
      </c>
      <c r="B4819" t="str">
        <f t="shared" si="315"/>
        <v>1</v>
      </c>
      <c r="C4819" t="str">
        <f t="shared" si="316"/>
        <v>266</v>
      </c>
      <c r="D4819" t="str">
        <f>"3"</f>
        <v>3</v>
      </c>
      <c r="E4819" t="str">
        <f>"1-266-3"</f>
        <v>1-266-3</v>
      </c>
      <c r="F4819" t="s">
        <v>15</v>
      </c>
      <c r="G4819" t="s">
        <v>18</v>
      </c>
      <c r="H4819" t="s">
        <v>19</v>
      </c>
      <c r="I4819">
        <v>1</v>
      </c>
      <c r="J4819">
        <v>0</v>
      </c>
      <c r="K4819">
        <v>0</v>
      </c>
    </row>
    <row r="4820" spans="1:11" x14ac:dyDescent="0.25">
      <c r="A4820" t="str">
        <f>"6068"</f>
        <v>6068</v>
      </c>
      <c r="B4820" t="str">
        <f t="shared" si="315"/>
        <v>1</v>
      </c>
      <c r="C4820" t="str">
        <f t="shared" si="316"/>
        <v>266</v>
      </c>
      <c r="D4820" t="str">
        <f>"21"</f>
        <v>21</v>
      </c>
      <c r="E4820" t="str">
        <f>"1-266-21"</f>
        <v>1-266-21</v>
      </c>
      <c r="F4820" t="s">
        <v>15</v>
      </c>
      <c r="G4820" t="s">
        <v>16</v>
      </c>
      <c r="H4820" t="s">
        <v>17</v>
      </c>
      <c r="I4820">
        <v>1</v>
      </c>
      <c r="J4820">
        <v>0</v>
      </c>
      <c r="K4820">
        <v>0</v>
      </c>
    </row>
    <row r="4821" spans="1:11" x14ac:dyDescent="0.25">
      <c r="A4821" t="str">
        <f>"6070"</f>
        <v>6070</v>
      </c>
      <c r="B4821" t="str">
        <f t="shared" si="315"/>
        <v>1</v>
      </c>
      <c r="C4821" t="str">
        <f t="shared" si="316"/>
        <v>266</v>
      </c>
      <c r="D4821" t="str">
        <f>"14"</f>
        <v>14</v>
      </c>
      <c r="E4821" t="str">
        <f>"1-266-14"</f>
        <v>1-266-14</v>
      </c>
      <c r="F4821" t="s">
        <v>15</v>
      </c>
      <c r="G4821" t="s">
        <v>18</v>
      </c>
      <c r="H4821" t="s">
        <v>19</v>
      </c>
      <c r="I4821">
        <v>0</v>
      </c>
      <c r="J4821">
        <v>0</v>
      </c>
      <c r="K4821">
        <v>1</v>
      </c>
    </row>
    <row r="4822" spans="1:11" x14ac:dyDescent="0.25">
      <c r="A4822" t="str">
        <f>"6071"</f>
        <v>6071</v>
      </c>
      <c r="B4822" t="str">
        <f t="shared" si="315"/>
        <v>1</v>
      </c>
      <c r="C4822" t="str">
        <f t="shared" si="316"/>
        <v>266</v>
      </c>
      <c r="D4822" t="str">
        <f>"23"</f>
        <v>23</v>
      </c>
      <c r="E4822" t="str">
        <f>"1-266-23"</f>
        <v>1-266-23</v>
      </c>
      <c r="F4822" t="s">
        <v>15</v>
      </c>
      <c r="G4822" t="s">
        <v>18</v>
      </c>
      <c r="H4822" t="s">
        <v>19</v>
      </c>
      <c r="I4822">
        <v>0</v>
      </c>
      <c r="J4822">
        <v>1</v>
      </c>
      <c r="K4822">
        <v>0</v>
      </c>
    </row>
    <row r="4823" spans="1:11" x14ac:dyDescent="0.25">
      <c r="A4823" t="str">
        <f>"6072"</f>
        <v>6072</v>
      </c>
      <c r="B4823" t="str">
        <f t="shared" si="315"/>
        <v>1</v>
      </c>
      <c r="C4823" t="str">
        <f t="shared" si="316"/>
        <v>266</v>
      </c>
      <c r="D4823" t="str">
        <f>"5"</f>
        <v>5</v>
      </c>
      <c r="E4823" t="str">
        <f>"1-266-5"</f>
        <v>1-266-5</v>
      </c>
      <c r="F4823" t="s">
        <v>15</v>
      </c>
      <c r="G4823" t="s">
        <v>18</v>
      </c>
      <c r="H4823" t="s">
        <v>19</v>
      </c>
      <c r="I4823">
        <v>0</v>
      </c>
      <c r="J4823">
        <v>0</v>
      </c>
      <c r="K4823">
        <v>1</v>
      </c>
    </row>
    <row r="4824" spans="1:11" x14ac:dyDescent="0.25">
      <c r="A4824" t="str">
        <f>"6074"</f>
        <v>6074</v>
      </c>
      <c r="B4824" t="str">
        <f t="shared" si="315"/>
        <v>1</v>
      </c>
      <c r="C4824" t="str">
        <f t="shared" si="316"/>
        <v>266</v>
      </c>
      <c r="D4824" t="str">
        <f>"10"</f>
        <v>10</v>
      </c>
      <c r="E4824" t="str">
        <f>"1-266-10"</f>
        <v>1-266-10</v>
      </c>
      <c r="F4824" t="s">
        <v>15</v>
      </c>
      <c r="G4824" t="s">
        <v>18</v>
      </c>
      <c r="H4824" t="s">
        <v>19</v>
      </c>
      <c r="I4824">
        <v>0</v>
      </c>
      <c r="J4824">
        <v>0</v>
      </c>
      <c r="K4824">
        <v>1</v>
      </c>
    </row>
    <row r="4825" spans="1:11" x14ac:dyDescent="0.25">
      <c r="A4825" t="str">
        <f>"6075"</f>
        <v>6075</v>
      </c>
      <c r="B4825" t="str">
        <f t="shared" si="315"/>
        <v>1</v>
      </c>
      <c r="C4825" t="str">
        <f t="shared" si="316"/>
        <v>266</v>
      </c>
      <c r="D4825" t="str">
        <f>"9"</f>
        <v>9</v>
      </c>
      <c r="E4825" t="str">
        <f>"1-266-9"</f>
        <v>1-266-9</v>
      </c>
      <c r="F4825" t="s">
        <v>15</v>
      </c>
      <c r="G4825" t="s">
        <v>18</v>
      </c>
      <c r="H4825" t="s">
        <v>19</v>
      </c>
      <c r="I4825">
        <v>0</v>
      </c>
      <c r="J4825">
        <v>0</v>
      </c>
      <c r="K4825">
        <v>1</v>
      </c>
    </row>
    <row r="4826" spans="1:11" x14ac:dyDescent="0.25">
      <c r="A4826" t="str">
        <f>"6076"</f>
        <v>6076</v>
      </c>
      <c r="B4826" t="str">
        <f t="shared" si="315"/>
        <v>1</v>
      </c>
      <c r="C4826" t="str">
        <f t="shared" si="316"/>
        <v>266</v>
      </c>
      <c r="D4826" t="str">
        <f>"4"</f>
        <v>4</v>
      </c>
      <c r="E4826" t="str">
        <f>"1-266-4"</f>
        <v>1-266-4</v>
      </c>
      <c r="F4826" t="s">
        <v>15</v>
      </c>
      <c r="G4826" t="s">
        <v>18</v>
      </c>
      <c r="H4826" t="s">
        <v>19</v>
      </c>
      <c r="I4826">
        <v>0</v>
      </c>
      <c r="J4826">
        <v>0</v>
      </c>
      <c r="K4826">
        <v>1</v>
      </c>
    </row>
    <row r="4827" spans="1:11" x14ac:dyDescent="0.25">
      <c r="A4827" t="str">
        <f>"6077"</f>
        <v>6077</v>
      </c>
      <c r="B4827" t="str">
        <f t="shared" si="315"/>
        <v>1</v>
      </c>
      <c r="C4827" t="str">
        <f t="shared" si="316"/>
        <v>266</v>
      </c>
      <c r="D4827" t="str">
        <f>"12"</f>
        <v>12</v>
      </c>
      <c r="E4827" t="str">
        <f>"1-266-12"</f>
        <v>1-266-12</v>
      </c>
      <c r="F4827" t="s">
        <v>15</v>
      </c>
      <c r="G4827" t="s">
        <v>18</v>
      </c>
      <c r="H4827" t="s">
        <v>19</v>
      </c>
      <c r="I4827">
        <v>0</v>
      </c>
      <c r="J4827">
        <v>1</v>
      </c>
      <c r="K4827">
        <v>0</v>
      </c>
    </row>
    <row r="4828" spans="1:11" x14ac:dyDescent="0.25">
      <c r="A4828" t="str">
        <f>"6078"</f>
        <v>6078</v>
      </c>
      <c r="B4828" t="str">
        <f t="shared" si="315"/>
        <v>1</v>
      </c>
      <c r="C4828" t="str">
        <f t="shared" si="316"/>
        <v>266</v>
      </c>
      <c r="D4828" t="str">
        <f>"7"</f>
        <v>7</v>
      </c>
      <c r="E4828" t="str">
        <f>"1-266-7"</f>
        <v>1-266-7</v>
      </c>
      <c r="F4828" t="s">
        <v>15</v>
      </c>
      <c r="G4828" t="s">
        <v>16</v>
      </c>
      <c r="H4828" t="s">
        <v>17</v>
      </c>
      <c r="I4828">
        <v>0</v>
      </c>
      <c r="J4828">
        <v>0</v>
      </c>
      <c r="K4828">
        <v>0</v>
      </c>
    </row>
    <row r="4829" spans="1:11" x14ac:dyDescent="0.25">
      <c r="A4829" t="str">
        <f>"6079"</f>
        <v>6079</v>
      </c>
      <c r="B4829" t="str">
        <f t="shared" si="315"/>
        <v>1</v>
      </c>
      <c r="C4829" t="str">
        <f t="shared" si="316"/>
        <v>266</v>
      </c>
      <c r="D4829" t="str">
        <f>"8"</f>
        <v>8</v>
      </c>
      <c r="E4829" t="str">
        <f>"1-266-8"</f>
        <v>1-266-8</v>
      </c>
      <c r="F4829" t="s">
        <v>15</v>
      </c>
      <c r="G4829" t="s">
        <v>18</v>
      </c>
      <c r="H4829" t="s">
        <v>19</v>
      </c>
      <c r="I4829">
        <v>0</v>
      </c>
      <c r="J4829">
        <v>0</v>
      </c>
      <c r="K4829">
        <v>0</v>
      </c>
    </row>
    <row r="4830" spans="1:11" x14ac:dyDescent="0.25">
      <c r="A4830" t="str">
        <f>"6080"</f>
        <v>6080</v>
      </c>
      <c r="B4830" t="str">
        <f t="shared" si="315"/>
        <v>1</v>
      </c>
      <c r="C4830" t="str">
        <f t="shared" si="316"/>
        <v>266</v>
      </c>
      <c r="D4830" t="str">
        <f>"13"</f>
        <v>13</v>
      </c>
      <c r="E4830" t="str">
        <f>"1-266-13"</f>
        <v>1-266-13</v>
      </c>
      <c r="F4830" t="s">
        <v>15</v>
      </c>
      <c r="G4830" t="s">
        <v>18</v>
      </c>
      <c r="H4830" t="s">
        <v>19</v>
      </c>
      <c r="I4830">
        <v>0</v>
      </c>
      <c r="J4830">
        <v>0</v>
      </c>
      <c r="K4830">
        <v>0</v>
      </c>
    </row>
    <row r="4831" spans="1:11" x14ac:dyDescent="0.25">
      <c r="A4831" t="str">
        <f>"6081"</f>
        <v>6081</v>
      </c>
      <c r="B4831" t="str">
        <f t="shared" si="315"/>
        <v>1</v>
      </c>
      <c r="C4831" t="str">
        <f t="shared" si="316"/>
        <v>266</v>
      </c>
      <c r="D4831" t="str">
        <f>"11"</f>
        <v>11</v>
      </c>
      <c r="E4831" t="str">
        <f>"1-266-11"</f>
        <v>1-266-11</v>
      </c>
      <c r="F4831" t="s">
        <v>15</v>
      </c>
      <c r="G4831" t="s">
        <v>18</v>
      </c>
      <c r="H4831" t="s">
        <v>19</v>
      </c>
      <c r="I4831">
        <v>0</v>
      </c>
      <c r="J4831">
        <v>0</v>
      </c>
      <c r="K4831">
        <v>0</v>
      </c>
    </row>
    <row r="4832" spans="1:11" x14ac:dyDescent="0.25">
      <c r="A4832" t="str">
        <f>"6082"</f>
        <v>6082</v>
      </c>
      <c r="B4832" t="str">
        <f t="shared" si="315"/>
        <v>1</v>
      </c>
      <c r="C4832" t="str">
        <f t="shared" ref="C4832:C4851" si="317">"267"</f>
        <v>267</v>
      </c>
      <c r="D4832" t="str">
        <f>"2"</f>
        <v>2</v>
      </c>
      <c r="E4832" t="str">
        <f>"1-267-2"</f>
        <v>1-267-2</v>
      </c>
      <c r="F4832" t="s">
        <v>15</v>
      </c>
      <c r="G4832" t="s">
        <v>20</v>
      </c>
      <c r="H4832" t="s">
        <v>21</v>
      </c>
      <c r="I4832">
        <v>1</v>
      </c>
      <c r="J4832">
        <v>0</v>
      </c>
      <c r="K4832">
        <v>0</v>
      </c>
    </row>
    <row r="4833" spans="1:11" x14ac:dyDescent="0.25">
      <c r="A4833" t="str">
        <f>"6083"</f>
        <v>6083</v>
      </c>
      <c r="B4833" t="str">
        <f t="shared" si="315"/>
        <v>1</v>
      </c>
      <c r="C4833" t="str">
        <f t="shared" si="317"/>
        <v>267</v>
      </c>
      <c r="D4833" t="str">
        <f>"16"</f>
        <v>16</v>
      </c>
      <c r="E4833" t="str">
        <f>"1-267-16"</f>
        <v>1-267-16</v>
      </c>
      <c r="F4833" t="s">
        <v>15</v>
      </c>
      <c r="G4833" t="s">
        <v>20</v>
      </c>
      <c r="H4833" t="s">
        <v>21</v>
      </c>
      <c r="I4833">
        <v>0</v>
      </c>
      <c r="J4833">
        <v>0</v>
      </c>
      <c r="K4833">
        <v>1</v>
      </c>
    </row>
    <row r="4834" spans="1:11" x14ac:dyDescent="0.25">
      <c r="A4834" t="str">
        <f>"6084"</f>
        <v>6084</v>
      </c>
      <c r="B4834" t="str">
        <f t="shared" si="315"/>
        <v>1</v>
      </c>
      <c r="C4834" t="str">
        <f t="shared" si="317"/>
        <v>267</v>
      </c>
      <c r="D4834" t="str">
        <f>"5"</f>
        <v>5</v>
      </c>
      <c r="E4834" t="str">
        <f>"1-267-5"</f>
        <v>1-267-5</v>
      </c>
      <c r="F4834" t="s">
        <v>15</v>
      </c>
      <c r="G4834" t="s">
        <v>20</v>
      </c>
      <c r="H4834" t="s">
        <v>21</v>
      </c>
      <c r="I4834">
        <v>0</v>
      </c>
      <c r="J4834">
        <v>1</v>
      </c>
      <c r="K4834">
        <v>0</v>
      </c>
    </row>
    <row r="4835" spans="1:11" x14ac:dyDescent="0.25">
      <c r="A4835" t="str">
        <f>"6085"</f>
        <v>6085</v>
      </c>
      <c r="B4835" t="str">
        <f t="shared" si="315"/>
        <v>1</v>
      </c>
      <c r="C4835" t="str">
        <f t="shared" si="317"/>
        <v>267</v>
      </c>
      <c r="D4835" t="str">
        <f>"17"</f>
        <v>17</v>
      </c>
      <c r="E4835" t="str">
        <f>"1-267-17"</f>
        <v>1-267-17</v>
      </c>
      <c r="F4835" t="s">
        <v>15</v>
      </c>
      <c r="G4835" t="s">
        <v>20</v>
      </c>
      <c r="H4835" t="s">
        <v>21</v>
      </c>
      <c r="I4835">
        <v>1</v>
      </c>
      <c r="J4835">
        <v>0</v>
      </c>
      <c r="K4835">
        <v>0</v>
      </c>
    </row>
    <row r="4836" spans="1:11" x14ac:dyDescent="0.25">
      <c r="A4836" t="str">
        <f>"6086"</f>
        <v>6086</v>
      </c>
      <c r="B4836" t="str">
        <f t="shared" si="315"/>
        <v>1</v>
      </c>
      <c r="C4836" t="str">
        <f t="shared" si="317"/>
        <v>267</v>
      </c>
      <c r="D4836" t="str">
        <f>"10"</f>
        <v>10</v>
      </c>
      <c r="E4836" t="str">
        <f>"1-267-10"</f>
        <v>1-267-10</v>
      </c>
      <c r="F4836" t="s">
        <v>15</v>
      </c>
      <c r="G4836" t="s">
        <v>20</v>
      </c>
      <c r="H4836" t="s">
        <v>21</v>
      </c>
      <c r="I4836">
        <v>0</v>
      </c>
      <c r="J4836">
        <v>1</v>
      </c>
      <c r="K4836">
        <v>0</v>
      </c>
    </row>
    <row r="4837" spans="1:11" x14ac:dyDescent="0.25">
      <c r="A4837" t="str">
        <f>"6087"</f>
        <v>6087</v>
      </c>
      <c r="B4837" t="str">
        <f t="shared" si="315"/>
        <v>1</v>
      </c>
      <c r="C4837" t="str">
        <f t="shared" si="317"/>
        <v>267</v>
      </c>
      <c r="D4837" t="str">
        <f>"18"</f>
        <v>18</v>
      </c>
      <c r="E4837" t="str">
        <f>"1-267-18"</f>
        <v>1-267-18</v>
      </c>
      <c r="F4837" t="s">
        <v>15</v>
      </c>
      <c r="G4837" t="s">
        <v>20</v>
      </c>
      <c r="H4837" t="s">
        <v>21</v>
      </c>
      <c r="I4837">
        <v>0</v>
      </c>
      <c r="J4837">
        <v>0</v>
      </c>
      <c r="K4837">
        <v>1</v>
      </c>
    </row>
    <row r="4838" spans="1:11" x14ac:dyDescent="0.25">
      <c r="A4838" t="str">
        <f>"6088"</f>
        <v>6088</v>
      </c>
      <c r="B4838" t="str">
        <f t="shared" si="315"/>
        <v>1</v>
      </c>
      <c r="C4838" t="str">
        <f t="shared" si="317"/>
        <v>267</v>
      </c>
      <c r="D4838" t="str">
        <f>"6"</f>
        <v>6</v>
      </c>
      <c r="E4838" t="str">
        <f>"1-267-6"</f>
        <v>1-267-6</v>
      </c>
      <c r="F4838" t="s">
        <v>15</v>
      </c>
      <c r="G4838" t="s">
        <v>20</v>
      </c>
      <c r="H4838" t="s">
        <v>21</v>
      </c>
      <c r="I4838">
        <v>0</v>
      </c>
      <c r="J4838">
        <v>1</v>
      </c>
      <c r="K4838">
        <v>0</v>
      </c>
    </row>
    <row r="4839" spans="1:11" x14ac:dyDescent="0.25">
      <c r="A4839" t="str">
        <f>"6089"</f>
        <v>6089</v>
      </c>
      <c r="B4839" t="str">
        <f t="shared" si="315"/>
        <v>1</v>
      </c>
      <c r="C4839" t="str">
        <f t="shared" si="317"/>
        <v>267</v>
      </c>
      <c r="D4839" t="str">
        <f>"19"</f>
        <v>19</v>
      </c>
      <c r="E4839" t="str">
        <f>"1-267-19"</f>
        <v>1-267-19</v>
      </c>
      <c r="F4839" t="s">
        <v>15</v>
      </c>
      <c r="G4839" t="s">
        <v>20</v>
      </c>
      <c r="H4839" t="s">
        <v>21</v>
      </c>
      <c r="I4839">
        <v>1</v>
      </c>
      <c r="J4839">
        <v>0</v>
      </c>
      <c r="K4839">
        <v>0</v>
      </c>
    </row>
    <row r="4840" spans="1:11" x14ac:dyDescent="0.25">
      <c r="A4840" t="str">
        <f>"6090"</f>
        <v>6090</v>
      </c>
      <c r="B4840" t="str">
        <f t="shared" si="315"/>
        <v>1</v>
      </c>
      <c r="C4840" t="str">
        <f t="shared" si="317"/>
        <v>267</v>
      </c>
      <c r="D4840" t="str">
        <f>"1"</f>
        <v>1</v>
      </c>
      <c r="E4840" t="str">
        <f>"1-267-1"</f>
        <v>1-267-1</v>
      </c>
      <c r="F4840" t="s">
        <v>15</v>
      </c>
      <c r="G4840" t="s">
        <v>20</v>
      </c>
      <c r="H4840" t="s">
        <v>21</v>
      </c>
      <c r="I4840">
        <v>0</v>
      </c>
      <c r="J4840">
        <v>0</v>
      </c>
      <c r="K4840">
        <v>1</v>
      </c>
    </row>
    <row r="4841" spans="1:11" x14ac:dyDescent="0.25">
      <c r="A4841" t="str">
        <f>"6091"</f>
        <v>6091</v>
      </c>
      <c r="B4841" t="str">
        <f t="shared" si="315"/>
        <v>1</v>
      </c>
      <c r="C4841" t="str">
        <f t="shared" si="317"/>
        <v>267</v>
      </c>
      <c r="D4841" t="str">
        <f>"20"</f>
        <v>20</v>
      </c>
      <c r="E4841" t="str">
        <f>"1-267-20"</f>
        <v>1-267-20</v>
      </c>
      <c r="F4841" t="s">
        <v>15</v>
      </c>
      <c r="G4841" t="s">
        <v>20</v>
      </c>
      <c r="H4841" t="s">
        <v>21</v>
      </c>
      <c r="I4841">
        <v>1</v>
      </c>
      <c r="J4841">
        <v>0</v>
      </c>
      <c r="K4841">
        <v>0</v>
      </c>
    </row>
    <row r="4842" spans="1:11" x14ac:dyDescent="0.25">
      <c r="A4842" t="str">
        <f>"6092"</f>
        <v>6092</v>
      </c>
      <c r="B4842" t="str">
        <f t="shared" si="315"/>
        <v>1</v>
      </c>
      <c r="C4842" t="str">
        <f t="shared" si="317"/>
        <v>267</v>
      </c>
      <c r="D4842" t="str">
        <f>"3"</f>
        <v>3</v>
      </c>
      <c r="E4842" t="str">
        <f>"1-267-3"</f>
        <v>1-267-3</v>
      </c>
      <c r="F4842" t="s">
        <v>15</v>
      </c>
      <c r="G4842" t="s">
        <v>20</v>
      </c>
      <c r="H4842" t="s">
        <v>21</v>
      </c>
      <c r="I4842">
        <v>0</v>
      </c>
      <c r="J4842">
        <v>0</v>
      </c>
      <c r="K4842">
        <v>1</v>
      </c>
    </row>
    <row r="4843" spans="1:11" x14ac:dyDescent="0.25">
      <c r="A4843" t="str">
        <f>"6094"</f>
        <v>6094</v>
      </c>
      <c r="B4843" t="str">
        <f t="shared" si="315"/>
        <v>1</v>
      </c>
      <c r="C4843" t="str">
        <f t="shared" si="317"/>
        <v>267</v>
      </c>
      <c r="D4843" t="str">
        <f>"14"</f>
        <v>14</v>
      </c>
      <c r="E4843" t="str">
        <f>"1-267-14"</f>
        <v>1-267-14</v>
      </c>
      <c r="F4843" t="s">
        <v>15</v>
      </c>
      <c r="G4843" t="s">
        <v>20</v>
      </c>
      <c r="H4843" t="s">
        <v>21</v>
      </c>
      <c r="I4843">
        <v>0</v>
      </c>
      <c r="J4843">
        <v>0</v>
      </c>
      <c r="K4843">
        <v>1</v>
      </c>
    </row>
    <row r="4844" spans="1:11" x14ac:dyDescent="0.25">
      <c r="A4844" t="str">
        <f>"6095"</f>
        <v>6095</v>
      </c>
      <c r="B4844" t="str">
        <f t="shared" si="315"/>
        <v>1</v>
      </c>
      <c r="C4844" t="str">
        <f t="shared" si="317"/>
        <v>267</v>
      </c>
      <c r="D4844" t="str">
        <f>"4"</f>
        <v>4</v>
      </c>
      <c r="E4844" t="str">
        <f>"1-267-4"</f>
        <v>1-267-4</v>
      </c>
      <c r="F4844" t="s">
        <v>15</v>
      </c>
      <c r="G4844" t="s">
        <v>20</v>
      </c>
      <c r="H4844" t="s">
        <v>21</v>
      </c>
      <c r="I4844">
        <v>0</v>
      </c>
      <c r="J4844">
        <v>1</v>
      </c>
      <c r="K4844">
        <v>0</v>
      </c>
    </row>
    <row r="4845" spans="1:11" x14ac:dyDescent="0.25">
      <c r="A4845" t="str">
        <f>"6096"</f>
        <v>6096</v>
      </c>
      <c r="B4845" t="str">
        <f t="shared" si="315"/>
        <v>1</v>
      </c>
      <c r="C4845" t="str">
        <f t="shared" si="317"/>
        <v>267</v>
      </c>
      <c r="D4845" t="str">
        <f>"9"</f>
        <v>9</v>
      </c>
      <c r="E4845" t="str">
        <f>"1-267-9"</f>
        <v>1-267-9</v>
      </c>
      <c r="F4845" t="s">
        <v>15</v>
      </c>
      <c r="G4845" t="s">
        <v>20</v>
      </c>
      <c r="H4845" t="s">
        <v>21</v>
      </c>
      <c r="I4845">
        <v>0</v>
      </c>
      <c r="J4845">
        <v>1</v>
      </c>
      <c r="K4845">
        <v>0</v>
      </c>
    </row>
    <row r="4846" spans="1:11" x14ac:dyDescent="0.25">
      <c r="A4846" t="str">
        <f>"6097"</f>
        <v>6097</v>
      </c>
      <c r="B4846" t="str">
        <f t="shared" si="315"/>
        <v>1</v>
      </c>
      <c r="C4846" t="str">
        <f t="shared" si="317"/>
        <v>267</v>
      </c>
      <c r="D4846" t="str">
        <f>"12"</f>
        <v>12</v>
      </c>
      <c r="E4846" t="str">
        <f>"1-267-12"</f>
        <v>1-267-12</v>
      </c>
      <c r="F4846" t="s">
        <v>15</v>
      </c>
      <c r="G4846" t="s">
        <v>20</v>
      </c>
      <c r="H4846" t="s">
        <v>21</v>
      </c>
      <c r="I4846">
        <v>0</v>
      </c>
      <c r="J4846">
        <v>1</v>
      </c>
      <c r="K4846">
        <v>0</v>
      </c>
    </row>
    <row r="4847" spans="1:11" x14ac:dyDescent="0.25">
      <c r="A4847" t="str">
        <f>"6098"</f>
        <v>6098</v>
      </c>
      <c r="B4847" t="str">
        <f t="shared" si="315"/>
        <v>1</v>
      </c>
      <c r="C4847" t="str">
        <f t="shared" si="317"/>
        <v>267</v>
      </c>
      <c r="D4847" t="str">
        <f>"8"</f>
        <v>8</v>
      </c>
      <c r="E4847" t="str">
        <f>"1-267-8"</f>
        <v>1-267-8</v>
      </c>
      <c r="F4847" t="s">
        <v>15</v>
      </c>
      <c r="G4847" t="s">
        <v>20</v>
      </c>
      <c r="H4847" t="s">
        <v>21</v>
      </c>
      <c r="I4847">
        <v>1</v>
      </c>
      <c r="J4847">
        <v>0</v>
      </c>
      <c r="K4847">
        <v>0</v>
      </c>
    </row>
    <row r="4848" spans="1:11" x14ac:dyDescent="0.25">
      <c r="A4848" t="str">
        <f>"6099"</f>
        <v>6099</v>
      </c>
      <c r="B4848" t="str">
        <f t="shared" si="315"/>
        <v>1</v>
      </c>
      <c r="C4848" t="str">
        <f t="shared" si="317"/>
        <v>267</v>
      </c>
      <c r="D4848" t="str">
        <f>"11"</f>
        <v>11</v>
      </c>
      <c r="E4848" t="str">
        <f>"1-267-11"</f>
        <v>1-267-11</v>
      </c>
      <c r="F4848" t="s">
        <v>15</v>
      </c>
      <c r="G4848" t="s">
        <v>20</v>
      </c>
      <c r="H4848" t="s">
        <v>21</v>
      </c>
      <c r="I4848">
        <v>0</v>
      </c>
      <c r="J4848">
        <v>1</v>
      </c>
      <c r="K4848">
        <v>0</v>
      </c>
    </row>
    <row r="4849" spans="1:11" x14ac:dyDescent="0.25">
      <c r="A4849" t="str">
        <f>"6100"</f>
        <v>6100</v>
      </c>
      <c r="B4849" t="str">
        <f t="shared" si="315"/>
        <v>1</v>
      </c>
      <c r="C4849" t="str">
        <f t="shared" si="317"/>
        <v>267</v>
      </c>
      <c r="D4849" t="str">
        <f>"7"</f>
        <v>7</v>
      </c>
      <c r="E4849" t="str">
        <f>"1-267-7"</f>
        <v>1-267-7</v>
      </c>
      <c r="F4849" t="s">
        <v>15</v>
      </c>
      <c r="G4849" t="s">
        <v>20</v>
      </c>
      <c r="H4849" t="s">
        <v>21</v>
      </c>
      <c r="I4849">
        <v>0</v>
      </c>
      <c r="J4849">
        <v>0</v>
      </c>
      <c r="K4849">
        <v>0</v>
      </c>
    </row>
    <row r="4850" spans="1:11" x14ac:dyDescent="0.25">
      <c r="A4850" t="str">
        <f>"6101"</f>
        <v>6101</v>
      </c>
      <c r="B4850" t="str">
        <f t="shared" si="315"/>
        <v>1</v>
      </c>
      <c r="C4850" t="str">
        <f t="shared" si="317"/>
        <v>267</v>
      </c>
      <c r="D4850" t="str">
        <f>"15"</f>
        <v>15</v>
      </c>
      <c r="E4850" t="str">
        <f>"1-267-15"</f>
        <v>1-267-15</v>
      </c>
      <c r="F4850" t="s">
        <v>15</v>
      </c>
      <c r="G4850" t="s">
        <v>20</v>
      </c>
      <c r="H4850" t="s">
        <v>21</v>
      </c>
      <c r="I4850">
        <v>0</v>
      </c>
      <c r="J4850">
        <v>0</v>
      </c>
      <c r="K4850">
        <v>0</v>
      </c>
    </row>
    <row r="4851" spans="1:11" x14ac:dyDescent="0.25">
      <c r="A4851" t="str">
        <f>"6102"</f>
        <v>6102</v>
      </c>
      <c r="B4851" t="str">
        <f t="shared" si="315"/>
        <v>1</v>
      </c>
      <c r="C4851" t="str">
        <f t="shared" si="317"/>
        <v>267</v>
      </c>
      <c r="D4851" t="str">
        <f>"13"</f>
        <v>13</v>
      </c>
      <c r="E4851" t="str">
        <f>"1-267-13"</f>
        <v>1-267-13</v>
      </c>
      <c r="F4851" t="s">
        <v>15</v>
      </c>
      <c r="G4851" t="s">
        <v>20</v>
      </c>
      <c r="H4851" t="s">
        <v>21</v>
      </c>
      <c r="I4851">
        <v>0</v>
      </c>
      <c r="J4851">
        <v>0</v>
      </c>
      <c r="K4851">
        <v>0</v>
      </c>
    </row>
    <row r="4852" spans="1:11" x14ac:dyDescent="0.25">
      <c r="A4852" t="str">
        <f>"6103"</f>
        <v>6103</v>
      </c>
      <c r="B4852" t="str">
        <f t="shared" si="315"/>
        <v>1</v>
      </c>
      <c r="C4852" t="str">
        <f t="shared" ref="C4852:C4878" si="318">"268"</f>
        <v>268</v>
      </c>
      <c r="D4852" t="str">
        <f>"27"</f>
        <v>27</v>
      </c>
      <c r="E4852" t="str">
        <f>"1-268-27"</f>
        <v>1-268-27</v>
      </c>
      <c r="F4852" t="s">
        <v>15</v>
      </c>
      <c r="G4852" t="s">
        <v>16</v>
      </c>
      <c r="H4852" t="s">
        <v>17</v>
      </c>
      <c r="I4852">
        <v>0</v>
      </c>
      <c r="J4852">
        <v>1</v>
      </c>
      <c r="K4852">
        <v>0</v>
      </c>
    </row>
    <row r="4853" spans="1:11" x14ac:dyDescent="0.25">
      <c r="A4853" t="str">
        <f>"6104"</f>
        <v>6104</v>
      </c>
      <c r="B4853" t="str">
        <f t="shared" si="315"/>
        <v>1</v>
      </c>
      <c r="C4853" t="str">
        <f t="shared" si="318"/>
        <v>268</v>
      </c>
      <c r="D4853" t="str">
        <f>"26"</f>
        <v>26</v>
      </c>
      <c r="E4853" t="str">
        <f>"1-268-26"</f>
        <v>1-268-26</v>
      </c>
      <c r="F4853" t="s">
        <v>15</v>
      </c>
      <c r="G4853" t="s">
        <v>16</v>
      </c>
      <c r="H4853" t="s">
        <v>17</v>
      </c>
      <c r="I4853">
        <v>0</v>
      </c>
      <c r="J4853">
        <v>0</v>
      </c>
      <c r="K4853">
        <v>1</v>
      </c>
    </row>
    <row r="4854" spans="1:11" x14ac:dyDescent="0.25">
      <c r="A4854" t="str">
        <f>"6105"</f>
        <v>6105</v>
      </c>
      <c r="B4854" t="str">
        <f t="shared" si="315"/>
        <v>1</v>
      </c>
      <c r="C4854" t="str">
        <f t="shared" si="318"/>
        <v>268</v>
      </c>
      <c r="D4854" t="str">
        <f>"17"</f>
        <v>17</v>
      </c>
      <c r="E4854" t="str">
        <f>"1-268-17"</f>
        <v>1-268-17</v>
      </c>
      <c r="F4854" t="s">
        <v>15</v>
      </c>
      <c r="G4854" t="s">
        <v>18</v>
      </c>
      <c r="H4854" t="s">
        <v>19</v>
      </c>
      <c r="I4854">
        <v>0</v>
      </c>
      <c r="J4854">
        <v>1</v>
      </c>
      <c r="K4854">
        <v>0</v>
      </c>
    </row>
    <row r="4855" spans="1:11" x14ac:dyDescent="0.25">
      <c r="A4855" t="str">
        <f>"6106"</f>
        <v>6106</v>
      </c>
      <c r="B4855" t="str">
        <f t="shared" ref="B4855:B4905" si="319">"1"</f>
        <v>1</v>
      </c>
      <c r="C4855" t="str">
        <f t="shared" si="318"/>
        <v>268</v>
      </c>
      <c r="D4855" t="str">
        <f>"15"</f>
        <v>15</v>
      </c>
      <c r="E4855" t="str">
        <f>"1-268-15"</f>
        <v>1-268-15</v>
      </c>
      <c r="F4855" t="s">
        <v>15</v>
      </c>
      <c r="G4855" t="s">
        <v>16</v>
      </c>
      <c r="H4855" t="s">
        <v>17</v>
      </c>
      <c r="I4855">
        <v>1</v>
      </c>
      <c r="J4855">
        <v>0</v>
      </c>
      <c r="K4855">
        <v>0</v>
      </c>
    </row>
    <row r="4856" spans="1:11" x14ac:dyDescent="0.25">
      <c r="A4856" t="str">
        <f>"6107"</f>
        <v>6107</v>
      </c>
      <c r="B4856" t="str">
        <f t="shared" si="319"/>
        <v>1</v>
      </c>
      <c r="C4856" t="str">
        <f t="shared" si="318"/>
        <v>268</v>
      </c>
      <c r="D4856" t="str">
        <f>"7"</f>
        <v>7</v>
      </c>
      <c r="E4856" t="str">
        <f>"1-268-7"</f>
        <v>1-268-7</v>
      </c>
      <c r="F4856" t="s">
        <v>15</v>
      </c>
      <c r="G4856" t="s">
        <v>16</v>
      </c>
      <c r="H4856" t="s">
        <v>17</v>
      </c>
      <c r="I4856">
        <v>0</v>
      </c>
      <c r="J4856">
        <v>1</v>
      </c>
      <c r="K4856">
        <v>0</v>
      </c>
    </row>
    <row r="4857" spans="1:11" x14ac:dyDescent="0.25">
      <c r="A4857" t="str">
        <f>"6109"</f>
        <v>6109</v>
      </c>
      <c r="B4857" t="str">
        <f t="shared" si="319"/>
        <v>1</v>
      </c>
      <c r="C4857" t="str">
        <f t="shared" si="318"/>
        <v>268</v>
      </c>
      <c r="D4857" t="str">
        <f>"16"</f>
        <v>16</v>
      </c>
      <c r="E4857" t="str">
        <f>"1-268-16"</f>
        <v>1-268-16</v>
      </c>
      <c r="F4857" t="s">
        <v>15</v>
      </c>
      <c r="G4857" t="s">
        <v>16</v>
      </c>
      <c r="H4857" t="s">
        <v>17</v>
      </c>
      <c r="I4857">
        <v>1</v>
      </c>
      <c r="J4857">
        <v>0</v>
      </c>
      <c r="K4857">
        <v>0</v>
      </c>
    </row>
    <row r="4858" spans="1:11" x14ac:dyDescent="0.25">
      <c r="A4858" t="str">
        <f>"6110"</f>
        <v>6110</v>
      </c>
      <c r="B4858" t="str">
        <f t="shared" si="319"/>
        <v>1</v>
      </c>
      <c r="C4858" t="str">
        <f t="shared" si="318"/>
        <v>268</v>
      </c>
      <c r="D4858" t="str">
        <f>"18"</f>
        <v>18</v>
      </c>
      <c r="E4858" t="str">
        <f>"1-268-18"</f>
        <v>1-268-18</v>
      </c>
      <c r="F4858" t="s">
        <v>15</v>
      </c>
      <c r="G4858" t="s">
        <v>18</v>
      </c>
      <c r="H4858" t="s">
        <v>19</v>
      </c>
      <c r="I4858">
        <v>0</v>
      </c>
      <c r="J4858">
        <v>1</v>
      </c>
      <c r="K4858">
        <v>0</v>
      </c>
    </row>
    <row r="4859" spans="1:11" x14ac:dyDescent="0.25">
      <c r="A4859" t="str">
        <f>"6112"</f>
        <v>6112</v>
      </c>
      <c r="B4859" t="str">
        <f t="shared" si="319"/>
        <v>1</v>
      </c>
      <c r="C4859" t="str">
        <f t="shared" si="318"/>
        <v>268</v>
      </c>
      <c r="D4859" t="str">
        <f>"19"</f>
        <v>19</v>
      </c>
      <c r="E4859" t="str">
        <f>"1-268-19"</f>
        <v>1-268-19</v>
      </c>
      <c r="F4859" t="s">
        <v>15</v>
      </c>
      <c r="G4859" t="s">
        <v>16</v>
      </c>
      <c r="H4859" t="s">
        <v>17</v>
      </c>
      <c r="I4859">
        <v>0</v>
      </c>
      <c r="J4859">
        <v>1</v>
      </c>
      <c r="K4859">
        <v>0</v>
      </c>
    </row>
    <row r="4860" spans="1:11" x14ac:dyDescent="0.25">
      <c r="A4860" t="str">
        <f>"6114"</f>
        <v>6114</v>
      </c>
      <c r="B4860" t="str">
        <f t="shared" si="319"/>
        <v>1</v>
      </c>
      <c r="C4860" t="str">
        <f t="shared" si="318"/>
        <v>268</v>
      </c>
      <c r="D4860" t="str">
        <f>"20"</f>
        <v>20</v>
      </c>
      <c r="E4860" t="str">
        <f>"1-268-20"</f>
        <v>1-268-20</v>
      </c>
      <c r="F4860" t="s">
        <v>15</v>
      </c>
      <c r="G4860" t="s">
        <v>16</v>
      </c>
      <c r="H4860" t="s">
        <v>17</v>
      </c>
      <c r="I4860">
        <v>1</v>
      </c>
      <c r="J4860">
        <v>0</v>
      </c>
      <c r="K4860">
        <v>0</v>
      </c>
    </row>
    <row r="4861" spans="1:11" x14ac:dyDescent="0.25">
      <c r="A4861" t="str">
        <f>"6115"</f>
        <v>6115</v>
      </c>
      <c r="B4861" t="str">
        <f t="shared" si="319"/>
        <v>1</v>
      </c>
      <c r="C4861" t="str">
        <f t="shared" si="318"/>
        <v>268</v>
      </c>
      <c r="D4861" t="str">
        <f>"2"</f>
        <v>2</v>
      </c>
      <c r="E4861" t="str">
        <f>"1-268-2"</f>
        <v>1-268-2</v>
      </c>
      <c r="F4861" t="s">
        <v>15</v>
      </c>
      <c r="G4861" t="s">
        <v>18</v>
      </c>
      <c r="H4861" t="s">
        <v>19</v>
      </c>
      <c r="I4861">
        <v>1</v>
      </c>
      <c r="J4861">
        <v>0</v>
      </c>
      <c r="K4861">
        <v>0</v>
      </c>
    </row>
    <row r="4862" spans="1:11" x14ac:dyDescent="0.25">
      <c r="A4862" t="str">
        <f>"6116"</f>
        <v>6116</v>
      </c>
      <c r="B4862" t="str">
        <f t="shared" si="319"/>
        <v>1</v>
      </c>
      <c r="C4862" t="str">
        <f t="shared" si="318"/>
        <v>268</v>
      </c>
      <c r="D4862" t="str">
        <f>"22"</f>
        <v>22</v>
      </c>
      <c r="E4862" t="str">
        <f>"1-268-22"</f>
        <v>1-268-22</v>
      </c>
      <c r="F4862" t="s">
        <v>15</v>
      </c>
      <c r="G4862" t="s">
        <v>18</v>
      </c>
      <c r="H4862" t="s">
        <v>19</v>
      </c>
      <c r="I4862">
        <v>0</v>
      </c>
      <c r="J4862">
        <v>1</v>
      </c>
      <c r="K4862">
        <v>0</v>
      </c>
    </row>
    <row r="4863" spans="1:11" x14ac:dyDescent="0.25">
      <c r="A4863" t="str">
        <f>"6117"</f>
        <v>6117</v>
      </c>
      <c r="B4863" t="str">
        <f t="shared" si="319"/>
        <v>1</v>
      </c>
      <c r="C4863" t="str">
        <f t="shared" si="318"/>
        <v>268</v>
      </c>
      <c r="D4863" t="str">
        <f>"13"</f>
        <v>13</v>
      </c>
      <c r="E4863" t="str">
        <f>"1-268-13"</f>
        <v>1-268-13</v>
      </c>
      <c r="F4863" t="s">
        <v>15</v>
      </c>
      <c r="G4863" t="s">
        <v>18</v>
      </c>
      <c r="H4863" t="s">
        <v>19</v>
      </c>
      <c r="I4863">
        <v>0</v>
      </c>
      <c r="J4863">
        <v>0</v>
      </c>
      <c r="K4863">
        <v>1</v>
      </c>
    </row>
    <row r="4864" spans="1:11" x14ac:dyDescent="0.25">
      <c r="A4864" t="str">
        <f>"6119"</f>
        <v>6119</v>
      </c>
      <c r="B4864" t="str">
        <f t="shared" si="319"/>
        <v>1</v>
      </c>
      <c r="C4864" t="str">
        <f t="shared" si="318"/>
        <v>268</v>
      </c>
      <c r="D4864" t="str">
        <f>"9"</f>
        <v>9</v>
      </c>
      <c r="E4864" t="str">
        <f>"1-268-9"</f>
        <v>1-268-9</v>
      </c>
      <c r="F4864" t="s">
        <v>15</v>
      </c>
      <c r="G4864" t="s">
        <v>16</v>
      </c>
      <c r="H4864" t="s">
        <v>17</v>
      </c>
      <c r="I4864">
        <v>0</v>
      </c>
      <c r="J4864">
        <v>1</v>
      </c>
      <c r="K4864">
        <v>0</v>
      </c>
    </row>
    <row r="4865" spans="1:11" x14ac:dyDescent="0.25">
      <c r="A4865" t="str">
        <f>"6120"</f>
        <v>6120</v>
      </c>
      <c r="B4865" t="str">
        <f t="shared" si="319"/>
        <v>1</v>
      </c>
      <c r="C4865" t="str">
        <f t="shared" si="318"/>
        <v>268</v>
      </c>
      <c r="D4865" t="str">
        <f>"24"</f>
        <v>24</v>
      </c>
      <c r="E4865" t="str">
        <f>"1-268-24"</f>
        <v>1-268-24</v>
      </c>
      <c r="F4865" t="s">
        <v>15</v>
      </c>
      <c r="G4865" t="s">
        <v>16</v>
      </c>
      <c r="H4865" t="s">
        <v>17</v>
      </c>
      <c r="I4865">
        <v>0</v>
      </c>
      <c r="J4865">
        <v>0</v>
      </c>
      <c r="K4865">
        <v>1</v>
      </c>
    </row>
    <row r="4866" spans="1:11" x14ac:dyDescent="0.25">
      <c r="A4866" t="str">
        <f>"6121"</f>
        <v>6121</v>
      </c>
      <c r="B4866" t="str">
        <f t="shared" si="319"/>
        <v>1</v>
      </c>
      <c r="C4866" t="str">
        <f t="shared" si="318"/>
        <v>268</v>
      </c>
      <c r="D4866" t="str">
        <f>"4"</f>
        <v>4</v>
      </c>
      <c r="E4866" t="str">
        <f>"1-268-4"</f>
        <v>1-268-4</v>
      </c>
      <c r="F4866" t="s">
        <v>15</v>
      </c>
      <c r="G4866" t="s">
        <v>16</v>
      </c>
      <c r="H4866" t="s">
        <v>17</v>
      </c>
      <c r="I4866">
        <v>1</v>
      </c>
      <c r="J4866">
        <v>0</v>
      </c>
      <c r="K4866">
        <v>0</v>
      </c>
    </row>
    <row r="4867" spans="1:11" x14ac:dyDescent="0.25">
      <c r="A4867" t="str">
        <f>"6122"</f>
        <v>6122</v>
      </c>
      <c r="B4867" t="str">
        <f t="shared" si="319"/>
        <v>1</v>
      </c>
      <c r="C4867" t="str">
        <f t="shared" si="318"/>
        <v>268</v>
      </c>
      <c r="D4867" t="str">
        <f>"25"</f>
        <v>25</v>
      </c>
      <c r="E4867" t="str">
        <f>"1-268-25"</f>
        <v>1-268-25</v>
      </c>
      <c r="F4867" t="s">
        <v>15</v>
      </c>
      <c r="G4867" t="s">
        <v>16</v>
      </c>
      <c r="H4867" t="s">
        <v>17</v>
      </c>
      <c r="I4867">
        <v>0</v>
      </c>
      <c r="J4867">
        <v>1</v>
      </c>
      <c r="K4867">
        <v>0</v>
      </c>
    </row>
    <row r="4868" spans="1:11" x14ac:dyDescent="0.25">
      <c r="A4868" t="str">
        <f>"6123"</f>
        <v>6123</v>
      </c>
      <c r="B4868" t="str">
        <f t="shared" si="319"/>
        <v>1</v>
      </c>
      <c r="C4868" t="str">
        <f t="shared" si="318"/>
        <v>268</v>
      </c>
      <c r="D4868" t="str">
        <f>"12"</f>
        <v>12</v>
      </c>
      <c r="E4868" t="str">
        <f>"1-268-12"</f>
        <v>1-268-12</v>
      </c>
      <c r="F4868" t="s">
        <v>15</v>
      </c>
      <c r="G4868" t="s">
        <v>18</v>
      </c>
      <c r="H4868" t="s">
        <v>19</v>
      </c>
      <c r="I4868">
        <v>0</v>
      </c>
      <c r="J4868">
        <v>1</v>
      </c>
      <c r="K4868">
        <v>0</v>
      </c>
    </row>
    <row r="4869" spans="1:11" x14ac:dyDescent="0.25">
      <c r="A4869" t="str">
        <f>"6124"</f>
        <v>6124</v>
      </c>
      <c r="B4869" t="str">
        <f t="shared" si="319"/>
        <v>1</v>
      </c>
      <c r="C4869" t="str">
        <f t="shared" si="318"/>
        <v>268</v>
      </c>
      <c r="D4869" t="str">
        <f>"28"</f>
        <v>28</v>
      </c>
      <c r="E4869" t="str">
        <f>"1-268-28"</f>
        <v>1-268-28</v>
      </c>
      <c r="F4869" t="s">
        <v>15</v>
      </c>
      <c r="G4869" t="s">
        <v>16</v>
      </c>
      <c r="H4869" t="s">
        <v>17</v>
      </c>
      <c r="I4869">
        <v>0</v>
      </c>
      <c r="J4869">
        <v>1</v>
      </c>
      <c r="K4869">
        <v>0</v>
      </c>
    </row>
    <row r="4870" spans="1:11" x14ac:dyDescent="0.25">
      <c r="A4870" t="str">
        <f>"6125"</f>
        <v>6125</v>
      </c>
      <c r="B4870" t="str">
        <f t="shared" si="319"/>
        <v>1</v>
      </c>
      <c r="C4870" t="str">
        <f t="shared" si="318"/>
        <v>268</v>
      </c>
      <c r="D4870" t="str">
        <f>"1"</f>
        <v>1</v>
      </c>
      <c r="E4870" t="str">
        <f>"1-268-1"</f>
        <v>1-268-1</v>
      </c>
      <c r="F4870" t="s">
        <v>15</v>
      </c>
      <c r="G4870" t="s">
        <v>18</v>
      </c>
      <c r="H4870" t="s">
        <v>19</v>
      </c>
      <c r="I4870">
        <v>0</v>
      </c>
      <c r="J4870">
        <v>0</v>
      </c>
      <c r="K4870">
        <v>1</v>
      </c>
    </row>
    <row r="4871" spans="1:11" x14ac:dyDescent="0.25">
      <c r="A4871" t="str">
        <f>"6126"</f>
        <v>6126</v>
      </c>
      <c r="B4871" t="str">
        <f t="shared" si="319"/>
        <v>1</v>
      </c>
      <c r="C4871" t="str">
        <f t="shared" si="318"/>
        <v>268</v>
      </c>
      <c r="D4871" t="str">
        <f>"29"</f>
        <v>29</v>
      </c>
      <c r="E4871" t="str">
        <f>"1-268-29"</f>
        <v>1-268-29</v>
      </c>
      <c r="F4871" t="s">
        <v>15</v>
      </c>
      <c r="G4871" t="s">
        <v>16</v>
      </c>
      <c r="H4871" t="s">
        <v>17</v>
      </c>
      <c r="I4871">
        <v>0</v>
      </c>
      <c r="J4871">
        <v>0</v>
      </c>
      <c r="K4871">
        <v>1</v>
      </c>
    </row>
    <row r="4872" spans="1:11" x14ac:dyDescent="0.25">
      <c r="A4872" t="str">
        <f>"6127"</f>
        <v>6127</v>
      </c>
      <c r="B4872" t="str">
        <f t="shared" si="319"/>
        <v>1</v>
      </c>
      <c r="C4872" t="str">
        <f t="shared" si="318"/>
        <v>268</v>
      </c>
      <c r="D4872" t="str">
        <f>"8"</f>
        <v>8</v>
      </c>
      <c r="E4872" t="str">
        <f>"1-268-8"</f>
        <v>1-268-8</v>
      </c>
      <c r="F4872" t="s">
        <v>15</v>
      </c>
      <c r="G4872" t="s">
        <v>16</v>
      </c>
      <c r="H4872" t="s">
        <v>17</v>
      </c>
      <c r="I4872">
        <v>0</v>
      </c>
      <c r="J4872">
        <v>1</v>
      </c>
      <c r="K4872">
        <v>0</v>
      </c>
    </row>
    <row r="4873" spans="1:11" x14ac:dyDescent="0.25">
      <c r="A4873" t="str">
        <f>"6128"</f>
        <v>6128</v>
      </c>
      <c r="B4873" t="str">
        <f t="shared" si="319"/>
        <v>1</v>
      </c>
      <c r="C4873" t="str">
        <f t="shared" si="318"/>
        <v>268</v>
      </c>
      <c r="D4873" t="str">
        <f>"30"</f>
        <v>30</v>
      </c>
      <c r="E4873" t="str">
        <f>"1-268-30"</f>
        <v>1-268-30</v>
      </c>
      <c r="F4873" t="s">
        <v>15</v>
      </c>
      <c r="G4873" t="s">
        <v>16</v>
      </c>
      <c r="H4873" t="s">
        <v>17</v>
      </c>
      <c r="I4873">
        <v>0</v>
      </c>
      <c r="J4873">
        <v>1</v>
      </c>
      <c r="K4873">
        <v>0</v>
      </c>
    </row>
    <row r="4874" spans="1:11" x14ac:dyDescent="0.25">
      <c r="A4874" t="str">
        <f>"6129"</f>
        <v>6129</v>
      </c>
      <c r="B4874" t="str">
        <f t="shared" si="319"/>
        <v>1</v>
      </c>
      <c r="C4874" t="str">
        <f t="shared" si="318"/>
        <v>268</v>
      </c>
      <c r="D4874" t="str">
        <f>"6"</f>
        <v>6</v>
      </c>
      <c r="E4874" t="str">
        <f>"1-268-6"</f>
        <v>1-268-6</v>
      </c>
      <c r="F4874" t="s">
        <v>15</v>
      </c>
      <c r="G4874" t="s">
        <v>18</v>
      </c>
      <c r="H4874" t="s">
        <v>19</v>
      </c>
      <c r="I4874">
        <v>1</v>
      </c>
      <c r="J4874">
        <v>0</v>
      </c>
      <c r="K4874">
        <v>0</v>
      </c>
    </row>
    <row r="4875" spans="1:11" x14ac:dyDescent="0.25">
      <c r="A4875" t="str">
        <f>"6130"</f>
        <v>6130</v>
      </c>
      <c r="B4875" t="str">
        <f t="shared" si="319"/>
        <v>1</v>
      </c>
      <c r="C4875" t="str">
        <f t="shared" si="318"/>
        <v>268</v>
      </c>
      <c r="D4875" t="str">
        <f>"31"</f>
        <v>31</v>
      </c>
      <c r="E4875" t="str">
        <f>"1-268-31"</f>
        <v>1-268-31</v>
      </c>
      <c r="F4875" t="s">
        <v>15</v>
      </c>
      <c r="G4875" t="s">
        <v>16</v>
      </c>
      <c r="H4875" t="s">
        <v>17</v>
      </c>
      <c r="I4875">
        <v>1</v>
      </c>
      <c r="J4875">
        <v>0</v>
      </c>
      <c r="K4875">
        <v>0</v>
      </c>
    </row>
    <row r="4876" spans="1:11" x14ac:dyDescent="0.25">
      <c r="A4876" t="str">
        <f>"6131"</f>
        <v>6131</v>
      </c>
      <c r="B4876" t="str">
        <f t="shared" si="319"/>
        <v>1</v>
      </c>
      <c r="C4876" t="str">
        <f t="shared" si="318"/>
        <v>268</v>
      </c>
      <c r="D4876" t="str">
        <f>"11"</f>
        <v>11</v>
      </c>
      <c r="E4876" t="str">
        <f>"1-268-11"</f>
        <v>1-268-11</v>
      </c>
      <c r="F4876" t="s">
        <v>15</v>
      </c>
      <c r="G4876" t="s">
        <v>18</v>
      </c>
      <c r="H4876" t="s">
        <v>19</v>
      </c>
      <c r="I4876">
        <v>0</v>
      </c>
      <c r="J4876">
        <v>1</v>
      </c>
      <c r="K4876">
        <v>0</v>
      </c>
    </row>
    <row r="4877" spans="1:11" x14ac:dyDescent="0.25">
      <c r="A4877" t="str">
        <f>"6132"</f>
        <v>6132</v>
      </c>
      <c r="B4877" t="str">
        <f t="shared" si="319"/>
        <v>1</v>
      </c>
      <c r="C4877" t="str">
        <f t="shared" si="318"/>
        <v>268</v>
      </c>
      <c r="D4877" t="str">
        <f>"14"</f>
        <v>14</v>
      </c>
      <c r="E4877" t="str">
        <f>"1-268-14"</f>
        <v>1-268-14</v>
      </c>
      <c r="F4877" t="s">
        <v>15</v>
      </c>
      <c r="G4877" t="s">
        <v>16</v>
      </c>
      <c r="H4877" t="s">
        <v>17</v>
      </c>
      <c r="I4877">
        <v>0</v>
      </c>
      <c r="J4877">
        <v>1</v>
      </c>
      <c r="K4877">
        <v>0</v>
      </c>
    </row>
    <row r="4878" spans="1:11" x14ac:dyDescent="0.25">
      <c r="A4878" t="str">
        <f>"6133"</f>
        <v>6133</v>
      </c>
      <c r="B4878" t="str">
        <f t="shared" si="319"/>
        <v>1</v>
      </c>
      <c r="C4878" t="str">
        <f t="shared" si="318"/>
        <v>268</v>
      </c>
      <c r="D4878" t="str">
        <f>"3"</f>
        <v>3</v>
      </c>
      <c r="E4878" t="str">
        <f>"1-268-3"</f>
        <v>1-268-3</v>
      </c>
      <c r="F4878" t="s">
        <v>15</v>
      </c>
      <c r="G4878" t="s">
        <v>16</v>
      </c>
      <c r="H4878" t="s">
        <v>17</v>
      </c>
      <c r="I4878">
        <v>0</v>
      </c>
      <c r="J4878">
        <v>0</v>
      </c>
      <c r="K4878">
        <v>0</v>
      </c>
    </row>
    <row r="4879" spans="1:11" x14ac:dyDescent="0.25">
      <c r="A4879" t="str">
        <f>"6135"</f>
        <v>6135</v>
      </c>
      <c r="B4879" t="str">
        <f t="shared" si="319"/>
        <v>1</v>
      </c>
      <c r="C4879" t="str">
        <f t="shared" ref="C4879:C4894" si="320">"269"</f>
        <v>269</v>
      </c>
      <c r="D4879" t="str">
        <f>"7"</f>
        <v>7</v>
      </c>
      <c r="E4879" t="str">
        <f>"1-269-7"</f>
        <v>1-269-7</v>
      </c>
      <c r="F4879" t="s">
        <v>15</v>
      </c>
      <c r="G4879" t="s">
        <v>16</v>
      </c>
      <c r="H4879" t="s">
        <v>17</v>
      </c>
      <c r="I4879">
        <v>0</v>
      </c>
      <c r="J4879">
        <v>0</v>
      </c>
      <c r="K4879">
        <v>1</v>
      </c>
    </row>
    <row r="4880" spans="1:11" x14ac:dyDescent="0.25">
      <c r="A4880" t="str">
        <f>"6136"</f>
        <v>6136</v>
      </c>
      <c r="B4880" t="str">
        <f t="shared" si="319"/>
        <v>1</v>
      </c>
      <c r="C4880" t="str">
        <f t="shared" si="320"/>
        <v>269</v>
      </c>
      <c r="D4880" t="str">
        <f>"16"</f>
        <v>16</v>
      </c>
      <c r="E4880" t="str">
        <f>"1-269-16"</f>
        <v>1-269-16</v>
      </c>
      <c r="F4880" t="s">
        <v>15</v>
      </c>
      <c r="G4880" t="s">
        <v>16</v>
      </c>
      <c r="H4880" t="s">
        <v>17</v>
      </c>
      <c r="I4880">
        <v>0</v>
      </c>
      <c r="J4880">
        <v>1</v>
      </c>
      <c r="K4880">
        <v>0</v>
      </c>
    </row>
    <row r="4881" spans="1:11" x14ac:dyDescent="0.25">
      <c r="A4881" t="str">
        <f>"6137"</f>
        <v>6137</v>
      </c>
      <c r="B4881" t="str">
        <f t="shared" si="319"/>
        <v>1</v>
      </c>
      <c r="C4881" t="str">
        <f t="shared" si="320"/>
        <v>269</v>
      </c>
      <c r="D4881" t="str">
        <f>"1"</f>
        <v>1</v>
      </c>
      <c r="E4881" t="str">
        <f>"1-269-1"</f>
        <v>1-269-1</v>
      </c>
      <c r="F4881" t="s">
        <v>15</v>
      </c>
      <c r="G4881" t="s">
        <v>16</v>
      </c>
      <c r="H4881" t="s">
        <v>17</v>
      </c>
      <c r="I4881">
        <v>0</v>
      </c>
      <c r="J4881">
        <v>1</v>
      </c>
      <c r="K4881">
        <v>0</v>
      </c>
    </row>
    <row r="4882" spans="1:11" x14ac:dyDescent="0.25">
      <c r="A4882" t="str">
        <f>"6138"</f>
        <v>6138</v>
      </c>
      <c r="B4882" t="str">
        <f t="shared" si="319"/>
        <v>1</v>
      </c>
      <c r="C4882" t="str">
        <f t="shared" si="320"/>
        <v>269</v>
      </c>
      <c r="D4882" t="str">
        <f>"17"</f>
        <v>17</v>
      </c>
      <c r="E4882" t="str">
        <f>"1-269-17"</f>
        <v>1-269-17</v>
      </c>
      <c r="F4882" t="s">
        <v>15</v>
      </c>
      <c r="G4882" t="s">
        <v>16</v>
      </c>
      <c r="H4882" t="s">
        <v>17</v>
      </c>
      <c r="I4882">
        <v>0</v>
      </c>
      <c r="J4882">
        <v>0</v>
      </c>
      <c r="K4882">
        <v>1</v>
      </c>
    </row>
    <row r="4883" spans="1:11" x14ac:dyDescent="0.25">
      <c r="A4883" t="str">
        <f>"6139"</f>
        <v>6139</v>
      </c>
      <c r="B4883" t="str">
        <f t="shared" si="319"/>
        <v>1</v>
      </c>
      <c r="C4883" t="str">
        <f t="shared" si="320"/>
        <v>269</v>
      </c>
      <c r="D4883" t="str">
        <f>"5"</f>
        <v>5</v>
      </c>
      <c r="E4883" t="str">
        <f>"1-269-5"</f>
        <v>1-269-5</v>
      </c>
      <c r="F4883" t="s">
        <v>15</v>
      </c>
      <c r="G4883" t="s">
        <v>16</v>
      </c>
      <c r="H4883" t="s">
        <v>17</v>
      </c>
      <c r="I4883">
        <v>0</v>
      </c>
      <c r="J4883">
        <v>0</v>
      </c>
      <c r="K4883">
        <v>1</v>
      </c>
    </row>
    <row r="4884" spans="1:11" x14ac:dyDescent="0.25">
      <c r="A4884" t="str">
        <f>"6140"</f>
        <v>6140</v>
      </c>
      <c r="B4884" t="str">
        <f t="shared" si="319"/>
        <v>1</v>
      </c>
      <c r="C4884" t="str">
        <f t="shared" si="320"/>
        <v>269</v>
      </c>
      <c r="D4884" t="str">
        <f>"18"</f>
        <v>18</v>
      </c>
      <c r="E4884" t="str">
        <f>"1-269-18"</f>
        <v>1-269-18</v>
      </c>
      <c r="F4884" t="s">
        <v>15</v>
      </c>
      <c r="G4884" t="s">
        <v>16</v>
      </c>
      <c r="H4884" t="s">
        <v>17</v>
      </c>
      <c r="I4884">
        <v>0</v>
      </c>
      <c r="J4884">
        <v>0</v>
      </c>
      <c r="K4884">
        <v>1</v>
      </c>
    </row>
    <row r="4885" spans="1:11" x14ac:dyDescent="0.25">
      <c r="A4885" t="str">
        <f>"6141"</f>
        <v>6141</v>
      </c>
      <c r="B4885" t="str">
        <f t="shared" si="319"/>
        <v>1</v>
      </c>
      <c r="C4885" t="str">
        <f t="shared" si="320"/>
        <v>269</v>
      </c>
      <c r="D4885" t="str">
        <f>"9"</f>
        <v>9</v>
      </c>
      <c r="E4885" t="str">
        <f>"1-269-9"</f>
        <v>1-269-9</v>
      </c>
      <c r="F4885" t="s">
        <v>15</v>
      </c>
      <c r="G4885" t="s">
        <v>16</v>
      </c>
      <c r="H4885" t="s">
        <v>17</v>
      </c>
      <c r="I4885">
        <v>0</v>
      </c>
      <c r="J4885">
        <v>1</v>
      </c>
      <c r="K4885">
        <v>0</v>
      </c>
    </row>
    <row r="4886" spans="1:11" x14ac:dyDescent="0.25">
      <c r="A4886" t="str">
        <f>"6144"</f>
        <v>6144</v>
      </c>
      <c r="B4886" t="str">
        <f t="shared" si="319"/>
        <v>1</v>
      </c>
      <c r="C4886" t="str">
        <f t="shared" si="320"/>
        <v>269</v>
      </c>
      <c r="D4886" t="str">
        <f>"21"</f>
        <v>21</v>
      </c>
      <c r="E4886" t="str">
        <f>"1-269-21"</f>
        <v>1-269-21</v>
      </c>
      <c r="F4886" t="s">
        <v>15</v>
      </c>
      <c r="G4886" t="s">
        <v>16</v>
      </c>
      <c r="H4886" t="s">
        <v>17</v>
      </c>
      <c r="I4886">
        <v>0</v>
      </c>
      <c r="J4886">
        <v>0</v>
      </c>
      <c r="K4886">
        <v>1</v>
      </c>
    </row>
    <row r="4887" spans="1:11" x14ac:dyDescent="0.25">
      <c r="A4887" t="str">
        <f>"6147"</f>
        <v>6147</v>
      </c>
      <c r="B4887" t="str">
        <f t="shared" si="319"/>
        <v>1</v>
      </c>
      <c r="C4887" t="str">
        <f t="shared" si="320"/>
        <v>269</v>
      </c>
      <c r="D4887" t="str">
        <f>"4"</f>
        <v>4</v>
      </c>
      <c r="E4887" t="str">
        <f>"1-269-4"</f>
        <v>1-269-4</v>
      </c>
      <c r="F4887" t="s">
        <v>15</v>
      </c>
      <c r="G4887" t="s">
        <v>16</v>
      </c>
      <c r="H4887" t="s">
        <v>17</v>
      </c>
      <c r="I4887">
        <v>0</v>
      </c>
      <c r="J4887">
        <v>0</v>
      </c>
      <c r="K4887">
        <v>1</v>
      </c>
    </row>
    <row r="4888" spans="1:11" x14ac:dyDescent="0.25">
      <c r="A4888" t="str">
        <f>"6148"</f>
        <v>6148</v>
      </c>
      <c r="B4888" t="str">
        <f t="shared" si="319"/>
        <v>1</v>
      </c>
      <c r="C4888" t="str">
        <f t="shared" si="320"/>
        <v>269</v>
      </c>
      <c r="D4888" t="str">
        <f>"6"</f>
        <v>6</v>
      </c>
      <c r="E4888" t="str">
        <f>"1-269-6"</f>
        <v>1-269-6</v>
      </c>
      <c r="F4888" t="s">
        <v>15</v>
      </c>
      <c r="G4888" t="s">
        <v>16</v>
      </c>
      <c r="H4888" t="s">
        <v>17</v>
      </c>
      <c r="I4888">
        <v>0</v>
      </c>
      <c r="J4888">
        <v>0</v>
      </c>
      <c r="K4888">
        <v>1</v>
      </c>
    </row>
    <row r="4889" spans="1:11" x14ac:dyDescent="0.25">
      <c r="A4889" t="str">
        <f>"6149"</f>
        <v>6149</v>
      </c>
      <c r="B4889" t="str">
        <f t="shared" si="319"/>
        <v>1</v>
      </c>
      <c r="C4889" t="str">
        <f t="shared" si="320"/>
        <v>269</v>
      </c>
      <c r="D4889" t="str">
        <f>"8"</f>
        <v>8</v>
      </c>
      <c r="E4889" t="str">
        <f>"1-269-8"</f>
        <v>1-269-8</v>
      </c>
      <c r="F4889" t="s">
        <v>15</v>
      </c>
      <c r="G4889" t="s">
        <v>18</v>
      </c>
      <c r="H4889" t="s">
        <v>19</v>
      </c>
      <c r="I4889">
        <v>0</v>
      </c>
      <c r="J4889">
        <v>1</v>
      </c>
      <c r="K4889">
        <v>0</v>
      </c>
    </row>
    <row r="4890" spans="1:11" x14ac:dyDescent="0.25">
      <c r="A4890" t="str">
        <f>"6150"</f>
        <v>6150</v>
      </c>
      <c r="B4890" t="str">
        <f t="shared" si="319"/>
        <v>1</v>
      </c>
      <c r="C4890" t="str">
        <f t="shared" si="320"/>
        <v>269</v>
      </c>
      <c r="D4890" t="str">
        <f>"10"</f>
        <v>10</v>
      </c>
      <c r="E4890" t="str">
        <f>"1-269-10"</f>
        <v>1-269-10</v>
      </c>
      <c r="F4890" t="s">
        <v>15</v>
      </c>
      <c r="G4890" t="s">
        <v>16</v>
      </c>
      <c r="H4890" t="s">
        <v>17</v>
      </c>
      <c r="I4890">
        <v>0</v>
      </c>
      <c r="J4890">
        <v>1</v>
      </c>
      <c r="K4890">
        <v>0</v>
      </c>
    </row>
    <row r="4891" spans="1:11" x14ac:dyDescent="0.25">
      <c r="A4891" t="str">
        <f>"6151"</f>
        <v>6151</v>
      </c>
      <c r="B4891" t="str">
        <f t="shared" si="319"/>
        <v>1</v>
      </c>
      <c r="C4891" t="str">
        <f t="shared" si="320"/>
        <v>269</v>
      </c>
      <c r="D4891" t="str">
        <f>"2"</f>
        <v>2</v>
      </c>
      <c r="E4891" t="str">
        <f>"1-269-2"</f>
        <v>1-269-2</v>
      </c>
      <c r="F4891" t="s">
        <v>15</v>
      </c>
      <c r="G4891" t="s">
        <v>18</v>
      </c>
      <c r="H4891" t="s">
        <v>19</v>
      </c>
      <c r="I4891">
        <v>0</v>
      </c>
      <c r="J4891">
        <v>0</v>
      </c>
      <c r="K4891">
        <v>1</v>
      </c>
    </row>
    <row r="4892" spans="1:11" x14ac:dyDescent="0.25">
      <c r="A4892" t="str">
        <f>"6152"</f>
        <v>6152</v>
      </c>
      <c r="B4892" t="str">
        <f t="shared" si="319"/>
        <v>1</v>
      </c>
      <c r="C4892" t="str">
        <f t="shared" si="320"/>
        <v>269</v>
      </c>
      <c r="D4892" t="str">
        <f>"3"</f>
        <v>3</v>
      </c>
      <c r="E4892" t="str">
        <f>"1-269-3"</f>
        <v>1-269-3</v>
      </c>
      <c r="F4892" t="s">
        <v>15</v>
      </c>
      <c r="G4892" t="s">
        <v>16</v>
      </c>
      <c r="H4892" t="s">
        <v>17</v>
      </c>
      <c r="I4892">
        <v>0</v>
      </c>
      <c r="J4892">
        <v>0</v>
      </c>
      <c r="K4892">
        <v>1</v>
      </c>
    </row>
    <row r="4893" spans="1:11" x14ac:dyDescent="0.25">
      <c r="A4893" t="str">
        <f>"6153"</f>
        <v>6153</v>
      </c>
      <c r="B4893" t="str">
        <f t="shared" si="319"/>
        <v>1</v>
      </c>
      <c r="C4893" t="str">
        <f t="shared" si="320"/>
        <v>269</v>
      </c>
      <c r="D4893" t="str">
        <f>"20"</f>
        <v>20</v>
      </c>
      <c r="E4893" t="str">
        <f>"1-269-20"</f>
        <v>1-269-20</v>
      </c>
      <c r="F4893" t="s">
        <v>15</v>
      </c>
      <c r="G4893" t="s">
        <v>16</v>
      </c>
      <c r="H4893" t="s">
        <v>17</v>
      </c>
      <c r="I4893">
        <v>0</v>
      </c>
      <c r="J4893">
        <v>0</v>
      </c>
      <c r="K4893">
        <v>0</v>
      </c>
    </row>
    <row r="4894" spans="1:11" x14ac:dyDescent="0.25">
      <c r="A4894" t="str">
        <f>"6154"</f>
        <v>6154</v>
      </c>
      <c r="B4894" t="str">
        <f t="shared" si="319"/>
        <v>1</v>
      </c>
      <c r="C4894" t="str">
        <f t="shared" si="320"/>
        <v>269</v>
      </c>
      <c r="D4894" t="str">
        <f>"19"</f>
        <v>19</v>
      </c>
      <c r="E4894" t="str">
        <f>"1-269-19"</f>
        <v>1-269-19</v>
      </c>
      <c r="F4894" t="s">
        <v>15</v>
      </c>
      <c r="G4894" t="s">
        <v>16</v>
      </c>
      <c r="H4894" t="s">
        <v>17</v>
      </c>
      <c r="I4894">
        <v>0</v>
      </c>
      <c r="J4894">
        <v>0</v>
      </c>
      <c r="K4894">
        <v>0</v>
      </c>
    </row>
    <row r="4895" spans="1:11" x14ac:dyDescent="0.25">
      <c r="A4895" t="str">
        <f>"6155"</f>
        <v>6155</v>
      </c>
      <c r="B4895" t="str">
        <f t="shared" si="319"/>
        <v>1</v>
      </c>
      <c r="C4895" t="str">
        <f t="shared" ref="C4895:C4916" si="321">"270"</f>
        <v>270</v>
      </c>
      <c r="D4895" t="str">
        <f>"15"</f>
        <v>15</v>
      </c>
      <c r="E4895" t="str">
        <f>"1-270-15"</f>
        <v>1-270-15</v>
      </c>
      <c r="F4895" t="s">
        <v>15</v>
      </c>
      <c r="G4895" t="s">
        <v>16</v>
      </c>
      <c r="H4895" t="s">
        <v>17</v>
      </c>
      <c r="I4895">
        <v>0</v>
      </c>
      <c r="J4895">
        <v>1</v>
      </c>
      <c r="K4895">
        <v>0</v>
      </c>
    </row>
    <row r="4896" spans="1:11" x14ac:dyDescent="0.25">
      <c r="A4896" t="str">
        <f>"6156"</f>
        <v>6156</v>
      </c>
      <c r="B4896" t="str">
        <f t="shared" si="319"/>
        <v>1</v>
      </c>
      <c r="C4896" t="str">
        <f t="shared" si="321"/>
        <v>270</v>
      </c>
      <c r="D4896" t="str">
        <f>"4"</f>
        <v>4</v>
      </c>
      <c r="E4896" t="str">
        <f>"1-270-4"</f>
        <v>1-270-4</v>
      </c>
      <c r="F4896" t="s">
        <v>15</v>
      </c>
      <c r="G4896" t="s">
        <v>16</v>
      </c>
      <c r="H4896" t="s">
        <v>17</v>
      </c>
      <c r="I4896">
        <v>0</v>
      </c>
      <c r="J4896">
        <v>0</v>
      </c>
      <c r="K4896">
        <v>1</v>
      </c>
    </row>
    <row r="4897" spans="1:11" x14ac:dyDescent="0.25">
      <c r="A4897" t="str">
        <f>"6157"</f>
        <v>6157</v>
      </c>
      <c r="B4897" t="str">
        <f t="shared" si="319"/>
        <v>1</v>
      </c>
      <c r="C4897" t="str">
        <f t="shared" si="321"/>
        <v>270</v>
      </c>
      <c r="D4897" t="str">
        <f>"16"</f>
        <v>16</v>
      </c>
      <c r="E4897" t="str">
        <f>"1-270-16"</f>
        <v>1-270-16</v>
      </c>
      <c r="F4897" t="s">
        <v>15</v>
      </c>
      <c r="G4897" t="s">
        <v>18</v>
      </c>
      <c r="H4897" t="s">
        <v>19</v>
      </c>
      <c r="I4897">
        <v>0</v>
      </c>
      <c r="J4897">
        <v>1</v>
      </c>
      <c r="K4897">
        <v>0</v>
      </c>
    </row>
    <row r="4898" spans="1:11" x14ac:dyDescent="0.25">
      <c r="A4898" t="str">
        <f>"6158"</f>
        <v>6158</v>
      </c>
      <c r="B4898" t="str">
        <f t="shared" si="319"/>
        <v>1</v>
      </c>
      <c r="C4898" t="str">
        <f t="shared" si="321"/>
        <v>270</v>
      </c>
      <c r="D4898" t="str">
        <f>"1"</f>
        <v>1</v>
      </c>
      <c r="E4898" t="str">
        <f>"1-270-1"</f>
        <v>1-270-1</v>
      </c>
      <c r="F4898" t="s">
        <v>15</v>
      </c>
      <c r="G4898" t="s">
        <v>16</v>
      </c>
      <c r="H4898" t="s">
        <v>17</v>
      </c>
      <c r="I4898">
        <v>1</v>
      </c>
      <c r="J4898">
        <v>0</v>
      </c>
      <c r="K4898">
        <v>0</v>
      </c>
    </row>
    <row r="4899" spans="1:11" x14ac:dyDescent="0.25">
      <c r="A4899" t="str">
        <f>"6159"</f>
        <v>6159</v>
      </c>
      <c r="B4899" t="str">
        <f t="shared" si="319"/>
        <v>1</v>
      </c>
      <c r="C4899" t="str">
        <f t="shared" si="321"/>
        <v>270</v>
      </c>
      <c r="D4899" t="str">
        <f>"17"</f>
        <v>17</v>
      </c>
      <c r="E4899" t="str">
        <f>"1-270-17"</f>
        <v>1-270-17</v>
      </c>
      <c r="F4899" t="s">
        <v>15</v>
      </c>
      <c r="G4899" t="s">
        <v>16</v>
      </c>
      <c r="H4899" t="s">
        <v>17</v>
      </c>
      <c r="I4899">
        <v>0</v>
      </c>
      <c r="J4899">
        <v>1</v>
      </c>
      <c r="K4899">
        <v>0</v>
      </c>
    </row>
    <row r="4900" spans="1:11" x14ac:dyDescent="0.25">
      <c r="A4900" t="str">
        <f>"6161"</f>
        <v>6161</v>
      </c>
      <c r="B4900" t="str">
        <f t="shared" si="319"/>
        <v>1</v>
      </c>
      <c r="C4900" t="str">
        <f t="shared" si="321"/>
        <v>270</v>
      </c>
      <c r="D4900" t="str">
        <f>"18"</f>
        <v>18</v>
      </c>
      <c r="E4900" t="str">
        <f>"1-270-18"</f>
        <v>1-270-18</v>
      </c>
      <c r="F4900" t="s">
        <v>15</v>
      </c>
      <c r="G4900" t="s">
        <v>16</v>
      </c>
      <c r="H4900" t="s">
        <v>17</v>
      </c>
      <c r="I4900">
        <v>0</v>
      </c>
      <c r="J4900">
        <v>1</v>
      </c>
      <c r="K4900">
        <v>0</v>
      </c>
    </row>
    <row r="4901" spans="1:11" x14ac:dyDescent="0.25">
      <c r="A4901" t="str">
        <f>"6163"</f>
        <v>6163</v>
      </c>
      <c r="B4901" t="str">
        <f t="shared" si="319"/>
        <v>1</v>
      </c>
      <c r="C4901" t="str">
        <f t="shared" si="321"/>
        <v>270</v>
      </c>
      <c r="D4901" t="str">
        <f>"19"</f>
        <v>19</v>
      </c>
      <c r="E4901" t="str">
        <f>"1-270-19"</f>
        <v>1-270-19</v>
      </c>
      <c r="F4901" t="s">
        <v>15</v>
      </c>
      <c r="G4901" t="s">
        <v>20</v>
      </c>
      <c r="H4901" t="s">
        <v>21</v>
      </c>
      <c r="I4901">
        <v>0</v>
      </c>
      <c r="J4901">
        <v>0</v>
      </c>
      <c r="K4901">
        <v>1</v>
      </c>
    </row>
    <row r="4902" spans="1:11" x14ac:dyDescent="0.25">
      <c r="A4902" t="str">
        <f>"6165"</f>
        <v>6165</v>
      </c>
      <c r="B4902" t="str">
        <f t="shared" si="319"/>
        <v>1</v>
      </c>
      <c r="C4902" t="str">
        <f t="shared" si="321"/>
        <v>270</v>
      </c>
      <c r="D4902" t="str">
        <f>"20"</f>
        <v>20</v>
      </c>
      <c r="E4902" t="str">
        <f>"1-270-20"</f>
        <v>1-270-20</v>
      </c>
      <c r="F4902" t="s">
        <v>15</v>
      </c>
      <c r="G4902" t="s">
        <v>16</v>
      </c>
      <c r="H4902" t="s">
        <v>17</v>
      </c>
      <c r="I4902">
        <v>0</v>
      </c>
      <c r="J4902">
        <v>0</v>
      </c>
      <c r="K4902">
        <v>1</v>
      </c>
    </row>
    <row r="4903" spans="1:11" x14ac:dyDescent="0.25">
      <c r="A4903" t="str">
        <f>"6167"</f>
        <v>6167</v>
      </c>
      <c r="B4903" t="str">
        <f t="shared" si="319"/>
        <v>1</v>
      </c>
      <c r="C4903" t="str">
        <f t="shared" si="321"/>
        <v>270</v>
      </c>
      <c r="D4903" t="str">
        <f>"21"</f>
        <v>21</v>
      </c>
      <c r="E4903" t="str">
        <f>"1-270-21"</f>
        <v>1-270-21</v>
      </c>
      <c r="F4903" t="s">
        <v>15</v>
      </c>
      <c r="G4903" t="s">
        <v>16</v>
      </c>
      <c r="H4903" t="s">
        <v>17</v>
      </c>
      <c r="I4903">
        <v>0</v>
      </c>
      <c r="J4903">
        <v>1</v>
      </c>
      <c r="K4903">
        <v>0</v>
      </c>
    </row>
    <row r="4904" spans="1:11" x14ac:dyDescent="0.25">
      <c r="A4904" t="str">
        <f>"6168"</f>
        <v>6168</v>
      </c>
      <c r="B4904" t="str">
        <f t="shared" si="319"/>
        <v>1</v>
      </c>
      <c r="C4904" t="str">
        <f t="shared" si="321"/>
        <v>270</v>
      </c>
      <c r="D4904" t="str">
        <f>"10"</f>
        <v>10</v>
      </c>
      <c r="E4904" t="str">
        <f>"1-270-10"</f>
        <v>1-270-10</v>
      </c>
      <c r="F4904" t="s">
        <v>15</v>
      </c>
      <c r="G4904" t="s">
        <v>16</v>
      </c>
      <c r="H4904" t="s">
        <v>17</v>
      </c>
      <c r="I4904">
        <v>1</v>
      </c>
      <c r="J4904">
        <v>0</v>
      </c>
      <c r="K4904">
        <v>0</v>
      </c>
    </row>
    <row r="4905" spans="1:11" x14ac:dyDescent="0.25">
      <c r="A4905" t="str">
        <f>"6169"</f>
        <v>6169</v>
      </c>
      <c r="B4905" t="str">
        <f t="shared" si="319"/>
        <v>1</v>
      </c>
      <c r="C4905" t="str">
        <f t="shared" si="321"/>
        <v>270</v>
      </c>
      <c r="D4905" t="str">
        <f>"22"</f>
        <v>22</v>
      </c>
      <c r="E4905" t="str">
        <f>"1-270-22"</f>
        <v>1-270-22</v>
      </c>
      <c r="F4905" t="s">
        <v>15</v>
      </c>
      <c r="G4905" t="s">
        <v>16</v>
      </c>
      <c r="H4905" t="s">
        <v>17</v>
      </c>
      <c r="I4905">
        <v>0</v>
      </c>
      <c r="J4905">
        <v>1</v>
      </c>
      <c r="K4905">
        <v>0</v>
      </c>
    </row>
    <row r="4906" spans="1:11" x14ac:dyDescent="0.25">
      <c r="A4906" t="str">
        <f>"6170"</f>
        <v>6170</v>
      </c>
      <c r="B4906" t="str">
        <f t="shared" ref="B4906:B4964" si="322">"1"</f>
        <v>1</v>
      </c>
      <c r="C4906" t="str">
        <f t="shared" si="321"/>
        <v>270</v>
      </c>
      <c r="D4906" t="str">
        <f>"7"</f>
        <v>7</v>
      </c>
      <c r="E4906" t="str">
        <f>"1-270-7"</f>
        <v>1-270-7</v>
      </c>
      <c r="F4906" t="s">
        <v>15</v>
      </c>
      <c r="G4906" t="s">
        <v>20</v>
      </c>
      <c r="H4906" t="s">
        <v>21</v>
      </c>
      <c r="I4906">
        <v>1</v>
      </c>
      <c r="J4906">
        <v>0</v>
      </c>
      <c r="K4906">
        <v>0</v>
      </c>
    </row>
    <row r="4907" spans="1:11" x14ac:dyDescent="0.25">
      <c r="A4907" t="str">
        <f>"6171"</f>
        <v>6171</v>
      </c>
      <c r="B4907" t="str">
        <f t="shared" si="322"/>
        <v>1</v>
      </c>
      <c r="C4907" t="str">
        <f t="shared" si="321"/>
        <v>270</v>
      </c>
      <c r="D4907" t="str">
        <f>"23"</f>
        <v>23</v>
      </c>
      <c r="E4907" t="str">
        <f>"1-270-23"</f>
        <v>1-270-23</v>
      </c>
      <c r="F4907" t="s">
        <v>15</v>
      </c>
      <c r="G4907" t="s">
        <v>16</v>
      </c>
      <c r="H4907" t="s">
        <v>17</v>
      </c>
      <c r="I4907">
        <v>0</v>
      </c>
      <c r="J4907">
        <v>1</v>
      </c>
      <c r="K4907">
        <v>0</v>
      </c>
    </row>
    <row r="4908" spans="1:11" x14ac:dyDescent="0.25">
      <c r="A4908" t="str">
        <f>"6172"</f>
        <v>6172</v>
      </c>
      <c r="B4908" t="str">
        <f t="shared" si="322"/>
        <v>1</v>
      </c>
      <c r="C4908" t="str">
        <f t="shared" si="321"/>
        <v>270</v>
      </c>
      <c r="D4908" t="str">
        <f>"2"</f>
        <v>2</v>
      </c>
      <c r="E4908" t="str">
        <f>"1-270-2"</f>
        <v>1-270-2</v>
      </c>
      <c r="F4908" t="s">
        <v>15</v>
      </c>
      <c r="G4908" t="s">
        <v>16</v>
      </c>
      <c r="H4908" t="s">
        <v>17</v>
      </c>
      <c r="I4908">
        <v>0</v>
      </c>
      <c r="J4908">
        <v>1</v>
      </c>
      <c r="K4908">
        <v>0</v>
      </c>
    </row>
    <row r="4909" spans="1:11" x14ac:dyDescent="0.25">
      <c r="A4909" t="str">
        <f>"6173"</f>
        <v>6173</v>
      </c>
      <c r="B4909" t="str">
        <f t="shared" si="322"/>
        <v>1</v>
      </c>
      <c r="C4909" t="str">
        <f t="shared" si="321"/>
        <v>270</v>
      </c>
      <c r="D4909" t="str">
        <f>"24"</f>
        <v>24</v>
      </c>
      <c r="E4909" t="str">
        <f>"1-270-24"</f>
        <v>1-270-24</v>
      </c>
      <c r="F4909" t="s">
        <v>15</v>
      </c>
      <c r="G4909" t="s">
        <v>16</v>
      </c>
      <c r="H4909" t="s">
        <v>17</v>
      </c>
      <c r="I4909">
        <v>1</v>
      </c>
      <c r="J4909">
        <v>0</v>
      </c>
      <c r="K4909">
        <v>0</v>
      </c>
    </row>
    <row r="4910" spans="1:11" x14ac:dyDescent="0.25">
      <c r="A4910" t="str">
        <f>"6174"</f>
        <v>6174</v>
      </c>
      <c r="B4910" t="str">
        <f t="shared" si="322"/>
        <v>1</v>
      </c>
      <c r="C4910" t="str">
        <f t="shared" si="321"/>
        <v>270</v>
      </c>
      <c r="D4910" t="str">
        <f>"8"</f>
        <v>8</v>
      </c>
      <c r="E4910" t="str">
        <f>"1-270-8"</f>
        <v>1-270-8</v>
      </c>
      <c r="F4910" t="s">
        <v>15</v>
      </c>
      <c r="G4910" t="s">
        <v>16</v>
      </c>
      <c r="H4910" t="s">
        <v>17</v>
      </c>
      <c r="I4910">
        <v>0</v>
      </c>
      <c r="J4910">
        <v>0</v>
      </c>
      <c r="K4910">
        <v>1</v>
      </c>
    </row>
    <row r="4911" spans="1:11" x14ac:dyDescent="0.25">
      <c r="A4911" t="str">
        <f>"6175"</f>
        <v>6175</v>
      </c>
      <c r="B4911" t="str">
        <f t="shared" si="322"/>
        <v>1</v>
      </c>
      <c r="C4911" t="str">
        <f t="shared" si="321"/>
        <v>270</v>
      </c>
      <c r="D4911" t="str">
        <f>"25"</f>
        <v>25</v>
      </c>
      <c r="E4911" t="str">
        <f>"1-270-25"</f>
        <v>1-270-25</v>
      </c>
      <c r="F4911" t="s">
        <v>15</v>
      </c>
      <c r="G4911" t="s">
        <v>18</v>
      </c>
      <c r="H4911" t="s">
        <v>19</v>
      </c>
      <c r="I4911">
        <v>1</v>
      </c>
      <c r="J4911">
        <v>0</v>
      </c>
      <c r="K4911">
        <v>0</v>
      </c>
    </row>
    <row r="4912" spans="1:11" x14ac:dyDescent="0.25">
      <c r="A4912" t="str">
        <f>"6176"</f>
        <v>6176</v>
      </c>
      <c r="B4912" t="str">
        <f t="shared" si="322"/>
        <v>1</v>
      </c>
      <c r="C4912" t="str">
        <f t="shared" si="321"/>
        <v>270</v>
      </c>
      <c r="D4912" t="str">
        <f>"11"</f>
        <v>11</v>
      </c>
      <c r="E4912" t="str">
        <f>"1-270-11"</f>
        <v>1-270-11</v>
      </c>
      <c r="F4912" t="s">
        <v>15</v>
      </c>
      <c r="G4912" t="s">
        <v>16</v>
      </c>
      <c r="H4912" t="s">
        <v>17</v>
      </c>
      <c r="I4912">
        <v>1</v>
      </c>
      <c r="J4912">
        <v>0</v>
      </c>
      <c r="K4912">
        <v>0</v>
      </c>
    </row>
    <row r="4913" spans="1:11" x14ac:dyDescent="0.25">
      <c r="A4913" t="str">
        <f>"6177"</f>
        <v>6177</v>
      </c>
      <c r="B4913" t="str">
        <f t="shared" si="322"/>
        <v>1</v>
      </c>
      <c r="C4913" t="str">
        <f t="shared" si="321"/>
        <v>270</v>
      </c>
      <c r="D4913" t="str">
        <f>"26"</f>
        <v>26</v>
      </c>
      <c r="E4913" t="str">
        <f>"1-270-26"</f>
        <v>1-270-26</v>
      </c>
      <c r="F4913" t="s">
        <v>15</v>
      </c>
      <c r="G4913" t="s">
        <v>18</v>
      </c>
      <c r="H4913" t="s">
        <v>19</v>
      </c>
      <c r="I4913">
        <v>1</v>
      </c>
      <c r="J4913">
        <v>0</v>
      </c>
      <c r="K4913">
        <v>0</v>
      </c>
    </row>
    <row r="4914" spans="1:11" x14ac:dyDescent="0.25">
      <c r="A4914" t="str">
        <f>"6178"</f>
        <v>6178</v>
      </c>
      <c r="B4914" t="str">
        <f t="shared" si="322"/>
        <v>1</v>
      </c>
      <c r="C4914" t="str">
        <f t="shared" si="321"/>
        <v>270</v>
      </c>
      <c r="D4914" t="str">
        <f>"12"</f>
        <v>12</v>
      </c>
      <c r="E4914" t="str">
        <f>"1-270-12"</f>
        <v>1-270-12</v>
      </c>
      <c r="F4914" t="s">
        <v>15</v>
      </c>
      <c r="G4914" t="s">
        <v>18</v>
      </c>
      <c r="H4914" t="s">
        <v>19</v>
      </c>
      <c r="I4914">
        <v>0</v>
      </c>
      <c r="J4914">
        <v>1</v>
      </c>
      <c r="K4914">
        <v>0</v>
      </c>
    </row>
    <row r="4915" spans="1:11" x14ac:dyDescent="0.25">
      <c r="A4915" t="str">
        <f>"6179"</f>
        <v>6179</v>
      </c>
      <c r="B4915" t="str">
        <f t="shared" si="322"/>
        <v>1</v>
      </c>
      <c r="C4915" t="str">
        <f t="shared" si="321"/>
        <v>270</v>
      </c>
      <c r="D4915" t="str">
        <f>"3"</f>
        <v>3</v>
      </c>
      <c r="E4915" t="str">
        <f>"1-270-3"</f>
        <v>1-270-3</v>
      </c>
      <c r="F4915" t="s">
        <v>15</v>
      </c>
      <c r="G4915" t="s">
        <v>16</v>
      </c>
      <c r="H4915" t="s">
        <v>17</v>
      </c>
      <c r="I4915">
        <v>1</v>
      </c>
      <c r="J4915">
        <v>0</v>
      </c>
      <c r="K4915">
        <v>0</v>
      </c>
    </row>
    <row r="4916" spans="1:11" x14ac:dyDescent="0.25">
      <c r="A4916" t="str">
        <f>"6180"</f>
        <v>6180</v>
      </c>
      <c r="B4916" t="str">
        <f t="shared" si="322"/>
        <v>1</v>
      </c>
      <c r="C4916" t="str">
        <f t="shared" si="321"/>
        <v>270</v>
      </c>
      <c r="D4916" t="str">
        <f>"5"</f>
        <v>5</v>
      </c>
      <c r="E4916" t="str">
        <f>"1-270-5"</f>
        <v>1-270-5</v>
      </c>
      <c r="F4916" t="s">
        <v>15</v>
      </c>
      <c r="G4916" t="s">
        <v>16</v>
      </c>
      <c r="H4916" t="s">
        <v>17</v>
      </c>
      <c r="I4916">
        <v>1</v>
      </c>
      <c r="J4916">
        <v>0</v>
      </c>
      <c r="K4916">
        <v>0</v>
      </c>
    </row>
    <row r="4917" spans="1:11" x14ac:dyDescent="0.25">
      <c r="A4917" t="str">
        <f>"6181"</f>
        <v>6181</v>
      </c>
      <c r="B4917" t="str">
        <f t="shared" si="322"/>
        <v>1</v>
      </c>
      <c r="C4917" t="str">
        <f t="shared" ref="C4917:C4937" si="323">"271"</f>
        <v>271</v>
      </c>
      <c r="D4917" t="str">
        <f>"20"</f>
        <v>20</v>
      </c>
      <c r="E4917" t="str">
        <f>"1-271-20"</f>
        <v>1-271-20</v>
      </c>
      <c r="F4917" t="s">
        <v>15</v>
      </c>
      <c r="G4917" t="s">
        <v>20</v>
      </c>
      <c r="H4917" t="s">
        <v>21</v>
      </c>
      <c r="I4917">
        <v>0</v>
      </c>
      <c r="J4917">
        <v>1</v>
      </c>
      <c r="K4917">
        <v>0</v>
      </c>
    </row>
    <row r="4918" spans="1:11" x14ac:dyDescent="0.25">
      <c r="A4918" t="str">
        <f>"6183"</f>
        <v>6183</v>
      </c>
      <c r="B4918" t="str">
        <f t="shared" si="322"/>
        <v>1</v>
      </c>
      <c r="C4918" t="str">
        <f t="shared" si="323"/>
        <v>271</v>
      </c>
      <c r="D4918" t="str">
        <f>"2"</f>
        <v>2</v>
      </c>
      <c r="E4918" t="str">
        <f>"1-271-2"</f>
        <v>1-271-2</v>
      </c>
      <c r="F4918" t="s">
        <v>15</v>
      </c>
      <c r="G4918" t="s">
        <v>20</v>
      </c>
      <c r="H4918" t="s">
        <v>21</v>
      </c>
      <c r="I4918">
        <v>0</v>
      </c>
      <c r="J4918">
        <v>1</v>
      </c>
      <c r="K4918">
        <v>0</v>
      </c>
    </row>
    <row r="4919" spans="1:11" x14ac:dyDescent="0.25">
      <c r="A4919" t="str">
        <f>"6184"</f>
        <v>6184</v>
      </c>
      <c r="B4919" t="str">
        <f t="shared" si="322"/>
        <v>1</v>
      </c>
      <c r="C4919" t="str">
        <f t="shared" si="323"/>
        <v>271</v>
      </c>
      <c r="D4919" t="str">
        <f>"16"</f>
        <v>16</v>
      </c>
      <c r="E4919" t="str">
        <f>"1-271-16"</f>
        <v>1-271-16</v>
      </c>
      <c r="F4919" t="s">
        <v>15</v>
      </c>
      <c r="G4919" t="s">
        <v>20</v>
      </c>
      <c r="H4919" t="s">
        <v>21</v>
      </c>
      <c r="I4919">
        <v>0</v>
      </c>
      <c r="J4919">
        <v>1</v>
      </c>
      <c r="K4919">
        <v>0</v>
      </c>
    </row>
    <row r="4920" spans="1:11" x14ac:dyDescent="0.25">
      <c r="A4920" t="str">
        <f>"6185"</f>
        <v>6185</v>
      </c>
      <c r="B4920" t="str">
        <f t="shared" si="322"/>
        <v>1</v>
      </c>
      <c r="C4920" t="str">
        <f t="shared" si="323"/>
        <v>271</v>
      </c>
      <c r="D4920" t="str">
        <f>"1"</f>
        <v>1</v>
      </c>
      <c r="E4920" t="str">
        <f>"1-271-1"</f>
        <v>1-271-1</v>
      </c>
      <c r="F4920" t="s">
        <v>15</v>
      </c>
      <c r="G4920" t="s">
        <v>20</v>
      </c>
      <c r="H4920" t="s">
        <v>21</v>
      </c>
      <c r="I4920">
        <v>1</v>
      </c>
      <c r="J4920">
        <v>0</v>
      </c>
      <c r="K4920">
        <v>0</v>
      </c>
    </row>
    <row r="4921" spans="1:11" x14ac:dyDescent="0.25">
      <c r="A4921" t="str">
        <f>"6186"</f>
        <v>6186</v>
      </c>
      <c r="B4921" t="str">
        <f t="shared" si="322"/>
        <v>1</v>
      </c>
      <c r="C4921" t="str">
        <f t="shared" si="323"/>
        <v>271</v>
      </c>
      <c r="D4921" t="str">
        <f>"17"</f>
        <v>17</v>
      </c>
      <c r="E4921" t="str">
        <f>"1-271-17"</f>
        <v>1-271-17</v>
      </c>
      <c r="F4921" t="s">
        <v>15</v>
      </c>
      <c r="G4921" t="s">
        <v>20</v>
      </c>
      <c r="H4921" t="s">
        <v>21</v>
      </c>
      <c r="I4921">
        <v>1</v>
      </c>
      <c r="J4921">
        <v>0</v>
      </c>
      <c r="K4921">
        <v>0</v>
      </c>
    </row>
    <row r="4922" spans="1:11" x14ac:dyDescent="0.25">
      <c r="A4922" t="str">
        <f>"6187"</f>
        <v>6187</v>
      </c>
      <c r="B4922" t="str">
        <f t="shared" si="322"/>
        <v>1</v>
      </c>
      <c r="C4922" t="str">
        <f t="shared" si="323"/>
        <v>271</v>
      </c>
      <c r="D4922" t="str">
        <f>"6"</f>
        <v>6</v>
      </c>
      <c r="E4922" t="str">
        <f>"1-271-6"</f>
        <v>1-271-6</v>
      </c>
      <c r="F4922" t="s">
        <v>15</v>
      </c>
      <c r="G4922" t="s">
        <v>20</v>
      </c>
      <c r="H4922" t="s">
        <v>21</v>
      </c>
      <c r="I4922">
        <v>1</v>
      </c>
      <c r="J4922">
        <v>0</v>
      </c>
      <c r="K4922">
        <v>0</v>
      </c>
    </row>
    <row r="4923" spans="1:11" x14ac:dyDescent="0.25">
      <c r="A4923" t="str">
        <f>"6189"</f>
        <v>6189</v>
      </c>
      <c r="B4923" t="str">
        <f t="shared" si="322"/>
        <v>1</v>
      </c>
      <c r="C4923" t="str">
        <f t="shared" si="323"/>
        <v>271</v>
      </c>
      <c r="D4923" t="str">
        <f>"11"</f>
        <v>11</v>
      </c>
      <c r="E4923" t="str">
        <f>"1-271-11"</f>
        <v>1-271-11</v>
      </c>
      <c r="F4923" t="s">
        <v>15</v>
      </c>
      <c r="G4923" t="s">
        <v>20</v>
      </c>
      <c r="H4923" t="s">
        <v>21</v>
      </c>
      <c r="I4923">
        <v>0</v>
      </c>
      <c r="J4923">
        <v>0</v>
      </c>
      <c r="K4923">
        <v>1</v>
      </c>
    </row>
    <row r="4924" spans="1:11" x14ac:dyDescent="0.25">
      <c r="A4924" t="str">
        <f>"6190"</f>
        <v>6190</v>
      </c>
      <c r="B4924" t="str">
        <f t="shared" si="322"/>
        <v>1</v>
      </c>
      <c r="C4924" t="str">
        <f t="shared" si="323"/>
        <v>271</v>
      </c>
      <c r="D4924" t="str">
        <f>"19"</f>
        <v>19</v>
      </c>
      <c r="E4924" t="str">
        <f>"1-271-19"</f>
        <v>1-271-19</v>
      </c>
      <c r="F4924" t="s">
        <v>15</v>
      </c>
      <c r="G4924" t="s">
        <v>20</v>
      </c>
      <c r="H4924" t="s">
        <v>21</v>
      </c>
      <c r="I4924">
        <v>0</v>
      </c>
      <c r="J4924">
        <v>1</v>
      </c>
      <c r="K4924">
        <v>0</v>
      </c>
    </row>
    <row r="4925" spans="1:11" x14ac:dyDescent="0.25">
      <c r="A4925" t="str">
        <f>"6193"</f>
        <v>6193</v>
      </c>
      <c r="B4925" t="str">
        <f t="shared" si="322"/>
        <v>1</v>
      </c>
      <c r="C4925" t="str">
        <f t="shared" si="323"/>
        <v>271</v>
      </c>
      <c r="D4925" t="str">
        <f>"13"</f>
        <v>13</v>
      </c>
      <c r="E4925" t="str">
        <f>"1-271-13"</f>
        <v>1-271-13</v>
      </c>
      <c r="F4925" t="s">
        <v>15</v>
      </c>
      <c r="G4925" t="s">
        <v>20</v>
      </c>
      <c r="H4925" t="s">
        <v>21</v>
      </c>
      <c r="I4925">
        <v>0</v>
      </c>
      <c r="J4925">
        <v>0</v>
      </c>
      <c r="K4925">
        <v>1</v>
      </c>
    </row>
    <row r="4926" spans="1:11" x14ac:dyDescent="0.25">
      <c r="A4926" t="str">
        <f>"6194"</f>
        <v>6194</v>
      </c>
      <c r="B4926" t="str">
        <f t="shared" si="322"/>
        <v>1</v>
      </c>
      <c r="C4926" t="str">
        <f t="shared" si="323"/>
        <v>271</v>
      </c>
      <c r="D4926" t="str">
        <f>"8"</f>
        <v>8</v>
      </c>
      <c r="E4926" t="str">
        <f>"1-271-8"</f>
        <v>1-271-8</v>
      </c>
      <c r="F4926" t="s">
        <v>15</v>
      </c>
      <c r="G4926" t="s">
        <v>20</v>
      </c>
      <c r="H4926" t="s">
        <v>21</v>
      </c>
      <c r="I4926">
        <v>1</v>
      </c>
      <c r="J4926">
        <v>0</v>
      </c>
      <c r="K4926">
        <v>0</v>
      </c>
    </row>
    <row r="4927" spans="1:11" x14ac:dyDescent="0.25">
      <c r="A4927" t="str">
        <f>"6195"</f>
        <v>6195</v>
      </c>
      <c r="B4927" t="str">
        <f t="shared" si="322"/>
        <v>1</v>
      </c>
      <c r="C4927" t="str">
        <f t="shared" si="323"/>
        <v>271</v>
      </c>
      <c r="D4927" t="str">
        <f>"23"</f>
        <v>23</v>
      </c>
      <c r="E4927" t="str">
        <f>"1-271-23"</f>
        <v>1-271-23</v>
      </c>
      <c r="F4927" t="s">
        <v>15</v>
      </c>
      <c r="G4927" t="s">
        <v>20</v>
      </c>
      <c r="H4927" t="s">
        <v>21</v>
      </c>
      <c r="I4927">
        <v>0</v>
      </c>
      <c r="J4927">
        <v>1</v>
      </c>
      <c r="K4927">
        <v>0</v>
      </c>
    </row>
    <row r="4928" spans="1:11" x14ac:dyDescent="0.25">
      <c r="A4928" t="str">
        <f>"6196"</f>
        <v>6196</v>
      </c>
      <c r="B4928" t="str">
        <f t="shared" si="322"/>
        <v>1</v>
      </c>
      <c r="C4928" t="str">
        <f t="shared" si="323"/>
        <v>271</v>
      </c>
      <c r="D4928" t="str">
        <f>"12"</f>
        <v>12</v>
      </c>
      <c r="E4928" t="str">
        <f>"1-271-12"</f>
        <v>1-271-12</v>
      </c>
      <c r="F4928" t="s">
        <v>15</v>
      </c>
      <c r="G4928" t="s">
        <v>20</v>
      </c>
      <c r="H4928" t="s">
        <v>21</v>
      </c>
      <c r="I4928">
        <v>0</v>
      </c>
      <c r="J4928">
        <v>0</v>
      </c>
      <c r="K4928">
        <v>1</v>
      </c>
    </row>
    <row r="4929" spans="1:11" x14ac:dyDescent="0.25">
      <c r="A4929" t="str">
        <f>"6197"</f>
        <v>6197</v>
      </c>
      <c r="B4929" t="str">
        <f t="shared" si="322"/>
        <v>1</v>
      </c>
      <c r="C4929" t="str">
        <f t="shared" si="323"/>
        <v>271</v>
      </c>
      <c r="D4929" t="str">
        <f>"24"</f>
        <v>24</v>
      </c>
      <c r="E4929" t="str">
        <f>"1-271-24"</f>
        <v>1-271-24</v>
      </c>
      <c r="F4929" t="s">
        <v>15</v>
      </c>
      <c r="G4929" t="s">
        <v>20</v>
      </c>
      <c r="H4929" t="s">
        <v>21</v>
      </c>
      <c r="I4929">
        <v>1</v>
      </c>
      <c r="J4929">
        <v>0</v>
      </c>
      <c r="K4929">
        <v>0</v>
      </c>
    </row>
    <row r="4930" spans="1:11" x14ac:dyDescent="0.25">
      <c r="A4930" t="str">
        <f>"6198"</f>
        <v>6198</v>
      </c>
      <c r="B4930" t="str">
        <f t="shared" si="322"/>
        <v>1</v>
      </c>
      <c r="C4930" t="str">
        <f t="shared" si="323"/>
        <v>271</v>
      </c>
      <c r="D4930" t="str">
        <f>"3"</f>
        <v>3</v>
      </c>
      <c r="E4930" t="str">
        <f>"1-271-3"</f>
        <v>1-271-3</v>
      </c>
      <c r="F4930" t="s">
        <v>15</v>
      </c>
      <c r="G4930" t="s">
        <v>20</v>
      </c>
      <c r="H4930" t="s">
        <v>21</v>
      </c>
      <c r="I4930">
        <v>0</v>
      </c>
      <c r="J4930">
        <v>0</v>
      </c>
      <c r="K4930">
        <v>1</v>
      </c>
    </row>
    <row r="4931" spans="1:11" x14ac:dyDescent="0.25">
      <c r="A4931" t="str">
        <f>"6199"</f>
        <v>6199</v>
      </c>
      <c r="B4931" t="str">
        <f t="shared" si="322"/>
        <v>1</v>
      </c>
      <c r="C4931" t="str">
        <f t="shared" si="323"/>
        <v>271</v>
      </c>
      <c r="D4931" t="str">
        <f>"25"</f>
        <v>25</v>
      </c>
      <c r="E4931" t="str">
        <f>"1-271-25"</f>
        <v>1-271-25</v>
      </c>
      <c r="F4931" t="s">
        <v>15</v>
      </c>
      <c r="G4931" t="s">
        <v>20</v>
      </c>
      <c r="H4931" t="s">
        <v>21</v>
      </c>
      <c r="I4931">
        <v>0</v>
      </c>
      <c r="J4931">
        <v>1</v>
      </c>
      <c r="K4931">
        <v>0</v>
      </c>
    </row>
    <row r="4932" spans="1:11" x14ac:dyDescent="0.25">
      <c r="A4932" t="str">
        <f>"6200"</f>
        <v>6200</v>
      </c>
      <c r="B4932" t="str">
        <f t="shared" si="322"/>
        <v>1</v>
      </c>
      <c r="C4932" t="str">
        <f t="shared" si="323"/>
        <v>271</v>
      </c>
      <c r="D4932" t="str">
        <f>"5"</f>
        <v>5</v>
      </c>
      <c r="E4932" t="str">
        <f>"1-271-5"</f>
        <v>1-271-5</v>
      </c>
      <c r="F4932" t="s">
        <v>15</v>
      </c>
      <c r="G4932" t="s">
        <v>20</v>
      </c>
      <c r="H4932" t="s">
        <v>21</v>
      </c>
      <c r="I4932">
        <v>0</v>
      </c>
      <c r="J4932">
        <v>0</v>
      </c>
      <c r="K4932">
        <v>1</v>
      </c>
    </row>
    <row r="4933" spans="1:11" x14ac:dyDescent="0.25">
      <c r="A4933" t="str">
        <f>"6201"</f>
        <v>6201</v>
      </c>
      <c r="B4933" t="str">
        <f t="shared" si="322"/>
        <v>1</v>
      </c>
      <c r="C4933" t="str">
        <f t="shared" si="323"/>
        <v>271</v>
      </c>
      <c r="D4933" t="str">
        <f>"4"</f>
        <v>4</v>
      </c>
      <c r="E4933" t="str">
        <f>"1-271-4"</f>
        <v>1-271-4</v>
      </c>
      <c r="F4933" t="s">
        <v>15</v>
      </c>
      <c r="G4933" t="s">
        <v>20</v>
      </c>
      <c r="H4933" t="s">
        <v>21</v>
      </c>
      <c r="I4933">
        <v>0</v>
      </c>
      <c r="J4933">
        <v>1</v>
      </c>
      <c r="K4933">
        <v>0</v>
      </c>
    </row>
    <row r="4934" spans="1:11" x14ac:dyDescent="0.25">
      <c r="A4934" t="str">
        <f>"6202"</f>
        <v>6202</v>
      </c>
      <c r="B4934" t="str">
        <f t="shared" si="322"/>
        <v>1</v>
      </c>
      <c r="C4934" t="str">
        <f t="shared" si="323"/>
        <v>271</v>
      </c>
      <c r="D4934" t="str">
        <f>"9"</f>
        <v>9</v>
      </c>
      <c r="E4934" t="str">
        <f>"1-271-9"</f>
        <v>1-271-9</v>
      </c>
      <c r="F4934" t="s">
        <v>15</v>
      </c>
      <c r="G4934" t="s">
        <v>20</v>
      </c>
      <c r="H4934" t="s">
        <v>21</v>
      </c>
      <c r="I4934">
        <v>1</v>
      </c>
      <c r="J4934">
        <v>0</v>
      </c>
      <c r="K4934">
        <v>0</v>
      </c>
    </row>
    <row r="4935" spans="1:11" x14ac:dyDescent="0.25">
      <c r="A4935" t="str">
        <f>"6203"</f>
        <v>6203</v>
      </c>
      <c r="B4935" t="str">
        <f t="shared" si="322"/>
        <v>1</v>
      </c>
      <c r="C4935" t="str">
        <f t="shared" si="323"/>
        <v>271</v>
      </c>
      <c r="D4935" t="str">
        <f>"7"</f>
        <v>7</v>
      </c>
      <c r="E4935" t="str">
        <f>"1-271-7"</f>
        <v>1-271-7</v>
      </c>
      <c r="F4935" t="s">
        <v>15</v>
      </c>
      <c r="G4935" t="s">
        <v>20</v>
      </c>
      <c r="H4935" t="s">
        <v>21</v>
      </c>
      <c r="I4935">
        <v>1</v>
      </c>
      <c r="J4935">
        <v>0</v>
      </c>
      <c r="K4935">
        <v>0</v>
      </c>
    </row>
    <row r="4936" spans="1:11" x14ac:dyDescent="0.25">
      <c r="A4936" t="str">
        <f>"6204"</f>
        <v>6204</v>
      </c>
      <c r="B4936" t="str">
        <f t="shared" si="322"/>
        <v>1</v>
      </c>
      <c r="C4936" t="str">
        <f t="shared" si="323"/>
        <v>271</v>
      </c>
      <c r="D4936" t="str">
        <f>"10"</f>
        <v>10</v>
      </c>
      <c r="E4936" t="str">
        <f>"1-271-10"</f>
        <v>1-271-10</v>
      </c>
      <c r="F4936" t="s">
        <v>15</v>
      </c>
      <c r="G4936" t="s">
        <v>20</v>
      </c>
      <c r="H4936" t="s">
        <v>21</v>
      </c>
      <c r="I4936">
        <v>0</v>
      </c>
      <c r="J4936">
        <v>0</v>
      </c>
      <c r="K4936">
        <v>1</v>
      </c>
    </row>
    <row r="4937" spans="1:11" x14ac:dyDescent="0.25">
      <c r="A4937" t="str">
        <f>"6205"</f>
        <v>6205</v>
      </c>
      <c r="B4937" t="str">
        <f t="shared" si="322"/>
        <v>1</v>
      </c>
      <c r="C4937" t="str">
        <f t="shared" si="323"/>
        <v>271</v>
      </c>
      <c r="D4937" t="str">
        <f>"22"</f>
        <v>22</v>
      </c>
      <c r="E4937" t="str">
        <f>"1-271-22"</f>
        <v>1-271-22</v>
      </c>
      <c r="F4937" t="s">
        <v>15</v>
      </c>
      <c r="G4937" t="s">
        <v>20</v>
      </c>
      <c r="H4937" t="s">
        <v>21</v>
      </c>
      <c r="I4937">
        <v>0</v>
      </c>
      <c r="J4937">
        <v>0</v>
      </c>
      <c r="K4937">
        <v>0</v>
      </c>
    </row>
    <row r="4938" spans="1:11" x14ac:dyDescent="0.25">
      <c r="A4938" t="str">
        <f>"6206"</f>
        <v>6206</v>
      </c>
      <c r="B4938" t="str">
        <f t="shared" si="322"/>
        <v>1</v>
      </c>
      <c r="C4938" t="str">
        <f t="shared" ref="C4938:C4958" si="324">"272"</f>
        <v>272</v>
      </c>
      <c r="D4938" t="str">
        <f>"4"</f>
        <v>4</v>
      </c>
      <c r="E4938" t="str">
        <f>"1-272-4"</f>
        <v>1-272-4</v>
      </c>
      <c r="F4938" t="s">
        <v>15</v>
      </c>
      <c r="G4938" t="s">
        <v>20</v>
      </c>
      <c r="H4938" t="s">
        <v>21</v>
      </c>
      <c r="I4938">
        <v>0</v>
      </c>
      <c r="J4938">
        <v>0</v>
      </c>
      <c r="K4938">
        <v>1</v>
      </c>
    </row>
    <row r="4939" spans="1:11" x14ac:dyDescent="0.25">
      <c r="A4939" t="str">
        <f>"6207"</f>
        <v>6207</v>
      </c>
      <c r="B4939" t="str">
        <f t="shared" si="322"/>
        <v>1</v>
      </c>
      <c r="C4939" t="str">
        <f t="shared" si="324"/>
        <v>272</v>
      </c>
      <c r="D4939" t="str">
        <f>"16"</f>
        <v>16</v>
      </c>
      <c r="E4939" t="str">
        <f>"1-272-16"</f>
        <v>1-272-16</v>
      </c>
      <c r="F4939" t="s">
        <v>15</v>
      </c>
      <c r="G4939" t="s">
        <v>20</v>
      </c>
      <c r="H4939" t="s">
        <v>21</v>
      </c>
      <c r="I4939">
        <v>0</v>
      </c>
      <c r="J4939">
        <v>0</v>
      </c>
      <c r="K4939">
        <v>1</v>
      </c>
    </row>
    <row r="4940" spans="1:11" x14ac:dyDescent="0.25">
      <c r="A4940" t="str">
        <f>"6208"</f>
        <v>6208</v>
      </c>
      <c r="B4940" t="str">
        <f t="shared" si="322"/>
        <v>1</v>
      </c>
      <c r="C4940" t="str">
        <f t="shared" si="324"/>
        <v>272</v>
      </c>
      <c r="D4940" t="str">
        <f>"1"</f>
        <v>1</v>
      </c>
      <c r="E4940" t="str">
        <f>"1-272-1"</f>
        <v>1-272-1</v>
      </c>
      <c r="F4940" t="s">
        <v>15</v>
      </c>
      <c r="G4940" t="s">
        <v>20</v>
      </c>
      <c r="H4940" t="s">
        <v>21</v>
      </c>
      <c r="I4940">
        <v>0</v>
      </c>
      <c r="J4940">
        <v>0</v>
      </c>
      <c r="K4940">
        <v>1</v>
      </c>
    </row>
    <row r="4941" spans="1:11" x14ac:dyDescent="0.25">
      <c r="A4941" t="str">
        <f>"6209"</f>
        <v>6209</v>
      </c>
      <c r="B4941" t="str">
        <f t="shared" si="322"/>
        <v>1</v>
      </c>
      <c r="C4941" t="str">
        <f t="shared" si="324"/>
        <v>272</v>
      </c>
      <c r="D4941" t="str">
        <f>"17"</f>
        <v>17</v>
      </c>
      <c r="E4941" t="str">
        <f>"1-272-17"</f>
        <v>1-272-17</v>
      </c>
      <c r="F4941" t="s">
        <v>15</v>
      </c>
      <c r="G4941" t="s">
        <v>20</v>
      </c>
      <c r="H4941" t="s">
        <v>21</v>
      </c>
      <c r="I4941">
        <v>1</v>
      </c>
      <c r="J4941">
        <v>0</v>
      </c>
      <c r="K4941">
        <v>0</v>
      </c>
    </row>
    <row r="4942" spans="1:11" x14ac:dyDescent="0.25">
      <c r="A4942" t="str">
        <f>"6210"</f>
        <v>6210</v>
      </c>
      <c r="B4942" t="str">
        <f t="shared" si="322"/>
        <v>1</v>
      </c>
      <c r="C4942" t="str">
        <f t="shared" si="324"/>
        <v>272</v>
      </c>
      <c r="D4942" t="str">
        <f>"3"</f>
        <v>3</v>
      </c>
      <c r="E4942" t="str">
        <f>"1-272-3"</f>
        <v>1-272-3</v>
      </c>
      <c r="F4942" t="s">
        <v>15</v>
      </c>
      <c r="G4942" t="s">
        <v>20</v>
      </c>
      <c r="H4942" t="s">
        <v>21</v>
      </c>
      <c r="I4942">
        <v>1</v>
      </c>
      <c r="J4942">
        <v>0</v>
      </c>
      <c r="K4942">
        <v>0</v>
      </c>
    </row>
    <row r="4943" spans="1:11" x14ac:dyDescent="0.25">
      <c r="A4943" t="str">
        <f>"6211"</f>
        <v>6211</v>
      </c>
      <c r="B4943" t="str">
        <f t="shared" si="322"/>
        <v>1</v>
      </c>
      <c r="C4943" t="str">
        <f t="shared" si="324"/>
        <v>272</v>
      </c>
      <c r="D4943" t="str">
        <f>"18"</f>
        <v>18</v>
      </c>
      <c r="E4943" t="str">
        <f>"1-272-18"</f>
        <v>1-272-18</v>
      </c>
      <c r="F4943" t="s">
        <v>15</v>
      </c>
      <c r="G4943" t="s">
        <v>20</v>
      </c>
      <c r="H4943" t="s">
        <v>21</v>
      </c>
      <c r="I4943">
        <v>1</v>
      </c>
      <c r="J4943">
        <v>0</v>
      </c>
      <c r="K4943">
        <v>0</v>
      </c>
    </row>
    <row r="4944" spans="1:11" x14ac:dyDescent="0.25">
      <c r="A4944" t="str">
        <f>"6212"</f>
        <v>6212</v>
      </c>
      <c r="B4944" t="str">
        <f t="shared" si="322"/>
        <v>1</v>
      </c>
      <c r="C4944" t="str">
        <f t="shared" si="324"/>
        <v>272</v>
      </c>
      <c r="D4944" t="str">
        <f>"14"</f>
        <v>14</v>
      </c>
      <c r="E4944" t="str">
        <f>"1-272-14"</f>
        <v>1-272-14</v>
      </c>
      <c r="F4944" t="s">
        <v>15</v>
      </c>
      <c r="G4944" t="s">
        <v>20</v>
      </c>
      <c r="H4944" t="s">
        <v>21</v>
      </c>
      <c r="I4944">
        <v>0</v>
      </c>
      <c r="J4944">
        <v>1</v>
      </c>
      <c r="K4944">
        <v>0</v>
      </c>
    </row>
    <row r="4945" spans="1:11" x14ac:dyDescent="0.25">
      <c r="A4945" t="str">
        <f>"6213"</f>
        <v>6213</v>
      </c>
      <c r="B4945" t="str">
        <f t="shared" si="322"/>
        <v>1</v>
      </c>
      <c r="C4945" t="str">
        <f t="shared" si="324"/>
        <v>272</v>
      </c>
      <c r="D4945" t="str">
        <f>"19"</f>
        <v>19</v>
      </c>
      <c r="E4945" t="str">
        <f>"1-272-19"</f>
        <v>1-272-19</v>
      </c>
      <c r="F4945" t="s">
        <v>15</v>
      </c>
      <c r="G4945" t="s">
        <v>20</v>
      </c>
      <c r="H4945" t="s">
        <v>21</v>
      </c>
      <c r="I4945">
        <v>0</v>
      </c>
      <c r="J4945">
        <v>1</v>
      </c>
      <c r="K4945">
        <v>0</v>
      </c>
    </row>
    <row r="4946" spans="1:11" x14ac:dyDescent="0.25">
      <c r="A4946" t="str">
        <f>"6214"</f>
        <v>6214</v>
      </c>
      <c r="B4946" t="str">
        <f t="shared" si="322"/>
        <v>1</v>
      </c>
      <c r="C4946" t="str">
        <f t="shared" si="324"/>
        <v>272</v>
      </c>
      <c r="D4946" t="str">
        <f>"12"</f>
        <v>12</v>
      </c>
      <c r="E4946" t="str">
        <f>"1-272-12"</f>
        <v>1-272-12</v>
      </c>
      <c r="F4946" t="s">
        <v>15</v>
      </c>
      <c r="G4946" t="s">
        <v>20</v>
      </c>
      <c r="H4946" t="s">
        <v>21</v>
      </c>
      <c r="I4946">
        <v>0</v>
      </c>
      <c r="J4946">
        <v>0</v>
      </c>
      <c r="K4946">
        <v>1</v>
      </c>
    </row>
    <row r="4947" spans="1:11" x14ac:dyDescent="0.25">
      <c r="A4947" t="str">
        <f>"6215"</f>
        <v>6215</v>
      </c>
      <c r="B4947" t="str">
        <f t="shared" si="322"/>
        <v>1</v>
      </c>
      <c r="C4947" t="str">
        <f t="shared" si="324"/>
        <v>272</v>
      </c>
      <c r="D4947" t="str">
        <f>"20"</f>
        <v>20</v>
      </c>
      <c r="E4947" t="str">
        <f>"1-272-20"</f>
        <v>1-272-20</v>
      </c>
      <c r="F4947" t="s">
        <v>15</v>
      </c>
      <c r="G4947" t="s">
        <v>20</v>
      </c>
      <c r="H4947" t="s">
        <v>21</v>
      </c>
      <c r="I4947">
        <v>0</v>
      </c>
      <c r="J4947">
        <v>1</v>
      </c>
      <c r="K4947">
        <v>0</v>
      </c>
    </row>
    <row r="4948" spans="1:11" x14ac:dyDescent="0.25">
      <c r="A4948" t="str">
        <f>"6216"</f>
        <v>6216</v>
      </c>
      <c r="B4948" t="str">
        <f t="shared" si="322"/>
        <v>1</v>
      </c>
      <c r="C4948" t="str">
        <f t="shared" si="324"/>
        <v>272</v>
      </c>
      <c r="D4948" t="str">
        <f>"5"</f>
        <v>5</v>
      </c>
      <c r="E4948" t="str">
        <f>"1-272-5"</f>
        <v>1-272-5</v>
      </c>
      <c r="F4948" t="s">
        <v>15</v>
      </c>
      <c r="G4948" t="s">
        <v>20</v>
      </c>
      <c r="H4948" t="s">
        <v>21</v>
      </c>
      <c r="I4948">
        <v>0</v>
      </c>
      <c r="J4948">
        <v>1</v>
      </c>
      <c r="K4948">
        <v>0</v>
      </c>
    </row>
    <row r="4949" spans="1:11" x14ac:dyDescent="0.25">
      <c r="A4949" t="str">
        <f>"6217"</f>
        <v>6217</v>
      </c>
      <c r="B4949" t="str">
        <f t="shared" si="322"/>
        <v>1</v>
      </c>
      <c r="C4949" t="str">
        <f t="shared" si="324"/>
        <v>272</v>
      </c>
      <c r="D4949" t="str">
        <f>"21"</f>
        <v>21</v>
      </c>
      <c r="E4949" t="str">
        <f>"1-272-21"</f>
        <v>1-272-21</v>
      </c>
      <c r="F4949" t="s">
        <v>15</v>
      </c>
      <c r="G4949" t="s">
        <v>20</v>
      </c>
      <c r="H4949" t="s">
        <v>21</v>
      </c>
      <c r="I4949">
        <v>0</v>
      </c>
      <c r="J4949">
        <v>1</v>
      </c>
      <c r="K4949">
        <v>0</v>
      </c>
    </row>
    <row r="4950" spans="1:11" x14ac:dyDescent="0.25">
      <c r="A4950" t="str">
        <f>"6218"</f>
        <v>6218</v>
      </c>
      <c r="B4950" t="str">
        <f t="shared" si="322"/>
        <v>1</v>
      </c>
      <c r="C4950" t="str">
        <f t="shared" si="324"/>
        <v>272</v>
      </c>
      <c r="D4950" t="str">
        <f>"8"</f>
        <v>8</v>
      </c>
      <c r="E4950" t="str">
        <f>"1-272-8"</f>
        <v>1-272-8</v>
      </c>
      <c r="F4950" t="s">
        <v>15</v>
      </c>
      <c r="G4950" t="s">
        <v>20</v>
      </c>
      <c r="H4950" t="s">
        <v>21</v>
      </c>
      <c r="I4950">
        <v>0</v>
      </c>
      <c r="J4950">
        <v>0</v>
      </c>
      <c r="K4950">
        <v>1</v>
      </c>
    </row>
    <row r="4951" spans="1:11" x14ac:dyDescent="0.25">
      <c r="A4951" t="str">
        <f>"6219"</f>
        <v>6219</v>
      </c>
      <c r="B4951" t="str">
        <f t="shared" si="322"/>
        <v>1</v>
      </c>
      <c r="C4951" t="str">
        <f t="shared" si="324"/>
        <v>272</v>
      </c>
      <c r="D4951" t="str">
        <f>"10"</f>
        <v>10</v>
      </c>
      <c r="E4951" t="str">
        <f>"1-272-10"</f>
        <v>1-272-10</v>
      </c>
      <c r="F4951" t="s">
        <v>15</v>
      </c>
      <c r="G4951" t="s">
        <v>20</v>
      </c>
      <c r="H4951" t="s">
        <v>21</v>
      </c>
      <c r="I4951">
        <v>1</v>
      </c>
      <c r="J4951">
        <v>0</v>
      </c>
      <c r="K4951">
        <v>0</v>
      </c>
    </row>
    <row r="4952" spans="1:11" x14ac:dyDescent="0.25">
      <c r="A4952" t="str">
        <f>"6220"</f>
        <v>6220</v>
      </c>
      <c r="B4952" t="str">
        <f t="shared" si="322"/>
        <v>1</v>
      </c>
      <c r="C4952" t="str">
        <f t="shared" si="324"/>
        <v>272</v>
      </c>
      <c r="D4952" t="str">
        <f>"6"</f>
        <v>6</v>
      </c>
      <c r="E4952" t="str">
        <f>"1-272-6"</f>
        <v>1-272-6</v>
      </c>
      <c r="F4952" t="s">
        <v>15</v>
      </c>
      <c r="G4952" t="s">
        <v>20</v>
      </c>
      <c r="H4952" t="s">
        <v>21</v>
      </c>
      <c r="I4952">
        <v>0</v>
      </c>
      <c r="J4952">
        <v>1</v>
      </c>
      <c r="K4952">
        <v>0</v>
      </c>
    </row>
    <row r="4953" spans="1:11" x14ac:dyDescent="0.25">
      <c r="A4953" t="str">
        <f>"6221"</f>
        <v>6221</v>
      </c>
      <c r="B4953" t="str">
        <f t="shared" si="322"/>
        <v>1</v>
      </c>
      <c r="C4953" t="str">
        <f t="shared" si="324"/>
        <v>272</v>
      </c>
      <c r="D4953" t="str">
        <f>"13"</f>
        <v>13</v>
      </c>
      <c r="E4953" t="str">
        <f>"1-272-13"</f>
        <v>1-272-13</v>
      </c>
      <c r="F4953" t="s">
        <v>15</v>
      </c>
      <c r="G4953" t="s">
        <v>20</v>
      </c>
      <c r="H4953" t="s">
        <v>21</v>
      </c>
      <c r="I4953">
        <v>0</v>
      </c>
      <c r="J4953">
        <v>0</v>
      </c>
      <c r="K4953">
        <v>1</v>
      </c>
    </row>
    <row r="4954" spans="1:11" x14ac:dyDescent="0.25">
      <c r="A4954" t="str">
        <f>"6222"</f>
        <v>6222</v>
      </c>
      <c r="B4954" t="str">
        <f t="shared" si="322"/>
        <v>1</v>
      </c>
      <c r="C4954" t="str">
        <f t="shared" si="324"/>
        <v>272</v>
      </c>
      <c r="D4954" t="str">
        <f>"9"</f>
        <v>9</v>
      </c>
      <c r="E4954" t="str">
        <f>"1-272-9"</f>
        <v>1-272-9</v>
      </c>
      <c r="F4954" t="s">
        <v>15</v>
      </c>
      <c r="G4954" t="s">
        <v>20</v>
      </c>
      <c r="H4954" t="s">
        <v>21</v>
      </c>
      <c r="I4954">
        <v>1</v>
      </c>
      <c r="J4954">
        <v>0</v>
      </c>
      <c r="K4954">
        <v>0</v>
      </c>
    </row>
    <row r="4955" spans="1:11" x14ac:dyDescent="0.25">
      <c r="A4955" t="str">
        <f>"6223"</f>
        <v>6223</v>
      </c>
      <c r="B4955" t="str">
        <f t="shared" si="322"/>
        <v>1</v>
      </c>
      <c r="C4955" t="str">
        <f t="shared" si="324"/>
        <v>272</v>
      </c>
      <c r="D4955" t="str">
        <f>"11"</f>
        <v>11</v>
      </c>
      <c r="E4955" t="str">
        <f>"1-272-11"</f>
        <v>1-272-11</v>
      </c>
      <c r="F4955" t="s">
        <v>15</v>
      </c>
      <c r="G4955" t="s">
        <v>20</v>
      </c>
      <c r="H4955" t="s">
        <v>21</v>
      </c>
      <c r="I4955">
        <v>0</v>
      </c>
      <c r="J4955">
        <v>0</v>
      </c>
      <c r="K4955">
        <v>1</v>
      </c>
    </row>
    <row r="4956" spans="1:11" x14ac:dyDescent="0.25">
      <c r="A4956" t="str">
        <f>"6224"</f>
        <v>6224</v>
      </c>
      <c r="B4956" t="str">
        <f t="shared" si="322"/>
        <v>1</v>
      </c>
      <c r="C4956" t="str">
        <f t="shared" si="324"/>
        <v>272</v>
      </c>
      <c r="D4956" t="str">
        <f>"2"</f>
        <v>2</v>
      </c>
      <c r="E4956" t="str">
        <f>"1-272-2"</f>
        <v>1-272-2</v>
      </c>
      <c r="F4956" t="s">
        <v>15</v>
      </c>
      <c r="G4956" t="s">
        <v>20</v>
      </c>
      <c r="H4956" t="s">
        <v>21</v>
      </c>
      <c r="I4956">
        <v>0</v>
      </c>
      <c r="J4956">
        <v>0</v>
      </c>
      <c r="K4956">
        <v>1</v>
      </c>
    </row>
    <row r="4957" spans="1:11" x14ac:dyDescent="0.25">
      <c r="A4957" t="str">
        <f>"6225"</f>
        <v>6225</v>
      </c>
      <c r="B4957" t="str">
        <f t="shared" si="322"/>
        <v>1</v>
      </c>
      <c r="C4957" t="str">
        <f t="shared" si="324"/>
        <v>272</v>
      </c>
      <c r="D4957" t="str">
        <f>"15"</f>
        <v>15</v>
      </c>
      <c r="E4957" t="str">
        <f>"1-272-15"</f>
        <v>1-272-15</v>
      </c>
      <c r="F4957" t="s">
        <v>15</v>
      </c>
      <c r="G4957" t="s">
        <v>20</v>
      </c>
      <c r="H4957" t="s">
        <v>21</v>
      </c>
      <c r="I4957">
        <v>0</v>
      </c>
      <c r="J4957">
        <v>0</v>
      </c>
      <c r="K4957">
        <v>0</v>
      </c>
    </row>
    <row r="4958" spans="1:11" x14ac:dyDescent="0.25">
      <c r="A4958" t="str">
        <f>"6226"</f>
        <v>6226</v>
      </c>
      <c r="B4958" t="str">
        <f t="shared" si="322"/>
        <v>1</v>
      </c>
      <c r="C4958" t="str">
        <f t="shared" si="324"/>
        <v>272</v>
      </c>
      <c r="D4958" t="str">
        <f>"7"</f>
        <v>7</v>
      </c>
      <c r="E4958" t="str">
        <f>"1-272-7"</f>
        <v>1-272-7</v>
      </c>
      <c r="F4958" t="s">
        <v>15</v>
      </c>
      <c r="G4958" t="s">
        <v>20</v>
      </c>
      <c r="H4958" t="s">
        <v>21</v>
      </c>
      <c r="I4958">
        <v>0</v>
      </c>
      <c r="J4958">
        <v>0</v>
      </c>
      <c r="K4958">
        <v>0</v>
      </c>
    </row>
    <row r="4959" spans="1:11" x14ac:dyDescent="0.25">
      <c r="A4959" t="str">
        <f>"6227"</f>
        <v>6227</v>
      </c>
      <c r="B4959" t="str">
        <f t="shared" si="322"/>
        <v>1</v>
      </c>
      <c r="C4959" t="str">
        <f t="shared" ref="C4959:C4975" si="325">"273"</f>
        <v>273</v>
      </c>
      <c r="D4959" t="str">
        <f>"15"</f>
        <v>15</v>
      </c>
      <c r="E4959" t="str">
        <f>"1-273-15"</f>
        <v>1-273-15</v>
      </c>
      <c r="F4959" t="s">
        <v>15</v>
      </c>
      <c r="G4959" t="s">
        <v>20</v>
      </c>
      <c r="H4959" t="s">
        <v>21</v>
      </c>
      <c r="I4959">
        <v>0</v>
      </c>
      <c r="J4959">
        <v>1</v>
      </c>
      <c r="K4959">
        <v>0</v>
      </c>
    </row>
    <row r="4960" spans="1:11" x14ac:dyDescent="0.25">
      <c r="A4960" t="str">
        <f>"6228"</f>
        <v>6228</v>
      </c>
      <c r="B4960" t="str">
        <f t="shared" si="322"/>
        <v>1</v>
      </c>
      <c r="C4960" t="str">
        <f t="shared" si="325"/>
        <v>273</v>
      </c>
      <c r="D4960" t="str">
        <f>"4"</f>
        <v>4</v>
      </c>
      <c r="E4960" t="str">
        <f>"1-273-4"</f>
        <v>1-273-4</v>
      </c>
      <c r="F4960" t="s">
        <v>15</v>
      </c>
      <c r="G4960" t="s">
        <v>16</v>
      </c>
      <c r="H4960" t="s">
        <v>17</v>
      </c>
      <c r="I4960">
        <v>0</v>
      </c>
      <c r="J4960">
        <v>0</v>
      </c>
      <c r="K4960">
        <v>1</v>
      </c>
    </row>
    <row r="4961" spans="1:11" x14ac:dyDescent="0.25">
      <c r="A4961" t="str">
        <f>"6230"</f>
        <v>6230</v>
      </c>
      <c r="B4961" t="str">
        <f t="shared" si="322"/>
        <v>1</v>
      </c>
      <c r="C4961" t="str">
        <f t="shared" si="325"/>
        <v>273</v>
      </c>
      <c r="D4961" t="str">
        <f>"17"</f>
        <v>17</v>
      </c>
      <c r="E4961" t="str">
        <f>"1-273-17"</f>
        <v>1-273-17</v>
      </c>
      <c r="F4961" t="s">
        <v>15</v>
      </c>
      <c r="G4961" t="s">
        <v>20</v>
      </c>
      <c r="H4961" t="s">
        <v>21</v>
      </c>
      <c r="I4961">
        <v>0</v>
      </c>
      <c r="J4961">
        <v>0</v>
      </c>
      <c r="K4961">
        <v>1</v>
      </c>
    </row>
    <row r="4962" spans="1:11" x14ac:dyDescent="0.25">
      <c r="A4962" t="str">
        <f>"6231"</f>
        <v>6231</v>
      </c>
      <c r="B4962" t="str">
        <f t="shared" si="322"/>
        <v>1</v>
      </c>
      <c r="C4962" t="str">
        <f t="shared" si="325"/>
        <v>273</v>
      </c>
      <c r="D4962" t="str">
        <f>"1"</f>
        <v>1</v>
      </c>
      <c r="E4962" t="str">
        <f>"1-273-1"</f>
        <v>1-273-1</v>
      </c>
      <c r="F4962" t="s">
        <v>15</v>
      </c>
      <c r="G4962" t="s">
        <v>20</v>
      </c>
      <c r="H4962" t="s">
        <v>21</v>
      </c>
      <c r="I4962">
        <v>1</v>
      </c>
      <c r="J4962">
        <v>0</v>
      </c>
      <c r="K4962">
        <v>0</v>
      </c>
    </row>
    <row r="4963" spans="1:11" x14ac:dyDescent="0.25">
      <c r="A4963" t="str">
        <f>"6232"</f>
        <v>6232</v>
      </c>
      <c r="B4963" t="str">
        <f t="shared" si="322"/>
        <v>1</v>
      </c>
      <c r="C4963" t="str">
        <f t="shared" si="325"/>
        <v>273</v>
      </c>
      <c r="D4963" t="str">
        <f>"18"</f>
        <v>18</v>
      </c>
      <c r="E4963" t="str">
        <f>"1-273-18"</f>
        <v>1-273-18</v>
      </c>
      <c r="F4963" t="s">
        <v>15</v>
      </c>
      <c r="G4963" t="s">
        <v>20</v>
      </c>
      <c r="H4963" t="s">
        <v>21</v>
      </c>
      <c r="I4963">
        <v>0</v>
      </c>
      <c r="J4963">
        <v>1</v>
      </c>
      <c r="K4963">
        <v>0</v>
      </c>
    </row>
    <row r="4964" spans="1:11" x14ac:dyDescent="0.25">
      <c r="A4964" t="str">
        <f>"6233"</f>
        <v>6233</v>
      </c>
      <c r="B4964" t="str">
        <f t="shared" si="322"/>
        <v>1</v>
      </c>
      <c r="C4964" t="str">
        <f t="shared" si="325"/>
        <v>273</v>
      </c>
      <c r="D4964" t="str">
        <f>"13"</f>
        <v>13</v>
      </c>
      <c r="E4964" t="str">
        <f>"1-273-13"</f>
        <v>1-273-13</v>
      </c>
      <c r="F4964" t="s">
        <v>15</v>
      </c>
      <c r="G4964" t="s">
        <v>20</v>
      </c>
      <c r="H4964" t="s">
        <v>21</v>
      </c>
      <c r="I4964">
        <v>0</v>
      </c>
      <c r="J4964">
        <v>0</v>
      </c>
      <c r="K4964">
        <v>1</v>
      </c>
    </row>
    <row r="4965" spans="1:11" x14ac:dyDescent="0.25">
      <c r="A4965" t="str">
        <f>"6234"</f>
        <v>6234</v>
      </c>
      <c r="B4965" t="str">
        <f t="shared" ref="B4965:B5019" si="326">"1"</f>
        <v>1</v>
      </c>
      <c r="C4965" t="str">
        <f t="shared" si="325"/>
        <v>273</v>
      </c>
      <c r="D4965" t="str">
        <f>"19"</f>
        <v>19</v>
      </c>
      <c r="E4965" t="str">
        <f>"1-273-19"</f>
        <v>1-273-19</v>
      </c>
      <c r="F4965" t="s">
        <v>15</v>
      </c>
      <c r="G4965" t="s">
        <v>20</v>
      </c>
      <c r="H4965" t="s">
        <v>21</v>
      </c>
      <c r="I4965">
        <v>0</v>
      </c>
      <c r="J4965">
        <v>0</v>
      </c>
      <c r="K4965">
        <v>1</v>
      </c>
    </row>
    <row r="4966" spans="1:11" x14ac:dyDescent="0.25">
      <c r="A4966" t="str">
        <f>"6236"</f>
        <v>6236</v>
      </c>
      <c r="B4966" t="str">
        <f t="shared" si="326"/>
        <v>1</v>
      </c>
      <c r="C4966" t="str">
        <f t="shared" si="325"/>
        <v>273</v>
      </c>
      <c r="D4966" t="str">
        <f>"3"</f>
        <v>3</v>
      </c>
      <c r="E4966" t="str">
        <f>"1-273-3"</f>
        <v>1-273-3</v>
      </c>
      <c r="F4966" t="s">
        <v>15</v>
      </c>
      <c r="G4966" t="s">
        <v>16</v>
      </c>
      <c r="H4966" t="s">
        <v>17</v>
      </c>
      <c r="I4966">
        <v>0</v>
      </c>
      <c r="J4966">
        <v>0</v>
      </c>
      <c r="K4966">
        <v>1</v>
      </c>
    </row>
    <row r="4967" spans="1:11" x14ac:dyDescent="0.25">
      <c r="A4967" t="str">
        <f>"6237"</f>
        <v>6237</v>
      </c>
      <c r="B4967" t="str">
        <f t="shared" si="326"/>
        <v>1</v>
      </c>
      <c r="C4967" t="str">
        <f t="shared" si="325"/>
        <v>273</v>
      </c>
      <c r="D4967" t="str">
        <f>"8"</f>
        <v>8</v>
      </c>
      <c r="E4967" t="str">
        <f>"1-273-8"</f>
        <v>1-273-8</v>
      </c>
      <c r="F4967" t="s">
        <v>15</v>
      </c>
      <c r="G4967" t="s">
        <v>20</v>
      </c>
      <c r="H4967" t="s">
        <v>21</v>
      </c>
      <c r="I4967">
        <v>0</v>
      </c>
      <c r="J4967">
        <v>1</v>
      </c>
      <c r="K4967">
        <v>0</v>
      </c>
    </row>
    <row r="4968" spans="1:11" x14ac:dyDescent="0.25">
      <c r="A4968" t="str">
        <f>"6238"</f>
        <v>6238</v>
      </c>
      <c r="B4968" t="str">
        <f t="shared" si="326"/>
        <v>1</v>
      </c>
      <c r="C4968" t="str">
        <f t="shared" si="325"/>
        <v>273</v>
      </c>
      <c r="D4968" t="str">
        <f>"12"</f>
        <v>12</v>
      </c>
      <c r="E4968" t="str">
        <f>"1-273-12"</f>
        <v>1-273-12</v>
      </c>
      <c r="F4968" t="s">
        <v>15</v>
      </c>
      <c r="G4968" t="s">
        <v>18</v>
      </c>
      <c r="H4968" t="s">
        <v>19</v>
      </c>
      <c r="I4968">
        <v>0</v>
      </c>
      <c r="J4968">
        <v>1</v>
      </c>
      <c r="K4968">
        <v>0</v>
      </c>
    </row>
    <row r="4969" spans="1:11" x14ac:dyDescent="0.25">
      <c r="A4969" t="str">
        <f>"6239"</f>
        <v>6239</v>
      </c>
      <c r="B4969" t="str">
        <f t="shared" si="326"/>
        <v>1</v>
      </c>
      <c r="C4969" t="str">
        <f t="shared" si="325"/>
        <v>273</v>
      </c>
      <c r="D4969" t="str">
        <f>"10"</f>
        <v>10</v>
      </c>
      <c r="E4969" t="str">
        <f>"1-273-10"</f>
        <v>1-273-10</v>
      </c>
      <c r="F4969" t="s">
        <v>15</v>
      </c>
      <c r="G4969" t="s">
        <v>20</v>
      </c>
      <c r="H4969" t="s">
        <v>21</v>
      </c>
      <c r="I4969">
        <v>0</v>
      </c>
      <c r="J4969">
        <v>1</v>
      </c>
      <c r="K4969">
        <v>0</v>
      </c>
    </row>
    <row r="4970" spans="1:11" x14ac:dyDescent="0.25">
      <c r="A4970" t="str">
        <f>"6240"</f>
        <v>6240</v>
      </c>
      <c r="B4970" t="str">
        <f t="shared" si="326"/>
        <v>1</v>
      </c>
      <c r="C4970" t="str">
        <f t="shared" si="325"/>
        <v>273</v>
      </c>
      <c r="D4970" t="str">
        <f>"9"</f>
        <v>9</v>
      </c>
      <c r="E4970" t="str">
        <f>"1-273-9"</f>
        <v>1-273-9</v>
      </c>
      <c r="F4970" t="s">
        <v>15</v>
      </c>
      <c r="G4970" t="s">
        <v>18</v>
      </c>
      <c r="H4970" t="s">
        <v>19</v>
      </c>
      <c r="I4970">
        <v>1</v>
      </c>
      <c r="J4970">
        <v>0</v>
      </c>
      <c r="K4970">
        <v>0</v>
      </c>
    </row>
    <row r="4971" spans="1:11" x14ac:dyDescent="0.25">
      <c r="A4971" t="str">
        <f>"6241"</f>
        <v>6241</v>
      </c>
      <c r="B4971" t="str">
        <f t="shared" si="326"/>
        <v>1</v>
      </c>
      <c r="C4971" t="str">
        <f t="shared" si="325"/>
        <v>273</v>
      </c>
      <c r="D4971" t="str">
        <f>"5"</f>
        <v>5</v>
      </c>
      <c r="E4971" t="str">
        <f>"1-273-5"</f>
        <v>1-273-5</v>
      </c>
      <c r="F4971" t="s">
        <v>15</v>
      </c>
      <c r="G4971" t="s">
        <v>16</v>
      </c>
      <c r="H4971" t="s">
        <v>17</v>
      </c>
      <c r="I4971">
        <v>0</v>
      </c>
      <c r="J4971">
        <v>1</v>
      </c>
      <c r="K4971">
        <v>0</v>
      </c>
    </row>
    <row r="4972" spans="1:11" x14ac:dyDescent="0.25">
      <c r="A4972" t="str">
        <f>"6242"</f>
        <v>6242</v>
      </c>
      <c r="B4972" t="str">
        <f t="shared" si="326"/>
        <v>1</v>
      </c>
      <c r="C4972" t="str">
        <f t="shared" si="325"/>
        <v>273</v>
      </c>
      <c r="D4972" t="str">
        <f>"7"</f>
        <v>7</v>
      </c>
      <c r="E4972" t="str">
        <f>"1-273-7"</f>
        <v>1-273-7</v>
      </c>
      <c r="F4972" t="s">
        <v>15</v>
      </c>
      <c r="G4972" t="s">
        <v>16</v>
      </c>
      <c r="H4972" t="s">
        <v>17</v>
      </c>
      <c r="I4972">
        <v>0</v>
      </c>
      <c r="J4972">
        <v>1</v>
      </c>
      <c r="K4972">
        <v>0</v>
      </c>
    </row>
    <row r="4973" spans="1:11" x14ac:dyDescent="0.25">
      <c r="A4973" t="str">
        <f>"6243"</f>
        <v>6243</v>
      </c>
      <c r="B4973" t="str">
        <f t="shared" si="326"/>
        <v>1</v>
      </c>
      <c r="C4973" t="str">
        <f t="shared" si="325"/>
        <v>273</v>
      </c>
      <c r="D4973" t="str">
        <f>"11"</f>
        <v>11</v>
      </c>
      <c r="E4973" t="str">
        <f>"1-273-11"</f>
        <v>1-273-11</v>
      </c>
      <c r="F4973" t="s">
        <v>15</v>
      </c>
      <c r="G4973" t="s">
        <v>20</v>
      </c>
      <c r="H4973" t="s">
        <v>21</v>
      </c>
      <c r="I4973">
        <v>0</v>
      </c>
      <c r="J4973">
        <v>0</v>
      </c>
      <c r="K4973">
        <v>1</v>
      </c>
    </row>
    <row r="4974" spans="1:11" x14ac:dyDescent="0.25">
      <c r="A4974" t="str">
        <f>"6244"</f>
        <v>6244</v>
      </c>
      <c r="B4974" t="str">
        <f t="shared" si="326"/>
        <v>1</v>
      </c>
      <c r="C4974" t="str">
        <f t="shared" si="325"/>
        <v>273</v>
      </c>
      <c r="D4974" t="str">
        <f>"16"</f>
        <v>16</v>
      </c>
      <c r="E4974" t="str">
        <f>"1-273-16"</f>
        <v>1-273-16</v>
      </c>
      <c r="F4974" t="s">
        <v>15</v>
      </c>
      <c r="G4974" t="s">
        <v>16</v>
      </c>
      <c r="H4974" t="s">
        <v>17</v>
      </c>
      <c r="I4974">
        <v>0</v>
      </c>
      <c r="J4974">
        <v>0</v>
      </c>
      <c r="K4974">
        <v>0</v>
      </c>
    </row>
    <row r="4975" spans="1:11" x14ac:dyDescent="0.25">
      <c r="A4975" t="str">
        <f>"6245"</f>
        <v>6245</v>
      </c>
      <c r="B4975" t="str">
        <f t="shared" si="326"/>
        <v>1</v>
      </c>
      <c r="C4975" t="str">
        <f t="shared" si="325"/>
        <v>273</v>
      </c>
      <c r="D4975" t="str">
        <f>"2"</f>
        <v>2</v>
      </c>
      <c r="E4975" t="str">
        <f>"1-273-2"</f>
        <v>1-273-2</v>
      </c>
      <c r="F4975" t="s">
        <v>15</v>
      </c>
      <c r="G4975" t="s">
        <v>16</v>
      </c>
      <c r="H4975" t="s">
        <v>17</v>
      </c>
      <c r="I4975">
        <v>0</v>
      </c>
      <c r="J4975">
        <v>0</v>
      </c>
      <c r="K4975">
        <v>0</v>
      </c>
    </row>
    <row r="4976" spans="1:11" x14ac:dyDescent="0.25">
      <c r="A4976" t="str">
        <f>"6246"</f>
        <v>6246</v>
      </c>
      <c r="B4976" t="str">
        <f t="shared" si="326"/>
        <v>1</v>
      </c>
      <c r="C4976" t="str">
        <f t="shared" ref="C4976:C4996" si="327">"274"</f>
        <v>274</v>
      </c>
      <c r="D4976" t="str">
        <f>"20"</f>
        <v>20</v>
      </c>
      <c r="E4976" t="str">
        <f>"1-274-20"</f>
        <v>1-274-20</v>
      </c>
      <c r="F4976" t="s">
        <v>15</v>
      </c>
      <c r="G4976" t="s">
        <v>18</v>
      </c>
      <c r="H4976" t="s">
        <v>19</v>
      </c>
      <c r="I4976">
        <v>0</v>
      </c>
      <c r="J4976">
        <v>0</v>
      </c>
      <c r="K4976">
        <v>1</v>
      </c>
    </row>
    <row r="4977" spans="1:11" x14ac:dyDescent="0.25">
      <c r="A4977" t="str">
        <f>"6247"</f>
        <v>6247</v>
      </c>
      <c r="B4977" t="str">
        <f t="shared" si="326"/>
        <v>1</v>
      </c>
      <c r="C4977" t="str">
        <f t="shared" si="327"/>
        <v>274</v>
      </c>
      <c r="D4977" t="str">
        <f>"15"</f>
        <v>15</v>
      </c>
      <c r="E4977" t="str">
        <f>"1-274-15"</f>
        <v>1-274-15</v>
      </c>
      <c r="F4977" t="s">
        <v>15</v>
      </c>
      <c r="G4977" t="s">
        <v>18</v>
      </c>
      <c r="H4977" t="s">
        <v>19</v>
      </c>
      <c r="I4977">
        <v>0</v>
      </c>
      <c r="J4977">
        <v>0</v>
      </c>
      <c r="K4977">
        <v>1</v>
      </c>
    </row>
    <row r="4978" spans="1:11" x14ac:dyDescent="0.25">
      <c r="A4978" t="str">
        <f>"6249"</f>
        <v>6249</v>
      </c>
      <c r="B4978" t="str">
        <f t="shared" si="326"/>
        <v>1</v>
      </c>
      <c r="C4978" t="str">
        <f t="shared" si="327"/>
        <v>274</v>
      </c>
      <c r="D4978" t="str">
        <f>"26"</f>
        <v>26</v>
      </c>
      <c r="E4978" t="str">
        <f>"1-274-26"</f>
        <v>1-274-26</v>
      </c>
      <c r="F4978" t="s">
        <v>15</v>
      </c>
      <c r="G4978" t="s">
        <v>20</v>
      </c>
      <c r="H4978" t="s">
        <v>21</v>
      </c>
      <c r="I4978">
        <v>1</v>
      </c>
      <c r="J4978">
        <v>0</v>
      </c>
      <c r="K4978">
        <v>0</v>
      </c>
    </row>
    <row r="4979" spans="1:11" x14ac:dyDescent="0.25">
      <c r="A4979" t="str">
        <f>"6250"</f>
        <v>6250</v>
      </c>
      <c r="B4979" t="str">
        <f t="shared" si="326"/>
        <v>1</v>
      </c>
      <c r="C4979" t="str">
        <f t="shared" si="327"/>
        <v>274</v>
      </c>
      <c r="D4979" t="str">
        <f>"16"</f>
        <v>16</v>
      </c>
      <c r="E4979" t="str">
        <f>"1-274-16"</f>
        <v>1-274-16</v>
      </c>
      <c r="F4979" t="s">
        <v>15</v>
      </c>
      <c r="G4979" t="s">
        <v>18</v>
      </c>
      <c r="H4979" t="s">
        <v>19</v>
      </c>
      <c r="I4979">
        <v>0</v>
      </c>
      <c r="J4979">
        <v>0</v>
      </c>
      <c r="K4979">
        <v>1</v>
      </c>
    </row>
    <row r="4980" spans="1:11" x14ac:dyDescent="0.25">
      <c r="A4980" t="str">
        <f>"6251"</f>
        <v>6251</v>
      </c>
      <c r="B4980" t="str">
        <f t="shared" si="326"/>
        <v>1</v>
      </c>
      <c r="C4980" t="str">
        <f t="shared" si="327"/>
        <v>274</v>
      </c>
      <c r="D4980" t="str">
        <f>"3"</f>
        <v>3</v>
      </c>
      <c r="E4980" t="str">
        <f>"1-274-3"</f>
        <v>1-274-3</v>
      </c>
      <c r="F4980" t="s">
        <v>15</v>
      </c>
      <c r="G4980" t="s">
        <v>18</v>
      </c>
      <c r="H4980" t="s">
        <v>19</v>
      </c>
      <c r="I4980">
        <v>1</v>
      </c>
      <c r="J4980">
        <v>0</v>
      </c>
      <c r="K4980">
        <v>0</v>
      </c>
    </row>
    <row r="4981" spans="1:11" x14ac:dyDescent="0.25">
      <c r="A4981" t="str">
        <f>"6254"</f>
        <v>6254</v>
      </c>
      <c r="B4981" t="str">
        <f t="shared" si="326"/>
        <v>1</v>
      </c>
      <c r="C4981" t="str">
        <f t="shared" si="327"/>
        <v>274</v>
      </c>
      <c r="D4981" t="str">
        <f>"7"</f>
        <v>7</v>
      </c>
      <c r="E4981" t="str">
        <f>"1-274-7"</f>
        <v>1-274-7</v>
      </c>
      <c r="F4981" t="s">
        <v>15</v>
      </c>
      <c r="G4981" t="s">
        <v>18</v>
      </c>
      <c r="H4981" t="s">
        <v>19</v>
      </c>
      <c r="I4981">
        <v>0</v>
      </c>
      <c r="J4981">
        <v>1</v>
      </c>
      <c r="K4981">
        <v>0</v>
      </c>
    </row>
    <row r="4982" spans="1:11" x14ac:dyDescent="0.25">
      <c r="A4982" t="str">
        <f>"6255"</f>
        <v>6255</v>
      </c>
      <c r="B4982" t="str">
        <f t="shared" si="326"/>
        <v>1</v>
      </c>
      <c r="C4982" t="str">
        <f t="shared" si="327"/>
        <v>274</v>
      </c>
      <c r="D4982" t="str">
        <f>"19"</f>
        <v>19</v>
      </c>
      <c r="E4982" t="str">
        <f>"1-274-19"</f>
        <v>1-274-19</v>
      </c>
      <c r="F4982" t="s">
        <v>15</v>
      </c>
      <c r="G4982" t="s">
        <v>18</v>
      </c>
      <c r="H4982" t="s">
        <v>19</v>
      </c>
      <c r="I4982">
        <v>0</v>
      </c>
      <c r="J4982">
        <v>1</v>
      </c>
      <c r="K4982">
        <v>0</v>
      </c>
    </row>
    <row r="4983" spans="1:11" x14ac:dyDescent="0.25">
      <c r="A4983" t="str">
        <f>"6257"</f>
        <v>6257</v>
      </c>
      <c r="B4983" t="str">
        <f t="shared" si="326"/>
        <v>1</v>
      </c>
      <c r="C4983" t="str">
        <f t="shared" si="327"/>
        <v>274</v>
      </c>
      <c r="D4983" t="str">
        <f>"21"</f>
        <v>21</v>
      </c>
      <c r="E4983" t="str">
        <f>"1-274-21"</f>
        <v>1-274-21</v>
      </c>
      <c r="F4983" t="s">
        <v>15</v>
      </c>
      <c r="G4983" t="s">
        <v>18</v>
      </c>
      <c r="H4983" t="s">
        <v>19</v>
      </c>
      <c r="I4983">
        <v>0</v>
      </c>
      <c r="J4983">
        <v>0</v>
      </c>
      <c r="K4983">
        <v>1</v>
      </c>
    </row>
    <row r="4984" spans="1:11" x14ac:dyDescent="0.25">
      <c r="A4984" t="str">
        <f>"6258"</f>
        <v>6258</v>
      </c>
      <c r="B4984" t="str">
        <f t="shared" si="326"/>
        <v>1</v>
      </c>
      <c r="C4984" t="str">
        <f t="shared" si="327"/>
        <v>274</v>
      </c>
      <c r="D4984" t="str">
        <f>"5"</f>
        <v>5</v>
      </c>
      <c r="E4984" t="str">
        <f>"1-274-5"</f>
        <v>1-274-5</v>
      </c>
      <c r="F4984" t="s">
        <v>15</v>
      </c>
      <c r="G4984" t="s">
        <v>18</v>
      </c>
      <c r="H4984" t="s">
        <v>19</v>
      </c>
      <c r="I4984">
        <v>0</v>
      </c>
      <c r="J4984">
        <v>0</v>
      </c>
      <c r="K4984">
        <v>1</v>
      </c>
    </row>
    <row r="4985" spans="1:11" x14ac:dyDescent="0.25">
      <c r="A4985" t="str">
        <f>"6259"</f>
        <v>6259</v>
      </c>
      <c r="B4985" t="str">
        <f t="shared" si="326"/>
        <v>1</v>
      </c>
      <c r="C4985" t="str">
        <f t="shared" si="327"/>
        <v>274</v>
      </c>
      <c r="D4985" t="str">
        <f>"22"</f>
        <v>22</v>
      </c>
      <c r="E4985" t="str">
        <f>"1-274-22"</f>
        <v>1-274-22</v>
      </c>
      <c r="F4985" t="s">
        <v>15</v>
      </c>
      <c r="G4985" t="s">
        <v>18</v>
      </c>
      <c r="H4985" t="s">
        <v>19</v>
      </c>
      <c r="I4985">
        <v>1</v>
      </c>
      <c r="J4985">
        <v>0</v>
      </c>
      <c r="K4985">
        <v>0</v>
      </c>
    </row>
    <row r="4986" spans="1:11" x14ac:dyDescent="0.25">
      <c r="A4986" t="str">
        <f>"6260"</f>
        <v>6260</v>
      </c>
      <c r="B4986" t="str">
        <f t="shared" si="326"/>
        <v>1</v>
      </c>
      <c r="C4986" t="str">
        <f t="shared" si="327"/>
        <v>274</v>
      </c>
      <c r="D4986" t="str">
        <f>"4"</f>
        <v>4</v>
      </c>
      <c r="E4986" t="str">
        <f>"1-274-4"</f>
        <v>1-274-4</v>
      </c>
      <c r="F4986" t="s">
        <v>15</v>
      </c>
      <c r="G4986" t="s">
        <v>18</v>
      </c>
      <c r="H4986" t="s">
        <v>19</v>
      </c>
      <c r="I4986">
        <v>0</v>
      </c>
      <c r="J4986">
        <v>1</v>
      </c>
      <c r="K4986">
        <v>0</v>
      </c>
    </row>
    <row r="4987" spans="1:11" x14ac:dyDescent="0.25">
      <c r="A4987" t="str">
        <f>"6262"</f>
        <v>6262</v>
      </c>
      <c r="B4987" t="str">
        <f t="shared" si="326"/>
        <v>1</v>
      </c>
      <c r="C4987" t="str">
        <f t="shared" si="327"/>
        <v>274</v>
      </c>
      <c r="D4987" t="str">
        <f>"8"</f>
        <v>8</v>
      </c>
      <c r="E4987" t="str">
        <f>"1-274-8"</f>
        <v>1-274-8</v>
      </c>
      <c r="F4987" t="s">
        <v>15</v>
      </c>
      <c r="G4987" t="s">
        <v>18</v>
      </c>
      <c r="H4987" t="s">
        <v>19</v>
      </c>
      <c r="I4987">
        <v>0</v>
      </c>
      <c r="J4987">
        <v>0</v>
      </c>
      <c r="K4987">
        <v>1</v>
      </c>
    </row>
    <row r="4988" spans="1:11" x14ac:dyDescent="0.25">
      <c r="A4988" t="str">
        <f>"6263"</f>
        <v>6263</v>
      </c>
      <c r="B4988" t="str">
        <f t="shared" si="326"/>
        <v>1</v>
      </c>
      <c r="C4988" t="str">
        <f t="shared" si="327"/>
        <v>274</v>
      </c>
      <c r="D4988" t="str">
        <f>"14"</f>
        <v>14</v>
      </c>
      <c r="E4988" t="str">
        <f>"1-274-14"</f>
        <v>1-274-14</v>
      </c>
      <c r="F4988" t="s">
        <v>15</v>
      </c>
      <c r="G4988" t="s">
        <v>18</v>
      </c>
      <c r="H4988" t="s">
        <v>19</v>
      </c>
      <c r="I4988">
        <v>1</v>
      </c>
      <c r="J4988">
        <v>0</v>
      </c>
      <c r="K4988">
        <v>0</v>
      </c>
    </row>
    <row r="4989" spans="1:11" x14ac:dyDescent="0.25">
      <c r="A4989" t="str">
        <f>"6264"</f>
        <v>6264</v>
      </c>
      <c r="B4989" t="str">
        <f t="shared" si="326"/>
        <v>1</v>
      </c>
      <c r="C4989" t="str">
        <f t="shared" si="327"/>
        <v>274</v>
      </c>
      <c r="D4989" t="str">
        <f>"25"</f>
        <v>25</v>
      </c>
      <c r="E4989" t="str">
        <f>"1-274-25"</f>
        <v>1-274-25</v>
      </c>
      <c r="F4989" t="s">
        <v>15</v>
      </c>
      <c r="G4989" t="s">
        <v>18</v>
      </c>
      <c r="H4989" t="s">
        <v>19</v>
      </c>
      <c r="I4989">
        <v>0</v>
      </c>
      <c r="J4989">
        <v>1</v>
      </c>
      <c r="K4989">
        <v>0</v>
      </c>
    </row>
    <row r="4990" spans="1:11" x14ac:dyDescent="0.25">
      <c r="A4990" t="str">
        <f>"6265"</f>
        <v>6265</v>
      </c>
      <c r="B4990" t="str">
        <f t="shared" si="326"/>
        <v>1</v>
      </c>
      <c r="C4990" t="str">
        <f t="shared" si="327"/>
        <v>274</v>
      </c>
      <c r="D4990" t="str">
        <f>"2"</f>
        <v>2</v>
      </c>
      <c r="E4990" t="str">
        <f>"1-274-2"</f>
        <v>1-274-2</v>
      </c>
      <c r="F4990" t="s">
        <v>15</v>
      </c>
      <c r="G4990" t="s">
        <v>18</v>
      </c>
      <c r="H4990" t="s">
        <v>19</v>
      </c>
      <c r="I4990">
        <v>0</v>
      </c>
      <c r="J4990">
        <v>0</v>
      </c>
      <c r="K4990">
        <v>1</v>
      </c>
    </row>
    <row r="4991" spans="1:11" x14ac:dyDescent="0.25">
      <c r="A4991" t="str">
        <f>"6267"</f>
        <v>6267</v>
      </c>
      <c r="B4991" t="str">
        <f t="shared" si="326"/>
        <v>1</v>
      </c>
      <c r="C4991" t="str">
        <f t="shared" si="327"/>
        <v>274</v>
      </c>
      <c r="D4991" t="str">
        <f>"12"</f>
        <v>12</v>
      </c>
      <c r="E4991" t="str">
        <f>"1-274-12"</f>
        <v>1-274-12</v>
      </c>
      <c r="F4991" t="s">
        <v>15</v>
      </c>
      <c r="G4991" t="s">
        <v>18</v>
      </c>
      <c r="H4991" t="s">
        <v>19</v>
      </c>
      <c r="I4991">
        <v>0</v>
      </c>
      <c r="J4991">
        <v>0</v>
      </c>
      <c r="K4991">
        <v>1</v>
      </c>
    </row>
    <row r="4992" spans="1:11" x14ac:dyDescent="0.25">
      <c r="A4992" t="str">
        <f>"6268"</f>
        <v>6268</v>
      </c>
      <c r="B4992" t="str">
        <f t="shared" si="326"/>
        <v>1</v>
      </c>
      <c r="C4992" t="str">
        <f t="shared" si="327"/>
        <v>274</v>
      </c>
      <c r="D4992" t="str">
        <f>"6"</f>
        <v>6</v>
      </c>
      <c r="E4992" t="str">
        <f>"1-274-6"</f>
        <v>1-274-6</v>
      </c>
      <c r="F4992" t="s">
        <v>15</v>
      </c>
      <c r="G4992" t="s">
        <v>18</v>
      </c>
      <c r="H4992" t="s">
        <v>19</v>
      </c>
      <c r="I4992">
        <v>0</v>
      </c>
      <c r="J4992">
        <v>0</v>
      </c>
      <c r="K4992">
        <v>1</v>
      </c>
    </row>
    <row r="4993" spans="1:11" x14ac:dyDescent="0.25">
      <c r="A4993" t="str">
        <f>"6269"</f>
        <v>6269</v>
      </c>
      <c r="B4993" t="str">
        <f t="shared" si="326"/>
        <v>1</v>
      </c>
      <c r="C4993" t="str">
        <f t="shared" si="327"/>
        <v>274</v>
      </c>
      <c r="D4993" t="str">
        <f>"13"</f>
        <v>13</v>
      </c>
      <c r="E4993" t="str">
        <f>"1-274-13"</f>
        <v>1-274-13</v>
      </c>
      <c r="F4993" t="s">
        <v>15</v>
      </c>
      <c r="G4993" t="s">
        <v>18</v>
      </c>
      <c r="H4993" t="s">
        <v>19</v>
      </c>
      <c r="I4993">
        <v>0</v>
      </c>
      <c r="J4993">
        <v>0</v>
      </c>
      <c r="K4993">
        <v>1</v>
      </c>
    </row>
    <row r="4994" spans="1:11" x14ac:dyDescent="0.25">
      <c r="A4994" t="str">
        <f>"6270"</f>
        <v>6270</v>
      </c>
      <c r="B4994" t="str">
        <f t="shared" si="326"/>
        <v>1</v>
      </c>
      <c r="C4994" t="str">
        <f t="shared" si="327"/>
        <v>274</v>
      </c>
      <c r="D4994" t="str">
        <f>"17"</f>
        <v>17</v>
      </c>
      <c r="E4994" t="str">
        <f>"1-274-17"</f>
        <v>1-274-17</v>
      </c>
      <c r="F4994" t="s">
        <v>15</v>
      </c>
      <c r="G4994" t="s">
        <v>18</v>
      </c>
      <c r="H4994" t="s">
        <v>19</v>
      </c>
      <c r="I4994">
        <v>0</v>
      </c>
      <c r="J4994">
        <v>0</v>
      </c>
      <c r="K4994">
        <v>0</v>
      </c>
    </row>
    <row r="4995" spans="1:11" x14ac:dyDescent="0.25">
      <c r="A4995" t="str">
        <f>"6271"</f>
        <v>6271</v>
      </c>
      <c r="B4995" t="str">
        <f t="shared" si="326"/>
        <v>1</v>
      </c>
      <c r="C4995" t="str">
        <f t="shared" si="327"/>
        <v>274</v>
      </c>
      <c r="D4995" t="str">
        <f>"24"</f>
        <v>24</v>
      </c>
      <c r="E4995" t="str">
        <f>"1-274-24"</f>
        <v>1-274-24</v>
      </c>
      <c r="F4995" t="s">
        <v>15</v>
      </c>
      <c r="G4995" t="s">
        <v>18</v>
      </c>
      <c r="H4995" t="s">
        <v>19</v>
      </c>
      <c r="I4995">
        <v>0</v>
      </c>
      <c r="J4995">
        <v>0</v>
      </c>
      <c r="K4995">
        <v>0</v>
      </c>
    </row>
    <row r="4996" spans="1:11" x14ac:dyDescent="0.25">
      <c r="A4996" t="str">
        <f>"6272"</f>
        <v>6272</v>
      </c>
      <c r="B4996" t="str">
        <f t="shared" si="326"/>
        <v>1</v>
      </c>
      <c r="C4996" t="str">
        <f t="shared" si="327"/>
        <v>274</v>
      </c>
      <c r="D4996" t="str">
        <f>"1"</f>
        <v>1</v>
      </c>
      <c r="E4996" t="str">
        <f>"1-274-1"</f>
        <v>1-274-1</v>
      </c>
      <c r="F4996" t="s">
        <v>15</v>
      </c>
      <c r="G4996" t="s">
        <v>18</v>
      </c>
      <c r="H4996" t="s">
        <v>19</v>
      </c>
      <c r="I4996">
        <v>0</v>
      </c>
      <c r="J4996">
        <v>0</v>
      </c>
      <c r="K4996">
        <v>0</v>
      </c>
    </row>
    <row r="4997" spans="1:11" x14ac:dyDescent="0.25">
      <c r="A4997" t="str">
        <f>"6274"</f>
        <v>6274</v>
      </c>
      <c r="B4997" t="str">
        <f t="shared" si="326"/>
        <v>1</v>
      </c>
      <c r="C4997" t="str">
        <f t="shared" ref="C4997:C5010" si="328">"275"</f>
        <v>275</v>
      </c>
      <c r="D4997" t="str">
        <f>"2"</f>
        <v>2</v>
      </c>
      <c r="E4997" t="str">
        <f>"1-275-2"</f>
        <v>1-275-2</v>
      </c>
      <c r="F4997" t="s">
        <v>15</v>
      </c>
      <c r="G4997" t="s">
        <v>16</v>
      </c>
      <c r="H4997" t="s">
        <v>17</v>
      </c>
      <c r="I4997">
        <v>0</v>
      </c>
      <c r="J4997">
        <v>1</v>
      </c>
      <c r="K4997">
        <v>0</v>
      </c>
    </row>
    <row r="4998" spans="1:11" x14ac:dyDescent="0.25">
      <c r="A4998" t="str">
        <f>"6275"</f>
        <v>6275</v>
      </c>
      <c r="B4998" t="str">
        <f t="shared" si="326"/>
        <v>1</v>
      </c>
      <c r="C4998" t="str">
        <f t="shared" si="328"/>
        <v>275</v>
      </c>
      <c r="D4998" t="str">
        <f>"16"</f>
        <v>16</v>
      </c>
      <c r="E4998" t="str">
        <f>"1-275-16"</f>
        <v>1-275-16</v>
      </c>
      <c r="F4998" t="s">
        <v>15</v>
      </c>
      <c r="G4998" t="s">
        <v>18</v>
      </c>
      <c r="H4998" t="s">
        <v>19</v>
      </c>
      <c r="I4998">
        <v>0</v>
      </c>
      <c r="J4998">
        <v>1</v>
      </c>
      <c r="K4998">
        <v>0</v>
      </c>
    </row>
    <row r="4999" spans="1:11" x14ac:dyDescent="0.25">
      <c r="A4999" t="str">
        <f>"6276"</f>
        <v>6276</v>
      </c>
      <c r="B4999" t="str">
        <f t="shared" si="326"/>
        <v>1</v>
      </c>
      <c r="C4999" t="str">
        <f t="shared" si="328"/>
        <v>275</v>
      </c>
      <c r="D4999" t="str">
        <f>"9"</f>
        <v>9</v>
      </c>
      <c r="E4999" t="str">
        <f>"1-275-9"</f>
        <v>1-275-9</v>
      </c>
      <c r="F4999" t="s">
        <v>15</v>
      </c>
      <c r="G4999" t="s">
        <v>16</v>
      </c>
      <c r="H4999" t="s">
        <v>17</v>
      </c>
      <c r="I4999">
        <v>1</v>
      </c>
      <c r="J4999">
        <v>0</v>
      </c>
      <c r="K4999">
        <v>0</v>
      </c>
    </row>
    <row r="5000" spans="1:11" x14ac:dyDescent="0.25">
      <c r="A5000" t="str">
        <f>"6278"</f>
        <v>6278</v>
      </c>
      <c r="B5000" t="str">
        <f t="shared" si="326"/>
        <v>1</v>
      </c>
      <c r="C5000" t="str">
        <f t="shared" si="328"/>
        <v>275</v>
      </c>
      <c r="D5000" t="str">
        <f>"3"</f>
        <v>3</v>
      </c>
      <c r="E5000" t="str">
        <f>"1-275-3"</f>
        <v>1-275-3</v>
      </c>
      <c r="F5000" t="s">
        <v>15</v>
      </c>
      <c r="G5000" t="s">
        <v>16</v>
      </c>
      <c r="H5000" t="s">
        <v>17</v>
      </c>
      <c r="I5000">
        <v>0</v>
      </c>
      <c r="J5000">
        <v>1</v>
      </c>
      <c r="K5000">
        <v>0</v>
      </c>
    </row>
    <row r="5001" spans="1:11" x14ac:dyDescent="0.25">
      <c r="A5001" t="str">
        <f>"6279"</f>
        <v>6279</v>
      </c>
      <c r="B5001" t="str">
        <f t="shared" si="326"/>
        <v>1</v>
      </c>
      <c r="C5001" t="str">
        <f t="shared" si="328"/>
        <v>275</v>
      </c>
      <c r="D5001" t="str">
        <f>"7"</f>
        <v>7</v>
      </c>
      <c r="E5001" t="str">
        <f>"1-275-7"</f>
        <v>1-275-7</v>
      </c>
      <c r="F5001" t="s">
        <v>15</v>
      </c>
      <c r="G5001" t="s">
        <v>16</v>
      </c>
      <c r="H5001" t="s">
        <v>17</v>
      </c>
      <c r="I5001">
        <v>0</v>
      </c>
      <c r="J5001">
        <v>0</v>
      </c>
      <c r="K5001">
        <v>1</v>
      </c>
    </row>
    <row r="5002" spans="1:11" x14ac:dyDescent="0.25">
      <c r="A5002" t="str">
        <f>"6280"</f>
        <v>6280</v>
      </c>
      <c r="B5002" t="str">
        <f t="shared" si="326"/>
        <v>1</v>
      </c>
      <c r="C5002" t="str">
        <f t="shared" si="328"/>
        <v>275</v>
      </c>
      <c r="D5002" t="str">
        <f>"10"</f>
        <v>10</v>
      </c>
      <c r="E5002" t="str">
        <f>"1-275-10"</f>
        <v>1-275-10</v>
      </c>
      <c r="F5002" t="s">
        <v>15</v>
      </c>
      <c r="G5002" t="s">
        <v>18</v>
      </c>
      <c r="H5002" t="s">
        <v>19</v>
      </c>
      <c r="I5002">
        <v>0</v>
      </c>
      <c r="J5002">
        <v>0</v>
      </c>
      <c r="K5002">
        <v>1</v>
      </c>
    </row>
    <row r="5003" spans="1:11" x14ac:dyDescent="0.25">
      <c r="A5003" t="str">
        <f>"6281"</f>
        <v>6281</v>
      </c>
      <c r="B5003" t="str">
        <f t="shared" si="326"/>
        <v>1</v>
      </c>
      <c r="C5003" t="str">
        <f t="shared" si="328"/>
        <v>275</v>
      </c>
      <c r="D5003" t="str">
        <f>"11"</f>
        <v>11</v>
      </c>
      <c r="E5003" t="str">
        <f>"1-275-11"</f>
        <v>1-275-11</v>
      </c>
      <c r="F5003" t="s">
        <v>15</v>
      </c>
      <c r="G5003" t="s">
        <v>16</v>
      </c>
      <c r="H5003" t="s">
        <v>17</v>
      </c>
      <c r="I5003">
        <v>1</v>
      </c>
      <c r="J5003">
        <v>0</v>
      </c>
      <c r="K5003">
        <v>0</v>
      </c>
    </row>
    <row r="5004" spans="1:11" x14ac:dyDescent="0.25">
      <c r="A5004" t="str">
        <f>"6282"</f>
        <v>6282</v>
      </c>
      <c r="B5004" t="str">
        <f t="shared" si="326"/>
        <v>1</v>
      </c>
      <c r="C5004" t="str">
        <f t="shared" si="328"/>
        <v>275</v>
      </c>
      <c r="D5004" t="str">
        <f>"8"</f>
        <v>8</v>
      </c>
      <c r="E5004" t="str">
        <f>"1-275-8"</f>
        <v>1-275-8</v>
      </c>
      <c r="F5004" t="s">
        <v>15</v>
      </c>
      <c r="G5004" t="s">
        <v>16</v>
      </c>
      <c r="H5004" t="s">
        <v>17</v>
      </c>
      <c r="I5004">
        <v>1</v>
      </c>
      <c r="J5004">
        <v>0</v>
      </c>
      <c r="K5004">
        <v>0</v>
      </c>
    </row>
    <row r="5005" spans="1:11" x14ac:dyDescent="0.25">
      <c r="A5005" t="str">
        <f>"6283"</f>
        <v>6283</v>
      </c>
      <c r="B5005" t="str">
        <f t="shared" si="326"/>
        <v>1</v>
      </c>
      <c r="C5005" t="str">
        <f t="shared" si="328"/>
        <v>275</v>
      </c>
      <c r="D5005" t="str">
        <f>"14"</f>
        <v>14</v>
      </c>
      <c r="E5005" t="str">
        <f>"1-275-14"</f>
        <v>1-275-14</v>
      </c>
      <c r="F5005" t="s">
        <v>15</v>
      </c>
      <c r="G5005" t="s">
        <v>20</v>
      </c>
      <c r="H5005" t="s">
        <v>21</v>
      </c>
      <c r="I5005">
        <v>1</v>
      </c>
      <c r="J5005">
        <v>0</v>
      </c>
      <c r="K5005">
        <v>0</v>
      </c>
    </row>
    <row r="5006" spans="1:11" x14ac:dyDescent="0.25">
      <c r="A5006" t="str">
        <f>"6284"</f>
        <v>6284</v>
      </c>
      <c r="B5006" t="str">
        <f t="shared" si="326"/>
        <v>1</v>
      </c>
      <c r="C5006" t="str">
        <f t="shared" si="328"/>
        <v>275</v>
      </c>
      <c r="D5006" t="str">
        <f>"13"</f>
        <v>13</v>
      </c>
      <c r="E5006" t="str">
        <f>"1-275-13"</f>
        <v>1-275-13</v>
      </c>
      <c r="F5006" t="s">
        <v>15</v>
      </c>
      <c r="G5006" t="s">
        <v>16</v>
      </c>
      <c r="H5006" t="s">
        <v>17</v>
      </c>
      <c r="I5006">
        <v>0</v>
      </c>
      <c r="J5006">
        <v>0</v>
      </c>
      <c r="K5006">
        <v>1</v>
      </c>
    </row>
    <row r="5007" spans="1:11" x14ac:dyDescent="0.25">
      <c r="A5007" t="str">
        <f>"6285"</f>
        <v>6285</v>
      </c>
      <c r="B5007" t="str">
        <f t="shared" si="326"/>
        <v>1</v>
      </c>
      <c r="C5007" t="str">
        <f t="shared" si="328"/>
        <v>275</v>
      </c>
      <c r="D5007" t="str">
        <f>"4"</f>
        <v>4</v>
      </c>
      <c r="E5007" t="str">
        <f>"1-275-4"</f>
        <v>1-275-4</v>
      </c>
      <c r="F5007" t="s">
        <v>15</v>
      </c>
      <c r="G5007" t="s">
        <v>18</v>
      </c>
      <c r="H5007" t="s">
        <v>19</v>
      </c>
      <c r="I5007">
        <v>0</v>
      </c>
      <c r="J5007">
        <v>1</v>
      </c>
      <c r="K5007">
        <v>0</v>
      </c>
    </row>
    <row r="5008" spans="1:11" x14ac:dyDescent="0.25">
      <c r="A5008" t="str">
        <f>"6286"</f>
        <v>6286</v>
      </c>
      <c r="B5008" t="str">
        <f t="shared" si="326"/>
        <v>1</v>
      </c>
      <c r="C5008" t="str">
        <f t="shared" si="328"/>
        <v>275</v>
      </c>
      <c r="D5008" t="str">
        <f>"5"</f>
        <v>5</v>
      </c>
      <c r="E5008" t="str">
        <f>"1-275-5"</f>
        <v>1-275-5</v>
      </c>
      <c r="F5008" t="s">
        <v>15</v>
      </c>
      <c r="G5008" t="s">
        <v>18</v>
      </c>
      <c r="H5008" t="s">
        <v>19</v>
      </c>
      <c r="I5008">
        <v>0</v>
      </c>
      <c r="J5008">
        <v>0</v>
      </c>
      <c r="K5008">
        <v>0</v>
      </c>
    </row>
    <row r="5009" spans="1:11" x14ac:dyDescent="0.25">
      <c r="A5009" t="str">
        <f>"6287"</f>
        <v>6287</v>
      </c>
      <c r="B5009" t="str">
        <f t="shared" si="326"/>
        <v>1</v>
      </c>
      <c r="C5009" t="str">
        <f t="shared" si="328"/>
        <v>275</v>
      </c>
      <c r="D5009" t="str">
        <f>"6"</f>
        <v>6</v>
      </c>
      <c r="E5009" t="str">
        <f>"1-275-6"</f>
        <v>1-275-6</v>
      </c>
      <c r="F5009" t="s">
        <v>15</v>
      </c>
      <c r="G5009" t="s">
        <v>18</v>
      </c>
      <c r="H5009" t="s">
        <v>19</v>
      </c>
      <c r="I5009">
        <v>0</v>
      </c>
      <c r="J5009">
        <v>0</v>
      </c>
      <c r="K5009">
        <v>0</v>
      </c>
    </row>
    <row r="5010" spans="1:11" x14ac:dyDescent="0.25">
      <c r="A5010" t="str">
        <f>"6288"</f>
        <v>6288</v>
      </c>
      <c r="B5010" t="str">
        <f t="shared" si="326"/>
        <v>1</v>
      </c>
      <c r="C5010" t="str">
        <f t="shared" si="328"/>
        <v>275</v>
      </c>
      <c r="D5010" t="str">
        <f>"1"</f>
        <v>1</v>
      </c>
      <c r="E5010" t="str">
        <f>"1-275-1"</f>
        <v>1-275-1</v>
      </c>
      <c r="F5010" t="s">
        <v>15</v>
      </c>
      <c r="G5010" t="s">
        <v>20</v>
      </c>
      <c r="H5010" t="s">
        <v>21</v>
      </c>
      <c r="I5010">
        <v>1</v>
      </c>
      <c r="J5010">
        <v>0</v>
      </c>
      <c r="K5010">
        <v>0</v>
      </c>
    </row>
    <row r="5011" spans="1:11" x14ac:dyDescent="0.25">
      <c r="A5011" t="str">
        <f>"6289"</f>
        <v>6289</v>
      </c>
      <c r="B5011" t="str">
        <f t="shared" si="326"/>
        <v>1</v>
      </c>
      <c r="C5011" t="str">
        <f t="shared" ref="C5011:C5030" si="329">"276"</f>
        <v>276</v>
      </c>
      <c r="D5011" t="str">
        <f>"15"</f>
        <v>15</v>
      </c>
      <c r="E5011" t="str">
        <f>"1-276-15"</f>
        <v>1-276-15</v>
      </c>
      <c r="F5011" t="s">
        <v>15</v>
      </c>
      <c r="G5011" t="s">
        <v>16</v>
      </c>
      <c r="H5011" t="s">
        <v>17</v>
      </c>
      <c r="I5011">
        <v>1</v>
      </c>
      <c r="J5011">
        <v>0</v>
      </c>
      <c r="K5011">
        <v>0</v>
      </c>
    </row>
    <row r="5012" spans="1:11" x14ac:dyDescent="0.25">
      <c r="A5012" t="str">
        <f>"6290"</f>
        <v>6290</v>
      </c>
      <c r="B5012" t="str">
        <f t="shared" si="326"/>
        <v>1</v>
      </c>
      <c r="C5012" t="str">
        <f t="shared" si="329"/>
        <v>276</v>
      </c>
      <c r="D5012" t="str">
        <f>"5"</f>
        <v>5</v>
      </c>
      <c r="E5012" t="str">
        <f>"1-276-5"</f>
        <v>1-276-5</v>
      </c>
      <c r="F5012" t="s">
        <v>15</v>
      </c>
      <c r="G5012" t="s">
        <v>16</v>
      </c>
      <c r="H5012" t="s">
        <v>17</v>
      </c>
      <c r="I5012">
        <v>1</v>
      </c>
      <c r="J5012">
        <v>0</v>
      </c>
      <c r="K5012">
        <v>0</v>
      </c>
    </row>
    <row r="5013" spans="1:11" x14ac:dyDescent="0.25">
      <c r="A5013" t="str">
        <f>"6291"</f>
        <v>6291</v>
      </c>
      <c r="B5013" t="str">
        <f t="shared" si="326"/>
        <v>1</v>
      </c>
      <c r="C5013" t="str">
        <f t="shared" si="329"/>
        <v>276</v>
      </c>
      <c r="D5013" t="str">
        <f>"16"</f>
        <v>16</v>
      </c>
      <c r="E5013" t="str">
        <f>"1-276-16"</f>
        <v>1-276-16</v>
      </c>
      <c r="F5013" t="s">
        <v>15</v>
      </c>
      <c r="G5013" t="s">
        <v>16</v>
      </c>
      <c r="H5013" t="s">
        <v>17</v>
      </c>
      <c r="I5013">
        <v>0</v>
      </c>
      <c r="J5013">
        <v>1</v>
      </c>
      <c r="K5013">
        <v>0</v>
      </c>
    </row>
    <row r="5014" spans="1:11" x14ac:dyDescent="0.25">
      <c r="A5014" t="str">
        <f>"6292"</f>
        <v>6292</v>
      </c>
      <c r="B5014" t="str">
        <f t="shared" si="326"/>
        <v>1</v>
      </c>
      <c r="C5014" t="str">
        <f t="shared" si="329"/>
        <v>276</v>
      </c>
      <c r="D5014" t="str">
        <f>"11"</f>
        <v>11</v>
      </c>
      <c r="E5014" t="str">
        <f>"1-276-11"</f>
        <v>1-276-11</v>
      </c>
      <c r="F5014" t="s">
        <v>15</v>
      </c>
      <c r="G5014" t="s">
        <v>16</v>
      </c>
      <c r="H5014" t="s">
        <v>17</v>
      </c>
      <c r="I5014">
        <v>0</v>
      </c>
      <c r="J5014">
        <v>0</v>
      </c>
      <c r="K5014">
        <v>1</v>
      </c>
    </row>
    <row r="5015" spans="1:11" x14ac:dyDescent="0.25">
      <c r="A5015" t="str">
        <f>"6293"</f>
        <v>6293</v>
      </c>
      <c r="B5015" t="str">
        <f t="shared" si="326"/>
        <v>1</v>
      </c>
      <c r="C5015" t="str">
        <f t="shared" si="329"/>
        <v>276</v>
      </c>
      <c r="D5015" t="str">
        <f>"17"</f>
        <v>17</v>
      </c>
      <c r="E5015" t="str">
        <f>"1-276-17"</f>
        <v>1-276-17</v>
      </c>
      <c r="F5015" t="s">
        <v>15</v>
      </c>
      <c r="G5015" t="s">
        <v>16</v>
      </c>
      <c r="H5015" t="s">
        <v>17</v>
      </c>
      <c r="I5015">
        <v>0</v>
      </c>
      <c r="J5015">
        <v>1</v>
      </c>
      <c r="K5015">
        <v>0</v>
      </c>
    </row>
    <row r="5016" spans="1:11" x14ac:dyDescent="0.25">
      <c r="A5016" t="str">
        <f>"6294"</f>
        <v>6294</v>
      </c>
      <c r="B5016" t="str">
        <f t="shared" si="326"/>
        <v>1</v>
      </c>
      <c r="C5016" t="str">
        <f t="shared" si="329"/>
        <v>276</v>
      </c>
      <c r="D5016" t="str">
        <f>"2"</f>
        <v>2</v>
      </c>
      <c r="E5016" t="str">
        <f>"1-276-2"</f>
        <v>1-276-2</v>
      </c>
      <c r="F5016" t="s">
        <v>15</v>
      </c>
      <c r="G5016" t="s">
        <v>16</v>
      </c>
      <c r="H5016" t="s">
        <v>17</v>
      </c>
      <c r="I5016">
        <v>1</v>
      </c>
      <c r="J5016">
        <v>0</v>
      </c>
      <c r="K5016">
        <v>0</v>
      </c>
    </row>
    <row r="5017" spans="1:11" x14ac:dyDescent="0.25">
      <c r="A5017" t="str">
        <f>"6295"</f>
        <v>6295</v>
      </c>
      <c r="B5017" t="str">
        <f t="shared" si="326"/>
        <v>1</v>
      </c>
      <c r="C5017" t="str">
        <f t="shared" si="329"/>
        <v>276</v>
      </c>
      <c r="D5017" t="str">
        <f>"18"</f>
        <v>18</v>
      </c>
      <c r="E5017" t="str">
        <f>"1-276-18"</f>
        <v>1-276-18</v>
      </c>
      <c r="F5017" t="s">
        <v>15</v>
      </c>
      <c r="G5017" t="s">
        <v>18</v>
      </c>
      <c r="H5017" t="s">
        <v>19</v>
      </c>
      <c r="I5017">
        <v>1</v>
      </c>
      <c r="J5017">
        <v>0</v>
      </c>
      <c r="K5017">
        <v>0</v>
      </c>
    </row>
    <row r="5018" spans="1:11" x14ac:dyDescent="0.25">
      <c r="A5018" t="str">
        <f>"6296"</f>
        <v>6296</v>
      </c>
      <c r="B5018" t="str">
        <f t="shared" si="326"/>
        <v>1</v>
      </c>
      <c r="C5018" t="str">
        <f t="shared" si="329"/>
        <v>276</v>
      </c>
      <c r="D5018" t="str">
        <f>"4"</f>
        <v>4</v>
      </c>
      <c r="E5018" t="str">
        <f>"1-276-4"</f>
        <v>1-276-4</v>
      </c>
      <c r="F5018" t="s">
        <v>15</v>
      </c>
      <c r="G5018" t="s">
        <v>16</v>
      </c>
      <c r="H5018" t="s">
        <v>17</v>
      </c>
      <c r="I5018">
        <v>0</v>
      </c>
      <c r="J5018">
        <v>0</v>
      </c>
      <c r="K5018">
        <v>1</v>
      </c>
    </row>
    <row r="5019" spans="1:11" x14ac:dyDescent="0.25">
      <c r="A5019" t="str">
        <f>"6297"</f>
        <v>6297</v>
      </c>
      <c r="B5019" t="str">
        <f t="shared" si="326"/>
        <v>1</v>
      </c>
      <c r="C5019" t="str">
        <f t="shared" si="329"/>
        <v>276</v>
      </c>
      <c r="D5019" t="str">
        <f>"19"</f>
        <v>19</v>
      </c>
      <c r="E5019" t="str">
        <f>"1-276-19"</f>
        <v>1-276-19</v>
      </c>
      <c r="F5019" t="s">
        <v>15</v>
      </c>
      <c r="G5019" t="s">
        <v>18</v>
      </c>
      <c r="H5019" t="s">
        <v>19</v>
      </c>
      <c r="I5019">
        <v>0</v>
      </c>
      <c r="J5019">
        <v>1</v>
      </c>
      <c r="K5019">
        <v>0</v>
      </c>
    </row>
    <row r="5020" spans="1:11" x14ac:dyDescent="0.25">
      <c r="A5020" t="str">
        <f>"6298"</f>
        <v>6298</v>
      </c>
      <c r="B5020" t="str">
        <f t="shared" ref="B5020:B5078" si="330">"1"</f>
        <v>1</v>
      </c>
      <c r="C5020" t="str">
        <f t="shared" si="329"/>
        <v>276</v>
      </c>
      <c r="D5020" t="str">
        <f>"3"</f>
        <v>3</v>
      </c>
      <c r="E5020" t="str">
        <f>"1-276-3"</f>
        <v>1-276-3</v>
      </c>
      <c r="F5020" t="s">
        <v>15</v>
      </c>
      <c r="G5020" t="s">
        <v>16</v>
      </c>
      <c r="H5020" t="s">
        <v>17</v>
      </c>
      <c r="I5020">
        <v>1</v>
      </c>
      <c r="J5020">
        <v>0</v>
      </c>
      <c r="K5020">
        <v>0</v>
      </c>
    </row>
    <row r="5021" spans="1:11" x14ac:dyDescent="0.25">
      <c r="A5021" t="str">
        <f>"6299"</f>
        <v>6299</v>
      </c>
      <c r="B5021" t="str">
        <f t="shared" si="330"/>
        <v>1</v>
      </c>
      <c r="C5021" t="str">
        <f t="shared" si="329"/>
        <v>276</v>
      </c>
      <c r="D5021" t="str">
        <f>"20"</f>
        <v>20</v>
      </c>
      <c r="E5021" t="str">
        <f>"1-276-20"</f>
        <v>1-276-20</v>
      </c>
      <c r="F5021" t="s">
        <v>15</v>
      </c>
      <c r="G5021" t="s">
        <v>16</v>
      </c>
      <c r="H5021" t="s">
        <v>17</v>
      </c>
      <c r="I5021">
        <v>0</v>
      </c>
      <c r="J5021">
        <v>0</v>
      </c>
      <c r="K5021">
        <v>1</v>
      </c>
    </row>
    <row r="5022" spans="1:11" x14ac:dyDescent="0.25">
      <c r="A5022" t="str">
        <f>"6300"</f>
        <v>6300</v>
      </c>
      <c r="B5022" t="str">
        <f t="shared" si="330"/>
        <v>1</v>
      </c>
      <c r="C5022" t="str">
        <f t="shared" si="329"/>
        <v>276</v>
      </c>
      <c r="D5022" t="str">
        <f>"10"</f>
        <v>10</v>
      </c>
      <c r="E5022" t="str">
        <f>"1-276-10"</f>
        <v>1-276-10</v>
      </c>
      <c r="F5022" t="s">
        <v>15</v>
      </c>
      <c r="G5022" t="s">
        <v>16</v>
      </c>
      <c r="H5022" t="s">
        <v>17</v>
      </c>
      <c r="I5022">
        <v>0</v>
      </c>
      <c r="J5022">
        <v>1</v>
      </c>
      <c r="K5022">
        <v>0</v>
      </c>
    </row>
    <row r="5023" spans="1:11" x14ac:dyDescent="0.25">
      <c r="A5023" t="str">
        <f>"6301"</f>
        <v>6301</v>
      </c>
      <c r="B5023" t="str">
        <f t="shared" si="330"/>
        <v>1</v>
      </c>
      <c r="C5023" t="str">
        <f t="shared" si="329"/>
        <v>276</v>
      </c>
      <c r="D5023" t="str">
        <f>"8"</f>
        <v>8</v>
      </c>
      <c r="E5023" t="str">
        <f>"1-276-8"</f>
        <v>1-276-8</v>
      </c>
      <c r="F5023" t="s">
        <v>15</v>
      </c>
      <c r="G5023" t="s">
        <v>16</v>
      </c>
      <c r="H5023" t="s">
        <v>17</v>
      </c>
      <c r="I5023">
        <v>1</v>
      </c>
      <c r="J5023">
        <v>0</v>
      </c>
      <c r="K5023">
        <v>0</v>
      </c>
    </row>
    <row r="5024" spans="1:11" x14ac:dyDescent="0.25">
      <c r="A5024" t="str">
        <f>"6302"</f>
        <v>6302</v>
      </c>
      <c r="B5024" t="str">
        <f t="shared" si="330"/>
        <v>1</v>
      </c>
      <c r="C5024" t="str">
        <f t="shared" si="329"/>
        <v>276</v>
      </c>
      <c r="D5024" t="str">
        <f>"14"</f>
        <v>14</v>
      </c>
      <c r="E5024" t="str">
        <f>"1-276-14"</f>
        <v>1-276-14</v>
      </c>
      <c r="F5024" t="s">
        <v>15</v>
      </c>
      <c r="G5024" t="s">
        <v>16</v>
      </c>
      <c r="H5024" t="s">
        <v>17</v>
      </c>
      <c r="I5024">
        <v>1</v>
      </c>
      <c r="J5024">
        <v>0</v>
      </c>
      <c r="K5024">
        <v>0</v>
      </c>
    </row>
    <row r="5025" spans="1:11" x14ac:dyDescent="0.25">
      <c r="A5025" t="str">
        <f>"6303"</f>
        <v>6303</v>
      </c>
      <c r="B5025" t="str">
        <f t="shared" si="330"/>
        <v>1</v>
      </c>
      <c r="C5025" t="str">
        <f t="shared" si="329"/>
        <v>276</v>
      </c>
      <c r="D5025" t="str">
        <f>"1"</f>
        <v>1</v>
      </c>
      <c r="E5025" t="str">
        <f>"1-276-1"</f>
        <v>1-276-1</v>
      </c>
      <c r="F5025" t="s">
        <v>15</v>
      </c>
      <c r="G5025" t="s">
        <v>16</v>
      </c>
      <c r="H5025" t="s">
        <v>17</v>
      </c>
      <c r="I5025">
        <v>0</v>
      </c>
      <c r="J5025">
        <v>1</v>
      </c>
      <c r="K5025">
        <v>0</v>
      </c>
    </row>
    <row r="5026" spans="1:11" x14ac:dyDescent="0.25">
      <c r="A5026" t="str">
        <f>"6304"</f>
        <v>6304</v>
      </c>
      <c r="B5026" t="str">
        <f t="shared" si="330"/>
        <v>1</v>
      </c>
      <c r="C5026" t="str">
        <f t="shared" si="329"/>
        <v>276</v>
      </c>
      <c r="D5026" t="str">
        <f>"6"</f>
        <v>6</v>
      </c>
      <c r="E5026" t="str">
        <f>"1-276-6"</f>
        <v>1-276-6</v>
      </c>
      <c r="F5026" t="s">
        <v>15</v>
      </c>
      <c r="G5026" t="s">
        <v>16</v>
      </c>
      <c r="H5026" t="s">
        <v>17</v>
      </c>
      <c r="I5026">
        <v>0</v>
      </c>
      <c r="J5026">
        <v>0</v>
      </c>
      <c r="K5026">
        <v>1</v>
      </c>
    </row>
    <row r="5027" spans="1:11" x14ac:dyDescent="0.25">
      <c r="A5027" t="str">
        <f>"6305"</f>
        <v>6305</v>
      </c>
      <c r="B5027" t="str">
        <f t="shared" si="330"/>
        <v>1</v>
      </c>
      <c r="C5027" t="str">
        <f t="shared" si="329"/>
        <v>276</v>
      </c>
      <c r="D5027" t="str">
        <f>"12"</f>
        <v>12</v>
      </c>
      <c r="E5027" t="str">
        <f>"1-276-12"</f>
        <v>1-276-12</v>
      </c>
      <c r="F5027" t="s">
        <v>15</v>
      </c>
      <c r="G5027" t="s">
        <v>16</v>
      </c>
      <c r="H5027" t="s">
        <v>17</v>
      </c>
      <c r="I5027">
        <v>0</v>
      </c>
      <c r="J5027">
        <v>1</v>
      </c>
      <c r="K5027">
        <v>0</v>
      </c>
    </row>
    <row r="5028" spans="1:11" x14ac:dyDescent="0.25">
      <c r="A5028" t="str">
        <f>"6306"</f>
        <v>6306</v>
      </c>
      <c r="B5028" t="str">
        <f t="shared" si="330"/>
        <v>1</v>
      </c>
      <c r="C5028" t="str">
        <f t="shared" si="329"/>
        <v>276</v>
      </c>
      <c r="D5028" t="str">
        <f>"7"</f>
        <v>7</v>
      </c>
      <c r="E5028" t="str">
        <f>"1-276-7"</f>
        <v>1-276-7</v>
      </c>
      <c r="F5028" t="s">
        <v>15</v>
      </c>
      <c r="G5028" t="s">
        <v>16</v>
      </c>
      <c r="H5028" t="s">
        <v>17</v>
      </c>
      <c r="I5028">
        <v>0</v>
      </c>
      <c r="J5028">
        <v>1</v>
      </c>
      <c r="K5028">
        <v>0</v>
      </c>
    </row>
    <row r="5029" spans="1:11" x14ac:dyDescent="0.25">
      <c r="A5029" t="str">
        <f>"6307"</f>
        <v>6307</v>
      </c>
      <c r="B5029" t="str">
        <f t="shared" si="330"/>
        <v>1</v>
      </c>
      <c r="C5029" t="str">
        <f t="shared" si="329"/>
        <v>276</v>
      </c>
      <c r="D5029" t="str">
        <f>"13"</f>
        <v>13</v>
      </c>
      <c r="E5029" t="str">
        <f>"1-276-13"</f>
        <v>1-276-13</v>
      </c>
      <c r="F5029" t="s">
        <v>15</v>
      </c>
      <c r="G5029" t="s">
        <v>16</v>
      </c>
      <c r="H5029" t="s">
        <v>17</v>
      </c>
      <c r="I5029">
        <v>0</v>
      </c>
      <c r="J5029">
        <v>1</v>
      </c>
      <c r="K5029">
        <v>0</v>
      </c>
    </row>
    <row r="5030" spans="1:11" x14ac:dyDescent="0.25">
      <c r="A5030" t="str">
        <f>"6308"</f>
        <v>6308</v>
      </c>
      <c r="B5030" t="str">
        <f t="shared" si="330"/>
        <v>1</v>
      </c>
      <c r="C5030" t="str">
        <f t="shared" si="329"/>
        <v>276</v>
      </c>
      <c r="D5030" t="str">
        <f>"9"</f>
        <v>9</v>
      </c>
      <c r="E5030" t="str">
        <f>"1-276-9"</f>
        <v>1-276-9</v>
      </c>
      <c r="F5030" t="s">
        <v>15</v>
      </c>
      <c r="G5030" t="s">
        <v>16</v>
      </c>
      <c r="H5030" t="s">
        <v>17</v>
      </c>
      <c r="I5030">
        <v>0</v>
      </c>
      <c r="J5030">
        <v>0</v>
      </c>
      <c r="K5030">
        <v>0</v>
      </c>
    </row>
    <row r="5031" spans="1:11" x14ac:dyDescent="0.25">
      <c r="A5031" t="str">
        <f>"6309"</f>
        <v>6309</v>
      </c>
      <c r="B5031" t="str">
        <f t="shared" si="330"/>
        <v>1</v>
      </c>
      <c r="C5031" t="str">
        <f t="shared" ref="C5031:C5044" si="331">"277"</f>
        <v>277</v>
      </c>
      <c r="D5031" t="str">
        <f>"5"</f>
        <v>5</v>
      </c>
      <c r="E5031" t="str">
        <f>"1-277-5"</f>
        <v>1-277-5</v>
      </c>
      <c r="F5031" t="s">
        <v>15</v>
      </c>
      <c r="G5031" t="s">
        <v>16</v>
      </c>
      <c r="H5031" t="s">
        <v>17</v>
      </c>
      <c r="I5031">
        <v>0</v>
      </c>
      <c r="J5031">
        <v>1</v>
      </c>
      <c r="K5031">
        <v>0</v>
      </c>
    </row>
    <row r="5032" spans="1:11" x14ac:dyDescent="0.25">
      <c r="A5032" t="str">
        <f>"6310"</f>
        <v>6310</v>
      </c>
      <c r="B5032" t="str">
        <f t="shared" si="330"/>
        <v>1</v>
      </c>
      <c r="C5032" t="str">
        <f t="shared" si="331"/>
        <v>277</v>
      </c>
      <c r="D5032" t="str">
        <f>"8"</f>
        <v>8</v>
      </c>
      <c r="E5032" t="str">
        <f>"1-277-8"</f>
        <v>1-277-8</v>
      </c>
      <c r="F5032" t="s">
        <v>15</v>
      </c>
      <c r="G5032" t="s">
        <v>16</v>
      </c>
      <c r="H5032" t="s">
        <v>17</v>
      </c>
      <c r="I5032">
        <v>0</v>
      </c>
      <c r="J5032">
        <v>0</v>
      </c>
      <c r="K5032">
        <v>1</v>
      </c>
    </row>
    <row r="5033" spans="1:11" x14ac:dyDescent="0.25">
      <c r="A5033" t="str">
        <f>"6311"</f>
        <v>6311</v>
      </c>
      <c r="B5033" t="str">
        <f t="shared" si="330"/>
        <v>1</v>
      </c>
      <c r="C5033" t="str">
        <f t="shared" si="331"/>
        <v>277</v>
      </c>
      <c r="D5033" t="str">
        <f>"1"</f>
        <v>1</v>
      </c>
      <c r="E5033" t="str">
        <f>"1-277-1"</f>
        <v>1-277-1</v>
      </c>
      <c r="F5033" t="s">
        <v>15</v>
      </c>
      <c r="G5033" t="s">
        <v>16</v>
      </c>
      <c r="H5033" t="s">
        <v>17</v>
      </c>
      <c r="I5033">
        <v>0</v>
      </c>
      <c r="J5033">
        <v>1</v>
      </c>
      <c r="K5033">
        <v>0</v>
      </c>
    </row>
    <row r="5034" spans="1:11" x14ac:dyDescent="0.25">
      <c r="A5034" t="str">
        <f>"6312"</f>
        <v>6312</v>
      </c>
      <c r="B5034" t="str">
        <f t="shared" si="330"/>
        <v>1</v>
      </c>
      <c r="C5034" t="str">
        <f t="shared" si="331"/>
        <v>277</v>
      </c>
      <c r="D5034" t="str">
        <f>"11"</f>
        <v>11</v>
      </c>
      <c r="E5034" t="str">
        <f>"1-277-11"</f>
        <v>1-277-11</v>
      </c>
      <c r="F5034" t="s">
        <v>15</v>
      </c>
      <c r="G5034" t="s">
        <v>16</v>
      </c>
      <c r="H5034" t="s">
        <v>17</v>
      </c>
      <c r="I5034">
        <v>0</v>
      </c>
      <c r="J5034">
        <v>0</v>
      </c>
      <c r="K5034">
        <v>1</v>
      </c>
    </row>
    <row r="5035" spans="1:11" x14ac:dyDescent="0.25">
      <c r="A5035" t="str">
        <f>"6313"</f>
        <v>6313</v>
      </c>
      <c r="B5035" t="str">
        <f t="shared" si="330"/>
        <v>1</v>
      </c>
      <c r="C5035" t="str">
        <f t="shared" si="331"/>
        <v>277</v>
      </c>
      <c r="D5035" t="str">
        <f>"2"</f>
        <v>2</v>
      </c>
      <c r="E5035" t="str">
        <f>"1-277-2"</f>
        <v>1-277-2</v>
      </c>
      <c r="F5035" t="s">
        <v>15</v>
      </c>
      <c r="G5035" t="s">
        <v>18</v>
      </c>
      <c r="H5035" t="s">
        <v>19</v>
      </c>
      <c r="I5035">
        <v>0</v>
      </c>
      <c r="J5035">
        <v>0</v>
      </c>
      <c r="K5035">
        <v>1</v>
      </c>
    </row>
    <row r="5036" spans="1:11" x14ac:dyDescent="0.25">
      <c r="A5036" t="str">
        <f>"6314"</f>
        <v>6314</v>
      </c>
      <c r="B5036" t="str">
        <f t="shared" si="330"/>
        <v>1</v>
      </c>
      <c r="C5036" t="str">
        <f t="shared" si="331"/>
        <v>277</v>
      </c>
      <c r="D5036" t="str">
        <f>"3"</f>
        <v>3</v>
      </c>
      <c r="E5036" t="str">
        <f>"1-277-3"</f>
        <v>1-277-3</v>
      </c>
      <c r="F5036" t="s">
        <v>15</v>
      </c>
      <c r="G5036" t="s">
        <v>16</v>
      </c>
      <c r="H5036" t="s">
        <v>17</v>
      </c>
      <c r="I5036">
        <v>0</v>
      </c>
      <c r="J5036">
        <v>0</v>
      </c>
      <c r="K5036">
        <v>1</v>
      </c>
    </row>
    <row r="5037" spans="1:11" x14ac:dyDescent="0.25">
      <c r="A5037" t="str">
        <f>"6315"</f>
        <v>6315</v>
      </c>
      <c r="B5037" t="str">
        <f t="shared" si="330"/>
        <v>1</v>
      </c>
      <c r="C5037" t="str">
        <f t="shared" si="331"/>
        <v>277</v>
      </c>
      <c r="D5037" t="str">
        <f>"13"</f>
        <v>13</v>
      </c>
      <c r="E5037" t="str">
        <f>"1-277-13"</f>
        <v>1-277-13</v>
      </c>
      <c r="F5037" t="s">
        <v>15</v>
      </c>
      <c r="G5037" t="s">
        <v>16</v>
      </c>
      <c r="H5037" t="s">
        <v>17</v>
      </c>
      <c r="I5037">
        <v>0</v>
      </c>
      <c r="J5037">
        <v>0</v>
      </c>
      <c r="K5037">
        <v>1</v>
      </c>
    </row>
    <row r="5038" spans="1:11" x14ac:dyDescent="0.25">
      <c r="A5038" t="str">
        <f>"6316"</f>
        <v>6316</v>
      </c>
      <c r="B5038" t="str">
        <f t="shared" si="330"/>
        <v>1</v>
      </c>
      <c r="C5038" t="str">
        <f t="shared" si="331"/>
        <v>277</v>
      </c>
      <c r="D5038" t="str">
        <f>"12"</f>
        <v>12</v>
      </c>
      <c r="E5038" t="str">
        <f>"1-277-12"</f>
        <v>1-277-12</v>
      </c>
      <c r="F5038" t="s">
        <v>15</v>
      </c>
      <c r="G5038" t="s">
        <v>16</v>
      </c>
      <c r="H5038" t="s">
        <v>17</v>
      </c>
      <c r="I5038">
        <v>0</v>
      </c>
      <c r="J5038">
        <v>0</v>
      </c>
      <c r="K5038">
        <v>1</v>
      </c>
    </row>
    <row r="5039" spans="1:11" x14ac:dyDescent="0.25">
      <c r="A5039" t="str">
        <f>"6317"</f>
        <v>6317</v>
      </c>
      <c r="B5039" t="str">
        <f t="shared" si="330"/>
        <v>1</v>
      </c>
      <c r="C5039" t="str">
        <f t="shared" si="331"/>
        <v>277</v>
      </c>
      <c r="D5039" t="str">
        <f>"4"</f>
        <v>4</v>
      </c>
      <c r="E5039" t="str">
        <f>"1-277-4"</f>
        <v>1-277-4</v>
      </c>
      <c r="F5039" t="s">
        <v>15</v>
      </c>
      <c r="G5039" t="s">
        <v>16</v>
      </c>
      <c r="H5039" t="s">
        <v>17</v>
      </c>
      <c r="I5039">
        <v>0</v>
      </c>
      <c r="J5039">
        <v>0</v>
      </c>
      <c r="K5039">
        <v>1</v>
      </c>
    </row>
    <row r="5040" spans="1:11" x14ac:dyDescent="0.25">
      <c r="A5040" t="str">
        <f>"6318"</f>
        <v>6318</v>
      </c>
      <c r="B5040" t="str">
        <f t="shared" si="330"/>
        <v>1</v>
      </c>
      <c r="C5040" t="str">
        <f t="shared" si="331"/>
        <v>277</v>
      </c>
      <c r="D5040" t="str">
        <f>"9"</f>
        <v>9</v>
      </c>
      <c r="E5040" t="str">
        <f>"1-277-9"</f>
        <v>1-277-9</v>
      </c>
      <c r="F5040" t="s">
        <v>15</v>
      </c>
      <c r="G5040" t="s">
        <v>16</v>
      </c>
      <c r="H5040" t="s">
        <v>17</v>
      </c>
      <c r="I5040">
        <v>1</v>
      </c>
      <c r="J5040">
        <v>0</v>
      </c>
      <c r="K5040">
        <v>0</v>
      </c>
    </row>
    <row r="5041" spans="1:11" x14ac:dyDescent="0.25">
      <c r="A5041" t="str">
        <f>"6319"</f>
        <v>6319</v>
      </c>
      <c r="B5041" t="str">
        <f t="shared" si="330"/>
        <v>1</v>
      </c>
      <c r="C5041" t="str">
        <f t="shared" si="331"/>
        <v>277</v>
      </c>
      <c r="D5041" t="str">
        <f>"6"</f>
        <v>6</v>
      </c>
      <c r="E5041" t="str">
        <f>"1-277-6"</f>
        <v>1-277-6</v>
      </c>
      <c r="F5041" t="s">
        <v>15</v>
      </c>
      <c r="G5041" t="s">
        <v>16</v>
      </c>
      <c r="H5041" t="s">
        <v>17</v>
      </c>
      <c r="I5041">
        <v>0</v>
      </c>
      <c r="J5041">
        <v>0</v>
      </c>
      <c r="K5041">
        <v>1</v>
      </c>
    </row>
    <row r="5042" spans="1:11" x14ac:dyDescent="0.25">
      <c r="A5042" t="str">
        <f>"6320"</f>
        <v>6320</v>
      </c>
      <c r="B5042" t="str">
        <f t="shared" si="330"/>
        <v>1</v>
      </c>
      <c r="C5042" t="str">
        <f t="shared" si="331"/>
        <v>277</v>
      </c>
      <c r="D5042" t="str">
        <f>"7"</f>
        <v>7</v>
      </c>
      <c r="E5042" t="str">
        <f>"1-277-7"</f>
        <v>1-277-7</v>
      </c>
      <c r="F5042" t="s">
        <v>15</v>
      </c>
      <c r="G5042" t="s">
        <v>16</v>
      </c>
      <c r="H5042" t="s">
        <v>17</v>
      </c>
      <c r="I5042">
        <v>0</v>
      </c>
      <c r="J5042">
        <v>0</v>
      </c>
      <c r="K5042">
        <v>1</v>
      </c>
    </row>
    <row r="5043" spans="1:11" x14ac:dyDescent="0.25">
      <c r="A5043" t="str">
        <f>"6321"</f>
        <v>6321</v>
      </c>
      <c r="B5043" t="str">
        <f t="shared" si="330"/>
        <v>1</v>
      </c>
      <c r="C5043" t="str">
        <f t="shared" si="331"/>
        <v>277</v>
      </c>
      <c r="D5043" t="str">
        <f>"14"</f>
        <v>14</v>
      </c>
      <c r="E5043" t="str">
        <f>"1-277-14"</f>
        <v>1-277-14</v>
      </c>
      <c r="F5043" t="s">
        <v>15</v>
      </c>
      <c r="G5043" t="s">
        <v>16</v>
      </c>
      <c r="H5043" t="s">
        <v>17</v>
      </c>
      <c r="I5043">
        <v>0</v>
      </c>
      <c r="J5043">
        <v>0</v>
      </c>
      <c r="K5043">
        <v>1</v>
      </c>
    </row>
    <row r="5044" spans="1:11" x14ac:dyDescent="0.25">
      <c r="A5044" t="str">
        <f>"6322"</f>
        <v>6322</v>
      </c>
      <c r="B5044" t="str">
        <f t="shared" si="330"/>
        <v>1</v>
      </c>
      <c r="C5044" t="str">
        <f t="shared" si="331"/>
        <v>277</v>
      </c>
      <c r="D5044" t="str">
        <f>"10"</f>
        <v>10</v>
      </c>
      <c r="E5044" t="str">
        <f>"1-277-10"</f>
        <v>1-277-10</v>
      </c>
      <c r="F5044" t="s">
        <v>15</v>
      </c>
      <c r="G5044" t="s">
        <v>16</v>
      </c>
      <c r="H5044" t="s">
        <v>17</v>
      </c>
      <c r="I5044">
        <v>1</v>
      </c>
      <c r="J5044">
        <v>0</v>
      </c>
      <c r="K5044">
        <v>0</v>
      </c>
    </row>
    <row r="5045" spans="1:11" x14ac:dyDescent="0.25">
      <c r="A5045" t="str">
        <f>"6323"</f>
        <v>6323</v>
      </c>
      <c r="B5045" t="str">
        <f t="shared" si="330"/>
        <v>1</v>
      </c>
      <c r="C5045" t="str">
        <f t="shared" ref="C5045:C5066" si="332">"278"</f>
        <v>278</v>
      </c>
      <c r="D5045" t="str">
        <f>"15"</f>
        <v>15</v>
      </c>
      <c r="E5045" t="str">
        <f>"1-278-15"</f>
        <v>1-278-15</v>
      </c>
      <c r="F5045" t="s">
        <v>15</v>
      </c>
      <c r="G5045" t="s">
        <v>20</v>
      </c>
      <c r="H5045" t="s">
        <v>21</v>
      </c>
      <c r="I5045">
        <v>0</v>
      </c>
      <c r="J5045">
        <v>1</v>
      </c>
      <c r="K5045">
        <v>0</v>
      </c>
    </row>
    <row r="5046" spans="1:11" x14ac:dyDescent="0.25">
      <c r="A5046" t="str">
        <f>"6324"</f>
        <v>6324</v>
      </c>
      <c r="B5046" t="str">
        <f t="shared" si="330"/>
        <v>1</v>
      </c>
      <c r="C5046" t="str">
        <f t="shared" si="332"/>
        <v>278</v>
      </c>
      <c r="D5046" t="str">
        <f>"1"</f>
        <v>1</v>
      </c>
      <c r="E5046" t="str">
        <f>"1-278-1"</f>
        <v>1-278-1</v>
      </c>
      <c r="F5046" t="s">
        <v>15</v>
      </c>
      <c r="G5046" t="s">
        <v>18</v>
      </c>
      <c r="H5046" t="s">
        <v>19</v>
      </c>
      <c r="I5046">
        <v>1</v>
      </c>
      <c r="J5046">
        <v>0</v>
      </c>
      <c r="K5046">
        <v>0</v>
      </c>
    </row>
    <row r="5047" spans="1:11" x14ac:dyDescent="0.25">
      <c r="A5047" t="str">
        <f>"6325"</f>
        <v>6325</v>
      </c>
      <c r="B5047" t="str">
        <f t="shared" si="330"/>
        <v>1</v>
      </c>
      <c r="C5047" t="str">
        <f t="shared" si="332"/>
        <v>278</v>
      </c>
      <c r="D5047" t="str">
        <f>"16"</f>
        <v>16</v>
      </c>
      <c r="E5047" t="str">
        <f>"1-278-16"</f>
        <v>1-278-16</v>
      </c>
      <c r="F5047" t="s">
        <v>15</v>
      </c>
      <c r="G5047" t="s">
        <v>16</v>
      </c>
      <c r="H5047" t="s">
        <v>17</v>
      </c>
      <c r="I5047">
        <v>0</v>
      </c>
      <c r="J5047">
        <v>0</v>
      </c>
      <c r="K5047">
        <v>1</v>
      </c>
    </row>
    <row r="5048" spans="1:11" x14ac:dyDescent="0.25">
      <c r="A5048" t="str">
        <f>"6326"</f>
        <v>6326</v>
      </c>
      <c r="B5048" t="str">
        <f t="shared" si="330"/>
        <v>1</v>
      </c>
      <c r="C5048" t="str">
        <f t="shared" si="332"/>
        <v>278</v>
      </c>
      <c r="D5048" t="str">
        <f>"13"</f>
        <v>13</v>
      </c>
      <c r="E5048" t="str">
        <f>"1-278-13"</f>
        <v>1-278-13</v>
      </c>
      <c r="F5048" t="s">
        <v>15</v>
      </c>
      <c r="G5048" t="s">
        <v>16</v>
      </c>
      <c r="H5048" t="s">
        <v>17</v>
      </c>
      <c r="I5048">
        <v>0</v>
      </c>
      <c r="J5048">
        <v>1</v>
      </c>
      <c r="K5048">
        <v>0</v>
      </c>
    </row>
    <row r="5049" spans="1:11" x14ac:dyDescent="0.25">
      <c r="A5049" t="str">
        <f>"6327"</f>
        <v>6327</v>
      </c>
      <c r="B5049" t="str">
        <f t="shared" si="330"/>
        <v>1</v>
      </c>
      <c r="C5049" t="str">
        <f t="shared" si="332"/>
        <v>278</v>
      </c>
      <c r="D5049" t="str">
        <f>"17"</f>
        <v>17</v>
      </c>
      <c r="E5049" t="str">
        <f>"1-278-17"</f>
        <v>1-278-17</v>
      </c>
      <c r="F5049" t="s">
        <v>15</v>
      </c>
      <c r="G5049" t="s">
        <v>16</v>
      </c>
      <c r="H5049" t="s">
        <v>17</v>
      </c>
      <c r="I5049">
        <v>0</v>
      </c>
      <c r="J5049">
        <v>1</v>
      </c>
      <c r="K5049">
        <v>0</v>
      </c>
    </row>
    <row r="5050" spans="1:11" x14ac:dyDescent="0.25">
      <c r="A5050" t="str">
        <f>"6328"</f>
        <v>6328</v>
      </c>
      <c r="B5050" t="str">
        <f t="shared" si="330"/>
        <v>1</v>
      </c>
      <c r="C5050" t="str">
        <f t="shared" si="332"/>
        <v>278</v>
      </c>
      <c r="D5050" t="str">
        <f>"3"</f>
        <v>3</v>
      </c>
      <c r="E5050" t="str">
        <f>"1-278-3"</f>
        <v>1-278-3</v>
      </c>
      <c r="F5050" t="s">
        <v>15</v>
      </c>
      <c r="G5050" t="s">
        <v>16</v>
      </c>
      <c r="H5050" t="s">
        <v>17</v>
      </c>
      <c r="I5050">
        <v>0</v>
      </c>
      <c r="J5050">
        <v>1</v>
      </c>
      <c r="K5050">
        <v>0</v>
      </c>
    </row>
    <row r="5051" spans="1:11" x14ac:dyDescent="0.25">
      <c r="A5051" t="str">
        <f>"6329"</f>
        <v>6329</v>
      </c>
      <c r="B5051" t="str">
        <f t="shared" si="330"/>
        <v>1</v>
      </c>
      <c r="C5051" t="str">
        <f t="shared" si="332"/>
        <v>278</v>
      </c>
      <c r="D5051" t="str">
        <f>"18"</f>
        <v>18</v>
      </c>
      <c r="E5051" t="str">
        <f>"1-278-18"</f>
        <v>1-278-18</v>
      </c>
      <c r="F5051" t="s">
        <v>15</v>
      </c>
      <c r="G5051" t="s">
        <v>16</v>
      </c>
      <c r="H5051" t="s">
        <v>17</v>
      </c>
      <c r="I5051">
        <v>0</v>
      </c>
      <c r="J5051">
        <v>1</v>
      </c>
      <c r="K5051">
        <v>0</v>
      </c>
    </row>
    <row r="5052" spans="1:11" x14ac:dyDescent="0.25">
      <c r="A5052" t="str">
        <f>"6330"</f>
        <v>6330</v>
      </c>
      <c r="B5052" t="str">
        <f t="shared" si="330"/>
        <v>1</v>
      </c>
      <c r="C5052" t="str">
        <f t="shared" si="332"/>
        <v>278</v>
      </c>
      <c r="D5052" t="str">
        <f>"4"</f>
        <v>4</v>
      </c>
      <c r="E5052" t="str">
        <f>"1-278-4"</f>
        <v>1-278-4</v>
      </c>
      <c r="F5052" t="s">
        <v>15</v>
      </c>
      <c r="G5052" t="s">
        <v>16</v>
      </c>
      <c r="H5052" t="s">
        <v>17</v>
      </c>
      <c r="I5052">
        <v>1</v>
      </c>
      <c r="J5052">
        <v>0</v>
      </c>
      <c r="K5052">
        <v>0</v>
      </c>
    </row>
    <row r="5053" spans="1:11" x14ac:dyDescent="0.25">
      <c r="A5053" t="str">
        <f>"6331"</f>
        <v>6331</v>
      </c>
      <c r="B5053" t="str">
        <f t="shared" si="330"/>
        <v>1</v>
      </c>
      <c r="C5053" t="str">
        <f t="shared" si="332"/>
        <v>278</v>
      </c>
      <c r="D5053" t="str">
        <f>"19"</f>
        <v>19</v>
      </c>
      <c r="E5053" t="str">
        <f>"1-278-19"</f>
        <v>1-278-19</v>
      </c>
      <c r="F5053" t="s">
        <v>15</v>
      </c>
      <c r="G5053" t="s">
        <v>16</v>
      </c>
      <c r="H5053" t="s">
        <v>17</v>
      </c>
      <c r="I5053">
        <v>0</v>
      </c>
      <c r="J5053">
        <v>1</v>
      </c>
      <c r="K5053">
        <v>0</v>
      </c>
    </row>
    <row r="5054" spans="1:11" x14ac:dyDescent="0.25">
      <c r="A5054" t="str">
        <f>"6332"</f>
        <v>6332</v>
      </c>
      <c r="B5054" t="str">
        <f t="shared" si="330"/>
        <v>1</v>
      </c>
      <c r="C5054" t="str">
        <f t="shared" si="332"/>
        <v>278</v>
      </c>
      <c r="D5054" t="str">
        <f>"12"</f>
        <v>12</v>
      </c>
      <c r="E5054" t="str">
        <f>"1-278-12"</f>
        <v>1-278-12</v>
      </c>
      <c r="F5054" t="s">
        <v>15</v>
      </c>
      <c r="G5054" t="s">
        <v>16</v>
      </c>
      <c r="H5054" t="s">
        <v>17</v>
      </c>
      <c r="I5054">
        <v>0</v>
      </c>
      <c r="J5054">
        <v>0</v>
      </c>
      <c r="K5054">
        <v>1</v>
      </c>
    </row>
    <row r="5055" spans="1:11" x14ac:dyDescent="0.25">
      <c r="A5055" t="str">
        <f>"6333"</f>
        <v>6333</v>
      </c>
      <c r="B5055" t="str">
        <f t="shared" si="330"/>
        <v>1</v>
      </c>
      <c r="C5055" t="str">
        <f t="shared" si="332"/>
        <v>278</v>
      </c>
      <c r="D5055" t="str">
        <f>"20"</f>
        <v>20</v>
      </c>
      <c r="E5055" t="str">
        <f>"1-278-20"</f>
        <v>1-278-20</v>
      </c>
      <c r="F5055" t="s">
        <v>15</v>
      </c>
      <c r="G5055" t="s">
        <v>16</v>
      </c>
      <c r="H5055" t="s">
        <v>17</v>
      </c>
      <c r="I5055">
        <v>0</v>
      </c>
      <c r="J5055">
        <v>1</v>
      </c>
      <c r="K5055">
        <v>0</v>
      </c>
    </row>
    <row r="5056" spans="1:11" x14ac:dyDescent="0.25">
      <c r="A5056" t="str">
        <f>"6334"</f>
        <v>6334</v>
      </c>
      <c r="B5056" t="str">
        <f t="shared" si="330"/>
        <v>1</v>
      </c>
      <c r="C5056" t="str">
        <f t="shared" si="332"/>
        <v>278</v>
      </c>
      <c r="D5056" t="str">
        <f>"6"</f>
        <v>6</v>
      </c>
      <c r="E5056" t="str">
        <f>"1-278-6"</f>
        <v>1-278-6</v>
      </c>
      <c r="F5056" t="s">
        <v>15</v>
      </c>
      <c r="G5056" t="s">
        <v>18</v>
      </c>
      <c r="H5056" t="s">
        <v>19</v>
      </c>
      <c r="I5056">
        <v>0</v>
      </c>
      <c r="J5056">
        <v>1</v>
      </c>
      <c r="K5056">
        <v>0</v>
      </c>
    </row>
    <row r="5057" spans="1:11" x14ac:dyDescent="0.25">
      <c r="A5057" t="str">
        <f>"6335"</f>
        <v>6335</v>
      </c>
      <c r="B5057" t="str">
        <f t="shared" si="330"/>
        <v>1</v>
      </c>
      <c r="C5057" t="str">
        <f t="shared" si="332"/>
        <v>278</v>
      </c>
      <c r="D5057" t="str">
        <f>"21"</f>
        <v>21</v>
      </c>
      <c r="E5057" t="str">
        <f>"1-278-21"</f>
        <v>1-278-21</v>
      </c>
      <c r="F5057" t="s">
        <v>15</v>
      </c>
      <c r="G5057" t="s">
        <v>16</v>
      </c>
      <c r="H5057" t="s">
        <v>17</v>
      </c>
      <c r="I5057">
        <v>0</v>
      </c>
      <c r="J5057">
        <v>1</v>
      </c>
      <c r="K5057">
        <v>0</v>
      </c>
    </row>
    <row r="5058" spans="1:11" x14ac:dyDescent="0.25">
      <c r="A5058" t="str">
        <f>"6336"</f>
        <v>6336</v>
      </c>
      <c r="B5058" t="str">
        <f t="shared" si="330"/>
        <v>1</v>
      </c>
      <c r="C5058" t="str">
        <f t="shared" si="332"/>
        <v>278</v>
      </c>
      <c r="D5058" t="str">
        <f>"14"</f>
        <v>14</v>
      </c>
      <c r="E5058" t="str">
        <f>"1-278-14"</f>
        <v>1-278-14</v>
      </c>
      <c r="F5058" t="s">
        <v>15</v>
      </c>
      <c r="G5058" t="s">
        <v>20</v>
      </c>
      <c r="H5058" t="s">
        <v>21</v>
      </c>
      <c r="I5058">
        <v>0</v>
      </c>
      <c r="J5058">
        <v>1</v>
      </c>
      <c r="K5058">
        <v>0</v>
      </c>
    </row>
    <row r="5059" spans="1:11" x14ac:dyDescent="0.25">
      <c r="A5059" t="str">
        <f>"6337"</f>
        <v>6337</v>
      </c>
      <c r="B5059" t="str">
        <f t="shared" si="330"/>
        <v>1</v>
      </c>
      <c r="C5059" t="str">
        <f t="shared" si="332"/>
        <v>278</v>
      </c>
      <c r="D5059" t="str">
        <f>"22"</f>
        <v>22</v>
      </c>
      <c r="E5059" t="str">
        <f>"1-278-22"</f>
        <v>1-278-22</v>
      </c>
      <c r="F5059" t="s">
        <v>15</v>
      </c>
      <c r="G5059" t="s">
        <v>16</v>
      </c>
      <c r="H5059" t="s">
        <v>17</v>
      </c>
      <c r="I5059">
        <v>1</v>
      </c>
      <c r="J5059">
        <v>0</v>
      </c>
      <c r="K5059">
        <v>0</v>
      </c>
    </row>
    <row r="5060" spans="1:11" x14ac:dyDescent="0.25">
      <c r="A5060" t="str">
        <f>"6338"</f>
        <v>6338</v>
      </c>
      <c r="B5060" t="str">
        <f t="shared" si="330"/>
        <v>1</v>
      </c>
      <c r="C5060" t="str">
        <f t="shared" si="332"/>
        <v>278</v>
      </c>
      <c r="D5060" t="str">
        <f>"5"</f>
        <v>5</v>
      </c>
      <c r="E5060" t="str">
        <f>"1-278-5"</f>
        <v>1-278-5</v>
      </c>
      <c r="F5060" t="s">
        <v>15</v>
      </c>
      <c r="G5060" t="s">
        <v>16</v>
      </c>
      <c r="H5060" t="s">
        <v>17</v>
      </c>
      <c r="I5060">
        <v>0</v>
      </c>
      <c r="J5060">
        <v>1</v>
      </c>
      <c r="K5060">
        <v>0</v>
      </c>
    </row>
    <row r="5061" spans="1:11" x14ac:dyDescent="0.25">
      <c r="A5061" t="str">
        <f>"6339"</f>
        <v>6339</v>
      </c>
      <c r="B5061" t="str">
        <f t="shared" si="330"/>
        <v>1</v>
      </c>
      <c r="C5061" t="str">
        <f t="shared" si="332"/>
        <v>278</v>
      </c>
      <c r="D5061" t="str">
        <f>"10"</f>
        <v>10</v>
      </c>
      <c r="E5061" t="str">
        <f>"1-278-10"</f>
        <v>1-278-10</v>
      </c>
      <c r="F5061" t="s">
        <v>15</v>
      </c>
      <c r="G5061" t="s">
        <v>16</v>
      </c>
      <c r="H5061" t="s">
        <v>17</v>
      </c>
      <c r="I5061">
        <v>0</v>
      </c>
      <c r="J5061">
        <v>1</v>
      </c>
      <c r="K5061">
        <v>0</v>
      </c>
    </row>
    <row r="5062" spans="1:11" x14ac:dyDescent="0.25">
      <c r="A5062" t="str">
        <f>"6340"</f>
        <v>6340</v>
      </c>
      <c r="B5062" t="str">
        <f t="shared" si="330"/>
        <v>1</v>
      </c>
      <c r="C5062" t="str">
        <f t="shared" si="332"/>
        <v>278</v>
      </c>
      <c r="D5062" t="str">
        <f>"7"</f>
        <v>7</v>
      </c>
      <c r="E5062" t="str">
        <f>"1-278-7"</f>
        <v>1-278-7</v>
      </c>
      <c r="F5062" t="s">
        <v>15</v>
      </c>
      <c r="G5062" t="s">
        <v>18</v>
      </c>
      <c r="H5062" t="s">
        <v>19</v>
      </c>
      <c r="I5062">
        <v>0</v>
      </c>
      <c r="J5062">
        <v>1</v>
      </c>
      <c r="K5062">
        <v>0</v>
      </c>
    </row>
    <row r="5063" spans="1:11" x14ac:dyDescent="0.25">
      <c r="A5063" t="str">
        <f>"6341"</f>
        <v>6341</v>
      </c>
      <c r="B5063" t="str">
        <f t="shared" si="330"/>
        <v>1</v>
      </c>
      <c r="C5063" t="str">
        <f t="shared" si="332"/>
        <v>278</v>
      </c>
      <c r="D5063" t="str">
        <f>"2"</f>
        <v>2</v>
      </c>
      <c r="E5063" t="str">
        <f>"1-278-2"</f>
        <v>1-278-2</v>
      </c>
      <c r="F5063" t="s">
        <v>15</v>
      </c>
      <c r="G5063" t="s">
        <v>16</v>
      </c>
      <c r="H5063" t="s">
        <v>17</v>
      </c>
      <c r="I5063">
        <v>0</v>
      </c>
      <c r="J5063">
        <v>0</v>
      </c>
      <c r="K5063">
        <v>1</v>
      </c>
    </row>
    <row r="5064" spans="1:11" x14ac:dyDescent="0.25">
      <c r="A5064" t="str">
        <f>"6342"</f>
        <v>6342</v>
      </c>
      <c r="B5064" t="str">
        <f t="shared" si="330"/>
        <v>1</v>
      </c>
      <c r="C5064" t="str">
        <f t="shared" si="332"/>
        <v>278</v>
      </c>
      <c r="D5064" t="str">
        <f>"9"</f>
        <v>9</v>
      </c>
      <c r="E5064" t="str">
        <f>"1-278-9"</f>
        <v>1-278-9</v>
      </c>
      <c r="F5064" t="s">
        <v>15</v>
      </c>
      <c r="G5064" t="s">
        <v>16</v>
      </c>
      <c r="H5064" t="s">
        <v>17</v>
      </c>
      <c r="I5064">
        <v>1</v>
      </c>
      <c r="J5064">
        <v>0</v>
      </c>
      <c r="K5064">
        <v>0</v>
      </c>
    </row>
    <row r="5065" spans="1:11" x14ac:dyDescent="0.25">
      <c r="A5065" t="str">
        <f>"6343"</f>
        <v>6343</v>
      </c>
      <c r="B5065" t="str">
        <f t="shared" si="330"/>
        <v>1</v>
      </c>
      <c r="C5065" t="str">
        <f t="shared" si="332"/>
        <v>278</v>
      </c>
      <c r="D5065" t="str">
        <f>"11"</f>
        <v>11</v>
      </c>
      <c r="E5065" t="str">
        <f>"1-278-11"</f>
        <v>1-278-11</v>
      </c>
      <c r="F5065" t="s">
        <v>15</v>
      </c>
      <c r="G5065" t="s">
        <v>16</v>
      </c>
      <c r="H5065" t="s">
        <v>17</v>
      </c>
      <c r="I5065">
        <v>0</v>
      </c>
      <c r="J5065">
        <v>1</v>
      </c>
      <c r="K5065">
        <v>0</v>
      </c>
    </row>
    <row r="5066" spans="1:11" x14ac:dyDescent="0.25">
      <c r="A5066" t="str">
        <f>"6344"</f>
        <v>6344</v>
      </c>
      <c r="B5066" t="str">
        <f t="shared" si="330"/>
        <v>1</v>
      </c>
      <c r="C5066" t="str">
        <f t="shared" si="332"/>
        <v>278</v>
      </c>
      <c r="D5066" t="str">
        <f>"8"</f>
        <v>8</v>
      </c>
      <c r="E5066" t="str">
        <f>"1-278-8"</f>
        <v>1-278-8</v>
      </c>
      <c r="F5066" t="s">
        <v>15</v>
      </c>
      <c r="G5066" t="s">
        <v>16</v>
      </c>
      <c r="H5066" t="s">
        <v>17</v>
      </c>
      <c r="I5066">
        <v>0</v>
      </c>
      <c r="J5066">
        <v>1</v>
      </c>
      <c r="K5066">
        <v>0</v>
      </c>
    </row>
    <row r="5067" spans="1:11" x14ac:dyDescent="0.25">
      <c r="A5067" t="str">
        <f>"6345"</f>
        <v>6345</v>
      </c>
      <c r="B5067" t="str">
        <f t="shared" si="330"/>
        <v>1</v>
      </c>
      <c r="C5067" t="str">
        <f t="shared" ref="C5067:C5078" si="333">"279"</f>
        <v>279</v>
      </c>
      <c r="D5067" t="str">
        <f>"15"</f>
        <v>15</v>
      </c>
      <c r="E5067" t="str">
        <f>"1-279-15"</f>
        <v>1-279-15</v>
      </c>
      <c r="F5067" t="s">
        <v>15</v>
      </c>
      <c r="G5067" t="s">
        <v>20</v>
      </c>
      <c r="H5067" t="s">
        <v>21</v>
      </c>
      <c r="I5067">
        <v>1</v>
      </c>
      <c r="J5067">
        <v>0</v>
      </c>
      <c r="K5067">
        <v>0</v>
      </c>
    </row>
    <row r="5068" spans="1:11" x14ac:dyDescent="0.25">
      <c r="A5068" t="str">
        <f>"6348"</f>
        <v>6348</v>
      </c>
      <c r="B5068" t="str">
        <f t="shared" si="330"/>
        <v>1</v>
      </c>
      <c r="C5068" t="str">
        <f t="shared" si="333"/>
        <v>279</v>
      </c>
      <c r="D5068" t="str">
        <f>"2"</f>
        <v>2</v>
      </c>
      <c r="E5068" t="str">
        <f>"1-279-2"</f>
        <v>1-279-2</v>
      </c>
      <c r="F5068" t="s">
        <v>15</v>
      </c>
      <c r="G5068" t="s">
        <v>20</v>
      </c>
      <c r="H5068" t="s">
        <v>21</v>
      </c>
      <c r="I5068">
        <v>0</v>
      </c>
      <c r="J5068">
        <v>0</v>
      </c>
      <c r="K5068">
        <v>1</v>
      </c>
    </row>
    <row r="5069" spans="1:11" x14ac:dyDescent="0.25">
      <c r="A5069" t="str">
        <f>"6349"</f>
        <v>6349</v>
      </c>
      <c r="B5069" t="str">
        <f t="shared" si="330"/>
        <v>1</v>
      </c>
      <c r="C5069" t="str">
        <f t="shared" si="333"/>
        <v>279</v>
      </c>
      <c r="D5069" t="str">
        <f>"17"</f>
        <v>17</v>
      </c>
      <c r="E5069" t="str">
        <f>"1-279-17"</f>
        <v>1-279-17</v>
      </c>
      <c r="F5069" t="s">
        <v>15</v>
      </c>
      <c r="G5069" t="s">
        <v>20</v>
      </c>
      <c r="H5069" t="s">
        <v>21</v>
      </c>
      <c r="I5069">
        <v>0</v>
      </c>
      <c r="J5069">
        <v>0</v>
      </c>
      <c r="K5069">
        <v>1</v>
      </c>
    </row>
    <row r="5070" spans="1:11" x14ac:dyDescent="0.25">
      <c r="A5070" t="str">
        <f>"6350"</f>
        <v>6350</v>
      </c>
      <c r="B5070" t="str">
        <f t="shared" si="330"/>
        <v>1</v>
      </c>
      <c r="C5070" t="str">
        <f t="shared" si="333"/>
        <v>279</v>
      </c>
      <c r="D5070" t="str">
        <f>"8"</f>
        <v>8</v>
      </c>
      <c r="E5070" t="str">
        <f>"1-279-8"</f>
        <v>1-279-8</v>
      </c>
      <c r="F5070" t="s">
        <v>15</v>
      </c>
      <c r="G5070" t="s">
        <v>20</v>
      </c>
      <c r="H5070" t="s">
        <v>21</v>
      </c>
      <c r="I5070">
        <v>0</v>
      </c>
      <c r="J5070">
        <v>0</v>
      </c>
      <c r="K5070">
        <v>1</v>
      </c>
    </row>
    <row r="5071" spans="1:11" x14ac:dyDescent="0.25">
      <c r="A5071" t="str">
        <f>"6351"</f>
        <v>6351</v>
      </c>
      <c r="B5071" t="str">
        <f t="shared" si="330"/>
        <v>1</v>
      </c>
      <c r="C5071" t="str">
        <f t="shared" si="333"/>
        <v>279</v>
      </c>
      <c r="D5071" t="str">
        <f>"12"</f>
        <v>12</v>
      </c>
      <c r="E5071" t="str">
        <f>"1-279-12"</f>
        <v>1-279-12</v>
      </c>
      <c r="F5071" t="s">
        <v>15</v>
      </c>
      <c r="G5071" t="s">
        <v>20</v>
      </c>
      <c r="H5071" t="s">
        <v>21</v>
      </c>
      <c r="I5071">
        <v>0</v>
      </c>
      <c r="J5071">
        <v>1</v>
      </c>
      <c r="K5071">
        <v>0</v>
      </c>
    </row>
    <row r="5072" spans="1:11" x14ac:dyDescent="0.25">
      <c r="A5072" t="str">
        <f>"6355"</f>
        <v>6355</v>
      </c>
      <c r="B5072" t="str">
        <f t="shared" si="330"/>
        <v>1</v>
      </c>
      <c r="C5072" t="str">
        <f t="shared" si="333"/>
        <v>279</v>
      </c>
      <c r="D5072" t="str">
        <f>"13"</f>
        <v>13</v>
      </c>
      <c r="E5072" t="str">
        <f>"1-279-13"</f>
        <v>1-279-13</v>
      </c>
      <c r="F5072" t="s">
        <v>15</v>
      </c>
      <c r="G5072" t="s">
        <v>20</v>
      </c>
      <c r="H5072" t="s">
        <v>21</v>
      </c>
      <c r="I5072">
        <v>0</v>
      </c>
      <c r="J5072">
        <v>0</v>
      </c>
      <c r="K5072">
        <v>1</v>
      </c>
    </row>
    <row r="5073" spans="1:11" x14ac:dyDescent="0.25">
      <c r="A5073" t="str">
        <f>"6356"</f>
        <v>6356</v>
      </c>
      <c r="B5073" t="str">
        <f t="shared" si="330"/>
        <v>1</v>
      </c>
      <c r="C5073" t="str">
        <f t="shared" si="333"/>
        <v>279</v>
      </c>
      <c r="D5073" t="str">
        <f>"14"</f>
        <v>14</v>
      </c>
      <c r="E5073" t="str">
        <f>"1-279-14"</f>
        <v>1-279-14</v>
      </c>
      <c r="F5073" t="s">
        <v>15</v>
      </c>
      <c r="G5073" t="s">
        <v>20</v>
      </c>
      <c r="H5073" t="s">
        <v>21</v>
      </c>
      <c r="I5073">
        <v>1</v>
      </c>
      <c r="J5073">
        <v>0</v>
      </c>
      <c r="K5073">
        <v>0</v>
      </c>
    </row>
    <row r="5074" spans="1:11" x14ac:dyDescent="0.25">
      <c r="A5074" t="str">
        <f>"6357"</f>
        <v>6357</v>
      </c>
      <c r="B5074" t="str">
        <f t="shared" si="330"/>
        <v>1</v>
      </c>
      <c r="C5074" t="str">
        <f t="shared" si="333"/>
        <v>279</v>
      </c>
      <c r="D5074" t="str">
        <f>"11"</f>
        <v>11</v>
      </c>
      <c r="E5074" t="str">
        <f>"1-279-11"</f>
        <v>1-279-11</v>
      </c>
      <c r="F5074" t="s">
        <v>15</v>
      </c>
      <c r="G5074" t="s">
        <v>20</v>
      </c>
      <c r="H5074" t="s">
        <v>21</v>
      </c>
      <c r="I5074">
        <v>0</v>
      </c>
      <c r="J5074">
        <v>1</v>
      </c>
      <c r="K5074">
        <v>0</v>
      </c>
    </row>
    <row r="5075" spans="1:11" x14ac:dyDescent="0.25">
      <c r="A5075" t="str">
        <f>"6358"</f>
        <v>6358</v>
      </c>
      <c r="B5075" t="str">
        <f t="shared" si="330"/>
        <v>1</v>
      </c>
      <c r="C5075" t="str">
        <f t="shared" si="333"/>
        <v>279</v>
      </c>
      <c r="D5075" t="str">
        <f>"1"</f>
        <v>1</v>
      </c>
      <c r="E5075" t="str">
        <f>"1-279-1"</f>
        <v>1-279-1</v>
      </c>
      <c r="F5075" t="s">
        <v>15</v>
      </c>
      <c r="G5075" t="s">
        <v>20</v>
      </c>
      <c r="H5075" t="s">
        <v>21</v>
      </c>
      <c r="I5075">
        <v>1</v>
      </c>
      <c r="J5075">
        <v>0</v>
      </c>
      <c r="K5075">
        <v>0</v>
      </c>
    </row>
    <row r="5076" spans="1:11" x14ac:dyDescent="0.25">
      <c r="A5076" t="str">
        <f>"6359"</f>
        <v>6359</v>
      </c>
      <c r="B5076" t="str">
        <f t="shared" si="330"/>
        <v>1</v>
      </c>
      <c r="C5076" t="str">
        <f t="shared" si="333"/>
        <v>279</v>
      </c>
      <c r="D5076" t="str">
        <f>"3"</f>
        <v>3</v>
      </c>
      <c r="E5076" t="str">
        <f>"1-279-3"</f>
        <v>1-279-3</v>
      </c>
      <c r="F5076" t="s">
        <v>15</v>
      </c>
      <c r="G5076" t="s">
        <v>20</v>
      </c>
      <c r="H5076" t="s">
        <v>21</v>
      </c>
      <c r="I5076">
        <v>0</v>
      </c>
      <c r="J5076">
        <v>0</v>
      </c>
      <c r="K5076">
        <v>1</v>
      </c>
    </row>
    <row r="5077" spans="1:11" x14ac:dyDescent="0.25">
      <c r="A5077" t="str">
        <f>"6360"</f>
        <v>6360</v>
      </c>
      <c r="B5077" t="str">
        <f t="shared" si="330"/>
        <v>1</v>
      </c>
      <c r="C5077" t="str">
        <f t="shared" si="333"/>
        <v>279</v>
      </c>
      <c r="D5077" t="str">
        <f>"9"</f>
        <v>9</v>
      </c>
      <c r="E5077" t="str">
        <f>"1-279-9"</f>
        <v>1-279-9</v>
      </c>
      <c r="F5077" t="s">
        <v>15</v>
      </c>
      <c r="G5077" t="s">
        <v>20</v>
      </c>
      <c r="H5077" t="s">
        <v>21</v>
      </c>
      <c r="I5077">
        <v>0</v>
      </c>
      <c r="J5077">
        <v>1</v>
      </c>
      <c r="K5077">
        <v>0</v>
      </c>
    </row>
    <row r="5078" spans="1:11" x14ac:dyDescent="0.25">
      <c r="A5078" t="str">
        <f>"6361"</f>
        <v>6361</v>
      </c>
      <c r="B5078" t="str">
        <f t="shared" si="330"/>
        <v>1</v>
      </c>
      <c r="C5078" t="str">
        <f t="shared" si="333"/>
        <v>279</v>
      </c>
      <c r="D5078" t="str">
        <f>"6"</f>
        <v>6</v>
      </c>
      <c r="E5078" t="str">
        <f>"1-279-6"</f>
        <v>1-279-6</v>
      </c>
      <c r="F5078" t="s">
        <v>15</v>
      </c>
      <c r="G5078" t="s">
        <v>20</v>
      </c>
      <c r="H5078" t="s">
        <v>21</v>
      </c>
      <c r="I5078">
        <v>0</v>
      </c>
      <c r="J5078">
        <v>0</v>
      </c>
      <c r="K5078">
        <v>1</v>
      </c>
    </row>
    <row r="5079" spans="1:11" x14ac:dyDescent="0.25">
      <c r="A5079" t="str">
        <f>"6362"</f>
        <v>6362</v>
      </c>
      <c r="B5079" t="str">
        <f t="shared" ref="B5079:B5128" si="334">"1"</f>
        <v>1</v>
      </c>
      <c r="C5079" t="str">
        <f t="shared" ref="C5079:C5093" si="335">"280"</f>
        <v>280</v>
      </c>
      <c r="D5079" t="str">
        <f>"21"</f>
        <v>21</v>
      </c>
      <c r="E5079" t="str">
        <f>"1-280-21"</f>
        <v>1-280-21</v>
      </c>
      <c r="F5079" t="s">
        <v>15</v>
      </c>
      <c r="G5079" t="s">
        <v>16</v>
      </c>
      <c r="H5079" t="s">
        <v>17</v>
      </c>
      <c r="I5079">
        <v>1</v>
      </c>
      <c r="J5079">
        <v>0</v>
      </c>
      <c r="K5079">
        <v>0</v>
      </c>
    </row>
    <row r="5080" spans="1:11" x14ac:dyDescent="0.25">
      <c r="A5080" t="str">
        <f>"6365"</f>
        <v>6365</v>
      </c>
      <c r="B5080" t="str">
        <f t="shared" si="334"/>
        <v>1</v>
      </c>
      <c r="C5080" t="str">
        <f t="shared" si="335"/>
        <v>280</v>
      </c>
      <c r="D5080" t="str">
        <f>"16"</f>
        <v>16</v>
      </c>
      <c r="E5080" t="str">
        <f>"1-280-16"</f>
        <v>1-280-16</v>
      </c>
      <c r="F5080" t="s">
        <v>15</v>
      </c>
      <c r="G5080" t="s">
        <v>16</v>
      </c>
      <c r="H5080" t="s">
        <v>17</v>
      </c>
      <c r="I5080">
        <v>1</v>
      </c>
      <c r="J5080">
        <v>0</v>
      </c>
      <c r="K5080">
        <v>0</v>
      </c>
    </row>
    <row r="5081" spans="1:11" x14ac:dyDescent="0.25">
      <c r="A5081" t="str">
        <f>"6366"</f>
        <v>6366</v>
      </c>
      <c r="B5081" t="str">
        <f t="shared" si="334"/>
        <v>1</v>
      </c>
      <c r="C5081" t="str">
        <f t="shared" si="335"/>
        <v>280</v>
      </c>
      <c r="D5081" t="str">
        <f>"4"</f>
        <v>4</v>
      </c>
      <c r="E5081" t="str">
        <f>"1-280-4"</f>
        <v>1-280-4</v>
      </c>
      <c r="F5081" t="s">
        <v>15</v>
      </c>
      <c r="G5081" t="s">
        <v>20</v>
      </c>
      <c r="H5081" t="s">
        <v>21</v>
      </c>
      <c r="I5081">
        <v>1</v>
      </c>
      <c r="J5081">
        <v>0</v>
      </c>
      <c r="K5081">
        <v>0</v>
      </c>
    </row>
    <row r="5082" spans="1:11" x14ac:dyDescent="0.25">
      <c r="A5082" t="str">
        <f>"6368"</f>
        <v>6368</v>
      </c>
      <c r="B5082" t="str">
        <f t="shared" si="334"/>
        <v>1</v>
      </c>
      <c r="C5082" t="str">
        <f t="shared" si="335"/>
        <v>280</v>
      </c>
      <c r="D5082" t="str">
        <f>"3"</f>
        <v>3</v>
      </c>
      <c r="E5082" t="str">
        <f>"1-280-3"</f>
        <v>1-280-3</v>
      </c>
      <c r="F5082" t="s">
        <v>15</v>
      </c>
      <c r="G5082" t="s">
        <v>20</v>
      </c>
      <c r="H5082" t="s">
        <v>21</v>
      </c>
      <c r="I5082">
        <v>0</v>
      </c>
      <c r="J5082">
        <v>1</v>
      </c>
      <c r="K5082">
        <v>0</v>
      </c>
    </row>
    <row r="5083" spans="1:11" x14ac:dyDescent="0.25">
      <c r="A5083" t="str">
        <f>"6369"</f>
        <v>6369</v>
      </c>
      <c r="B5083" t="str">
        <f t="shared" si="334"/>
        <v>1</v>
      </c>
      <c r="C5083" t="str">
        <f t="shared" si="335"/>
        <v>280</v>
      </c>
      <c r="D5083" t="str">
        <f>"18"</f>
        <v>18</v>
      </c>
      <c r="E5083" t="str">
        <f>"1-280-18"</f>
        <v>1-280-18</v>
      </c>
      <c r="F5083" t="s">
        <v>15</v>
      </c>
      <c r="G5083" t="s">
        <v>16</v>
      </c>
      <c r="H5083" t="s">
        <v>17</v>
      </c>
      <c r="I5083">
        <v>0</v>
      </c>
      <c r="J5083">
        <v>0</v>
      </c>
      <c r="K5083">
        <v>1</v>
      </c>
    </row>
    <row r="5084" spans="1:11" x14ac:dyDescent="0.25">
      <c r="A5084" t="str">
        <f>"6370"</f>
        <v>6370</v>
      </c>
      <c r="B5084" t="str">
        <f t="shared" si="334"/>
        <v>1</v>
      </c>
      <c r="C5084" t="str">
        <f t="shared" si="335"/>
        <v>280</v>
      </c>
      <c r="D5084" t="str">
        <f>"19"</f>
        <v>19</v>
      </c>
      <c r="E5084" t="str">
        <f>"1-280-19"</f>
        <v>1-280-19</v>
      </c>
      <c r="F5084" t="s">
        <v>15</v>
      </c>
      <c r="G5084" t="s">
        <v>16</v>
      </c>
      <c r="H5084" t="s">
        <v>17</v>
      </c>
      <c r="I5084">
        <v>1</v>
      </c>
      <c r="J5084">
        <v>0</v>
      </c>
      <c r="K5084">
        <v>0</v>
      </c>
    </row>
    <row r="5085" spans="1:11" x14ac:dyDescent="0.25">
      <c r="A5085" t="str">
        <f>"6372"</f>
        <v>6372</v>
      </c>
      <c r="B5085" t="str">
        <f t="shared" si="334"/>
        <v>1</v>
      </c>
      <c r="C5085" t="str">
        <f t="shared" si="335"/>
        <v>280</v>
      </c>
      <c r="D5085" t="str">
        <f>"20"</f>
        <v>20</v>
      </c>
      <c r="E5085" t="str">
        <f>"1-280-20"</f>
        <v>1-280-20</v>
      </c>
      <c r="F5085" t="s">
        <v>15</v>
      </c>
      <c r="G5085" t="s">
        <v>16</v>
      </c>
      <c r="H5085" t="s">
        <v>17</v>
      </c>
      <c r="I5085">
        <v>1</v>
      </c>
      <c r="J5085">
        <v>0</v>
      </c>
      <c r="K5085">
        <v>0</v>
      </c>
    </row>
    <row r="5086" spans="1:11" x14ac:dyDescent="0.25">
      <c r="A5086" t="str">
        <f>"6375"</f>
        <v>6375</v>
      </c>
      <c r="B5086" t="str">
        <f t="shared" si="334"/>
        <v>1</v>
      </c>
      <c r="C5086" t="str">
        <f t="shared" si="335"/>
        <v>280</v>
      </c>
      <c r="D5086" t="str">
        <f>"1"</f>
        <v>1</v>
      </c>
      <c r="E5086" t="str">
        <f>"1-280-1"</f>
        <v>1-280-1</v>
      </c>
      <c r="F5086" t="s">
        <v>15</v>
      </c>
      <c r="G5086" t="s">
        <v>20</v>
      </c>
      <c r="H5086" t="s">
        <v>21</v>
      </c>
      <c r="I5086">
        <v>0</v>
      </c>
      <c r="J5086">
        <v>0</v>
      </c>
      <c r="K5086">
        <v>1</v>
      </c>
    </row>
    <row r="5087" spans="1:11" x14ac:dyDescent="0.25">
      <c r="A5087" t="str">
        <f>"6376"</f>
        <v>6376</v>
      </c>
      <c r="B5087" t="str">
        <f t="shared" si="334"/>
        <v>1</v>
      </c>
      <c r="C5087" t="str">
        <f t="shared" si="335"/>
        <v>280</v>
      </c>
      <c r="D5087" t="str">
        <f>"7"</f>
        <v>7</v>
      </c>
      <c r="E5087" t="str">
        <f>"1-280-7"</f>
        <v>1-280-7</v>
      </c>
      <c r="F5087" t="s">
        <v>15</v>
      </c>
      <c r="G5087" t="s">
        <v>16</v>
      </c>
      <c r="H5087" t="s">
        <v>17</v>
      </c>
      <c r="I5087">
        <v>0</v>
      </c>
      <c r="J5087">
        <v>1</v>
      </c>
      <c r="K5087">
        <v>0</v>
      </c>
    </row>
    <row r="5088" spans="1:11" x14ac:dyDescent="0.25">
      <c r="A5088" t="str">
        <f>"6377"</f>
        <v>6377</v>
      </c>
      <c r="B5088" t="str">
        <f t="shared" si="334"/>
        <v>1</v>
      </c>
      <c r="C5088" t="str">
        <f t="shared" si="335"/>
        <v>280</v>
      </c>
      <c r="D5088" t="str">
        <f>"13"</f>
        <v>13</v>
      </c>
      <c r="E5088" t="str">
        <f>"1-280-13"</f>
        <v>1-280-13</v>
      </c>
      <c r="F5088" t="s">
        <v>15</v>
      </c>
      <c r="G5088" t="s">
        <v>16</v>
      </c>
      <c r="H5088" t="s">
        <v>17</v>
      </c>
      <c r="I5088">
        <v>0</v>
      </c>
      <c r="J5088">
        <v>0</v>
      </c>
      <c r="K5088">
        <v>1</v>
      </c>
    </row>
    <row r="5089" spans="1:11" x14ac:dyDescent="0.25">
      <c r="A5089" t="str">
        <f>"6378"</f>
        <v>6378</v>
      </c>
      <c r="B5089" t="str">
        <f t="shared" si="334"/>
        <v>1</v>
      </c>
      <c r="C5089" t="str">
        <f t="shared" si="335"/>
        <v>280</v>
      </c>
      <c r="D5089" t="str">
        <f>"14"</f>
        <v>14</v>
      </c>
      <c r="E5089" t="str">
        <f>"1-280-14"</f>
        <v>1-280-14</v>
      </c>
      <c r="F5089" t="s">
        <v>15</v>
      </c>
      <c r="G5089" t="s">
        <v>16</v>
      </c>
      <c r="H5089" t="s">
        <v>17</v>
      </c>
      <c r="I5089">
        <v>1</v>
      </c>
      <c r="J5089">
        <v>0</v>
      </c>
      <c r="K5089">
        <v>0</v>
      </c>
    </row>
    <row r="5090" spans="1:11" x14ac:dyDescent="0.25">
      <c r="A5090" t="str">
        <f>"6379"</f>
        <v>6379</v>
      </c>
      <c r="B5090" t="str">
        <f t="shared" si="334"/>
        <v>1</v>
      </c>
      <c r="C5090" t="str">
        <f t="shared" si="335"/>
        <v>280</v>
      </c>
      <c r="D5090" t="str">
        <f>"6"</f>
        <v>6</v>
      </c>
      <c r="E5090" t="str">
        <f>"1-280-6"</f>
        <v>1-280-6</v>
      </c>
      <c r="F5090" t="s">
        <v>15</v>
      </c>
      <c r="G5090" t="s">
        <v>16</v>
      </c>
      <c r="H5090" t="s">
        <v>17</v>
      </c>
      <c r="I5090">
        <v>1</v>
      </c>
      <c r="J5090">
        <v>0</v>
      </c>
      <c r="K5090">
        <v>0</v>
      </c>
    </row>
    <row r="5091" spans="1:11" x14ac:dyDescent="0.25">
      <c r="A5091" t="str">
        <f>"6380"</f>
        <v>6380</v>
      </c>
      <c r="B5091" t="str">
        <f t="shared" si="334"/>
        <v>1</v>
      </c>
      <c r="C5091" t="str">
        <f t="shared" si="335"/>
        <v>280</v>
      </c>
      <c r="D5091" t="str">
        <f>"9"</f>
        <v>9</v>
      </c>
      <c r="E5091" t="str">
        <f>"1-280-9"</f>
        <v>1-280-9</v>
      </c>
      <c r="F5091" t="s">
        <v>15</v>
      </c>
      <c r="G5091" t="s">
        <v>16</v>
      </c>
      <c r="H5091" t="s">
        <v>17</v>
      </c>
      <c r="I5091">
        <v>0</v>
      </c>
      <c r="J5091">
        <v>0</v>
      </c>
      <c r="K5091">
        <v>1</v>
      </c>
    </row>
    <row r="5092" spans="1:11" x14ac:dyDescent="0.25">
      <c r="A5092" t="str">
        <f>"6381"</f>
        <v>6381</v>
      </c>
      <c r="B5092" t="str">
        <f t="shared" si="334"/>
        <v>1</v>
      </c>
      <c r="C5092" t="str">
        <f t="shared" si="335"/>
        <v>280</v>
      </c>
      <c r="D5092" t="str">
        <f>"12"</f>
        <v>12</v>
      </c>
      <c r="E5092" t="str">
        <f>"1-280-12"</f>
        <v>1-280-12</v>
      </c>
      <c r="F5092" t="s">
        <v>15</v>
      </c>
      <c r="G5092" t="s">
        <v>16</v>
      </c>
      <c r="H5092" t="s">
        <v>17</v>
      </c>
      <c r="I5092">
        <v>0</v>
      </c>
      <c r="J5092">
        <v>0</v>
      </c>
      <c r="K5092">
        <v>0</v>
      </c>
    </row>
    <row r="5093" spans="1:11" x14ac:dyDescent="0.25">
      <c r="A5093" t="str">
        <f>"6382"</f>
        <v>6382</v>
      </c>
      <c r="B5093" t="str">
        <f t="shared" si="334"/>
        <v>1</v>
      </c>
      <c r="C5093" t="str">
        <f t="shared" si="335"/>
        <v>280</v>
      </c>
      <c r="D5093" t="str">
        <f>"10"</f>
        <v>10</v>
      </c>
      <c r="E5093" t="str">
        <f>"1-280-10"</f>
        <v>1-280-10</v>
      </c>
      <c r="F5093" t="s">
        <v>15</v>
      </c>
      <c r="G5093" t="s">
        <v>16</v>
      </c>
      <c r="H5093" t="s">
        <v>17</v>
      </c>
      <c r="I5093">
        <v>0</v>
      </c>
      <c r="J5093">
        <v>0</v>
      </c>
      <c r="K5093">
        <v>0</v>
      </c>
    </row>
    <row r="5094" spans="1:11" x14ac:dyDescent="0.25">
      <c r="A5094" t="str">
        <f>"6383"</f>
        <v>6383</v>
      </c>
      <c r="B5094" t="str">
        <f t="shared" si="334"/>
        <v>1</v>
      </c>
      <c r="C5094" t="str">
        <f t="shared" ref="C5094:C5113" si="336">"281"</f>
        <v>281</v>
      </c>
      <c r="D5094" t="str">
        <f>"15"</f>
        <v>15</v>
      </c>
      <c r="E5094" t="str">
        <f>"1-281-15"</f>
        <v>1-281-15</v>
      </c>
      <c r="F5094" t="s">
        <v>15</v>
      </c>
      <c r="G5094" t="s">
        <v>16</v>
      </c>
      <c r="H5094" t="s">
        <v>17</v>
      </c>
      <c r="I5094">
        <v>0</v>
      </c>
      <c r="J5094">
        <v>0</v>
      </c>
      <c r="K5094">
        <v>1</v>
      </c>
    </row>
    <row r="5095" spans="1:11" x14ac:dyDescent="0.25">
      <c r="A5095" t="str">
        <f>"6384"</f>
        <v>6384</v>
      </c>
      <c r="B5095" t="str">
        <f t="shared" si="334"/>
        <v>1</v>
      </c>
      <c r="C5095" t="str">
        <f t="shared" si="336"/>
        <v>281</v>
      </c>
      <c r="D5095" t="str">
        <f>"2"</f>
        <v>2</v>
      </c>
      <c r="E5095" t="str">
        <f>"1-281-2"</f>
        <v>1-281-2</v>
      </c>
      <c r="F5095" t="s">
        <v>15</v>
      </c>
      <c r="G5095" t="s">
        <v>16</v>
      </c>
      <c r="H5095" t="s">
        <v>17</v>
      </c>
      <c r="I5095">
        <v>1</v>
      </c>
      <c r="J5095">
        <v>0</v>
      </c>
      <c r="K5095">
        <v>0</v>
      </c>
    </row>
    <row r="5096" spans="1:11" x14ac:dyDescent="0.25">
      <c r="A5096" t="str">
        <f>"6385"</f>
        <v>6385</v>
      </c>
      <c r="B5096" t="str">
        <f t="shared" si="334"/>
        <v>1</v>
      </c>
      <c r="C5096" t="str">
        <f t="shared" si="336"/>
        <v>281</v>
      </c>
      <c r="D5096" t="str">
        <f>"16"</f>
        <v>16</v>
      </c>
      <c r="E5096" t="str">
        <f>"1-281-16"</f>
        <v>1-281-16</v>
      </c>
      <c r="F5096" t="s">
        <v>15</v>
      </c>
      <c r="G5096" t="s">
        <v>16</v>
      </c>
      <c r="H5096" t="s">
        <v>17</v>
      </c>
      <c r="I5096">
        <v>0</v>
      </c>
      <c r="J5096">
        <v>0</v>
      </c>
      <c r="K5096">
        <v>1</v>
      </c>
    </row>
    <row r="5097" spans="1:11" x14ac:dyDescent="0.25">
      <c r="A5097" t="str">
        <f>"6386"</f>
        <v>6386</v>
      </c>
      <c r="B5097" t="str">
        <f t="shared" si="334"/>
        <v>1</v>
      </c>
      <c r="C5097" t="str">
        <f t="shared" si="336"/>
        <v>281</v>
      </c>
      <c r="D5097" t="str">
        <f>"8"</f>
        <v>8</v>
      </c>
      <c r="E5097" t="str">
        <f>"1-281-8"</f>
        <v>1-281-8</v>
      </c>
      <c r="F5097" t="s">
        <v>15</v>
      </c>
      <c r="G5097" t="s">
        <v>16</v>
      </c>
      <c r="H5097" t="s">
        <v>17</v>
      </c>
      <c r="I5097">
        <v>0</v>
      </c>
      <c r="J5097">
        <v>1</v>
      </c>
      <c r="K5097">
        <v>0</v>
      </c>
    </row>
    <row r="5098" spans="1:11" x14ac:dyDescent="0.25">
      <c r="A5098" t="str">
        <f>"6387"</f>
        <v>6387</v>
      </c>
      <c r="B5098" t="str">
        <f t="shared" si="334"/>
        <v>1</v>
      </c>
      <c r="C5098" t="str">
        <f t="shared" si="336"/>
        <v>281</v>
      </c>
      <c r="D5098" t="str">
        <f>"17"</f>
        <v>17</v>
      </c>
      <c r="E5098" t="str">
        <f>"1-281-17"</f>
        <v>1-281-17</v>
      </c>
      <c r="F5098" t="s">
        <v>15</v>
      </c>
      <c r="G5098" t="s">
        <v>16</v>
      </c>
      <c r="H5098" t="s">
        <v>17</v>
      </c>
      <c r="I5098">
        <v>0</v>
      </c>
      <c r="J5098">
        <v>0</v>
      </c>
      <c r="K5098">
        <v>1</v>
      </c>
    </row>
    <row r="5099" spans="1:11" x14ac:dyDescent="0.25">
      <c r="A5099" t="str">
        <f>"6388"</f>
        <v>6388</v>
      </c>
      <c r="B5099" t="str">
        <f t="shared" si="334"/>
        <v>1</v>
      </c>
      <c r="C5099" t="str">
        <f t="shared" si="336"/>
        <v>281</v>
      </c>
      <c r="D5099" t="str">
        <f>"7"</f>
        <v>7</v>
      </c>
      <c r="E5099" t="str">
        <f>"1-281-7"</f>
        <v>1-281-7</v>
      </c>
      <c r="F5099" t="s">
        <v>15</v>
      </c>
      <c r="G5099" t="s">
        <v>16</v>
      </c>
      <c r="H5099" t="s">
        <v>17</v>
      </c>
      <c r="I5099">
        <v>1</v>
      </c>
      <c r="J5099">
        <v>0</v>
      </c>
      <c r="K5099">
        <v>0</v>
      </c>
    </row>
    <row r="5100" spans="1:11" x14ac:dyDescent="0.25">
      <c r="A5100" t="str">
        <f>"6389"</f>
        <v>6389</v>
      </c>
      <c r="B5100" t="str">
        <f t="shared" si="334"/>
        <v>1</v>
      </c>
      <c r="C5100" t="str">
        <f t="shared" si="336"/>
        <v>281</v>
      </c>
      <c r="D5100" t="str">
        <f>"18"</f>
        <v>18</v>
      </c>
      <c r="E5100" t="str">
        <f>"1-281-18"</f>
        <v>1-281-18</v>
      </c>
      <c r="F5100" t="s">
        <v>15</v>
      </c>
      <c r="G5100" t="s">
        <v>16</v>
      </c>
      <c r="H5100" t="s">
        <v>17</v>
      </c>
      <c r="I5100">
        <v>1</v>
      </c>
      <c r="J5100">
        <v>0</v>
      </c>
      <c r="K5100">
        <v>0</v>
      </c>
    </row>
    <row r="5101" spans="1:11" x14ac:dyDescent="0.25">
      <c r="A5101" t="str">
        <f>"6390"</f>
        <v>6390</v>
      </c>
      <c r="B5101" t="str">
        <f t="shared" si="334"/>
        <v>1</v>
      </c>
      <c r="C5101" t="str">
        <f t="shared" si="336"/>
        <v>281</v>
      </c>
      <c r="D5101" t="str">
        <f>"10"</f>
        <v>10</v>
      </c>
      <c r="E5101" t="str">
        <f>"1-281-10"</f>
        <v>1-281-10</v>
      </c>
      <c r="F5101" t="s">
        <v>15</v>
      </c>
      <c r="G5101" t="s">
        <v>16</v>
      </c>
      <c r="H5101" t="s">
        <v>17</v>
      </c>
      <c r="I5101">
        <v>0</v>
      </c>
      <c r="J5101">
        <v>0</v>
      </c>
      <c r="K5101">
        <v>1</v>
      </c>
    </row>
    <row r="5102" spans="1:11" x14ac:dyDescent="0.25">
      <c r="A5102" t="str">
        <f>"6391"</f>
        <v>6391</v>
      </c>
      <c r="B5102" t="str">
        <f t="shared" si="334"/>
        <v>1</v>
      </c>
      <c r="C5102" t="str">
        <f t="shared" si="336"/>
        <v>281</v>
      </c>
      <c r="D5102" t="str">
        <f>"19"</f>
        <v>19</v>
      </c>
      <c r="E5102" t="str">
        <f>"1-281-19"</f>
        <v>1-281-19</v>
      </c>
      <c r="F5102" t="s">
        <v>15</v>
      </c>
      <c r="G5102" t="s">
        <v>16</v>
      </c>
      <c r="H5102" t="s">
        <v>17</v>
      </c>
      <c r="I5102">
        <v>1</v>
      </c>
      <c r="J5102">
        <v>0</v>
      </c>
      <c r="K5102">
        <v>0</v>
      </c>
    </row>
    <row r="5103" spans="1:11" x14ac:dyDescent="0.25">
      <c r="A5103" t="str">
        <f>"6392"</f>
        <v>6392</v>
      </c>
      <c r="B5103" t="str">
        <f t="shared" si="334"/>
        <v>1</v>
      </c>
      <c r="C5103" t="str">
        <f t="shared" si="336"/>
        <v>281</v>
      </c>
      <c r="D5103" t="str">
        <f>"1"</f>
        <v>1</v>
      </c>
      <c r="E5103" t="str">
        <f>"1-281-1"</f>
        <v>1-281-1</v>
      </c>
      <c r="F5103" t="s">
        <v>15</v>
      </c>
      <c r="G5103" t="s">
        <v>16</v>
      </c>
      <c r="H5103" t="s">
        <v>17</v>
      </c>
      <c r="I5103">
        <v>0</v>
      </c>
      <c r="J5103">
        <v>0</v>
      </c>
      <c r="K5103">
        <v>1</v>
      </c>
    </row>
    <row r="5104" spans="1:11" x14ac:dyDescent="0.25">
      <c r="A5104" t="str">
        <f>"6393"</f>
        <v>6393</v>
      </c>
      <c r="B5104" t="str">
        <f t="shared" si="334"/>
        <v>1</v>
      </c>
      <c r="C5104" t="str">
        <f t="shared" si="336"/>
        <v>281</v>
      </c>
      <c r="D5104" t="str">
        <f>"6"</f>
        <v>6</v>
      </c>
      <c r="E5104" t="str">
        <f>"1-281-6"</f>
        <v>1-281-6</v>
      </c>
      <c r="F5104" t="s">
        <v>15</v>
      </c>
      <c r="G5104" t="s">
        <v>16</v>
      </c>
      <c r="H5104" t="s">
        <v>17</v>
      </c>
      <c r="I5104">
        <v>1</v>
      </c>
      <c r="J5104">
        <v>0</v>
      </c>
      <c r="K5104">
        <v>0</v>
      </c>
    </row>
    <row r="5105" spans="1:11" x14ac:dyDescent="0.25">
      <c r="A5105" t="str">
        <f>"6394"</f>
        <v>6394</v>
      </c>
      <c r="B5105" t="str">
        <f t="shared" si="334"/>
        <v>1</v>
      </c>
      <c r="C5105" t="str">
        <f t="shared" si="336"/>
        <v>281</v>
      </c>
      <c r="D5105" t="str">
        <f>"13"</f>
        <v>13</v>
      </c>
      <c r="E5105" t="str">
        <f>"1-281-13"</f>
        <v>1-281-13</v>
      </c>
      <c r="F5105" t="s">
        <v>15</v>
      </c>
      <c r="G5105" t="s">
        <v>16</v>
      </c>
      <c r="H5105" t="s">
        <v>17</v>
      </c>
      <c r="I5105">
        <v>0</v>
      </c>
      <c r="J5105">
        <v>0</v>
      </c>
      <c r="K5105">
        <v>1</v>
      </c>
    </row>
    <row r="5106" spans="1:11" x14ac:dyDescent="0.25">
      <c r="A5106" t="str">
        <f>"6395"</f>
        <v>6395</v>
      </c>
      <c r="B5106" t="str">
        <f t="shared" si="334"/>
        <v>1</v>
      </c>
      <c r="C5106" t="str">
        <f t="shared" si="336"/>
        <v>281</v>
      </c>
      <c r="D5106" t="str">
        <f>"9"</f>
        <v>9</v>
      </c>
      <c r="E5106" t="str">
        <f>"1-281-9"</f>
        <v>1-281-9</v>
      </c>
      <c r="F5106" t="s">
        <v>15</v>
      </c>
      <c r="G5106" t="s">
        <v>16</v>
      </c>
      <c r="H5106" t="s">
        <v>17</v>
      </c>
      <c r="I5106">
        <v>0</v>
      </c>
      <c r="J5106">
        <v>1</v>
      </c>
      <c r="K5106">
        <v>0</v>
      </c>
    </row>
    <row r="5107" spans="1:11" x14ac:dyDescent="0.25">
      <c r="A5107" t="str">
        <f>"6396"</f>
        <v>6396</v>
      </c>
      <c r="B5107" t="str">
        <f t="shared" si="334"/>
        <v>1</v>
      </c>
      <c r="C5107" t="str">
        <f t="shared" si="336"/>
        <v>281</v>
      </c>
      <c r="D5107" t="str">
        <f>"12"</f>
        <v>12</v>
      </c>
      <c r="E5107" t="str">
        <f>"1-281-12"</f>
        <v>1-281-12</v>
      </c>
      <c r="F5107" t="s">
        <v>15</v>
      </c>
      <c r="G5107" t="s">
        <v>20</v>
      </c>
      <c r="H5107" t="s">
        <v>21</v>
      </c>
      <c r="I5107">
        <v>0</v>
      </c>
      <c r="J5107">
        <v>1</v>
      </c>
      <c r="K5107">
        <v>0</v>
      </c>
    </row>
    <row r="5108" spans="1:11" x14ac:dyDescent="0.25">
      <c r="A5108" t="str">
        <f>"6397"</f>
        <v>6397</v>
      </c>
      <c r="B5108" t="str">
        <f t="shared" si="334"/>
        <v>1</v>
      </c>
      <c r="C5108" t="str">
        <f t="shared" si="336"/>
        <v>281</v>
      </c>
      <c r="D5108" t="str">
        <f>"14"</f>
        <v>14</v>
      </c>
      <c r="E5108" t="str">
        <f>"1-281-14"</f>
        <v>1-281-14</v>
      </c>
      <c r="F5108" t="s">
        <v>15</v>
      </c>
      <c r="G5108" t="s">
        <v>16</v>
      </c>
      <c r="H5108" t="s">
        <v>17</v>
      </c>
      <c r="I5108">
        <v>0</v>
      </c>
      <c r="J5108">
        <v>0</v>
      </c>
      <c r="K5108">
        <v>1</v>
      </c>
    </row>
    <row r="5109" spans="1:11" x14ac:dyDescent="0.25">
      <c r="A5109" t="str">
        <f>"6398"</f>
        <v>6398</v>
      </c>
      <c r="B5109" t="str">
        <f t="shared" si="334"/>
        <v>1</v>
      </c>
      <c r="C5109" t="str">
        <f t="shared" si="336"/>
        <v>281</v>
      </c>
      <c r="D5109" t="str">
        <f>"3"</f>
        <v>3</v>
      </c>
      <c r="E5109" t="str">
        <f>"1-281-3"</f>
        <v>1-281-3</v>
      </c>
      <c r="F5109" t="s">
        <v>15</v>
      </c>
      <c r="G5109" t="s">
        <v>16</v>
      </c>
      <c r="H5109" t="s">
        <v>17</v>
      </c>
      <c r="I5109">
        <v>1</v>
      </c>
      <c r="J5109">
        <v>0</v>
      </c>
      <c r="K5109">
        <v>0</v>
      </c>
    </row>
    <row r="5110" spans="1:11" x14ac:dyDescent="0.25">
      <c r="A5110" t="str">
        <f>"6399"</f>
        <v>6399</v>
      </c>
      <c r="B5110" t="str">
        <f t="shared" si="334"/>
        <v>1</v>
      </c>
      <c r="C5110" t="str">
        <f t="shared" si="336"/>
        <v>281</v>
      </c>
      <c r="D5110" t="str">
        <f>"4"</f>
        <v>4</v>
      </c>
      <c r="E5110" t="str">
        <f>"1-281-4"</f>
        <v>1-281-4</v>
      </c>
      <c r="F5110" t="s">
        <v>15</v>
      </c>
      <c r="G5110" t="s">
        <v>16</v>
      </c>
      <c r="H5110" t="s">
        <v>17</v>
      </c>
      <c r="I5110">
        <v>0</v>
      </c>
      <c r="J5110">
        <v>0</v>
      </c>
      <c r="K5110">
        <v>1</v>
      </c>
    </row>
    <row r="5111" spans="1:11" x14ac:dyDescent="0.25">
      <c r="A5111" t="str">
        <f>"6400"</f>
        <v>6400</v>
      </c>
      <c r="B5111" t="str">
        <f t="shared" si="334"/>
        <v>1</v>
      </c>
      <c r="C5111" t="str">
        <f t="shared" si="336"/>
        <v>281</v>
      </c>
      <c r="D5111" t="str">
        <f>"11"</f>
        <v>11</v>
      </c>
      <c r="E5111" t="str">
        <f>"1-281-11"</f>
        <v>1-281-11</v>
      </c>
      <c r="F5111" t="s">
        <v>15</v>
      </c>
      <c r="G5111" t="s">
        <v>16</v>
      </c>
      <c r="H5111" t="s">
        <v>17</v>
      </c>
      <c r="I5111">
        <v>0</v>
      </c>
      <c r="J5111">
        <v>0</v>
      </c>
      <c r="K5111">
        <v>1</v>
      </c>
    </row>
    <row r="5112" spans="1:11" x14ac:dyDescent="0.25">
      <c r="A5112" t="str">
        <f>"6401"</f>
        <v>6401</v>
      </c>
      <c r="B5112" t="str">
        <f t="shared" si="334"/>
        <v>1</v>
      </c>
      <c r="C5112" t="str">
        <f t="shared" si="336"/>
        <v>281</v>
      </c>
      <c r="D5112" t="str">
        <f>"5"</f>
        <v>5</v>
      </c>
      <c r="E5112" t="str">
        <f>"1-281-5"</f>
        <v>1-281-5</v>
      </c>
      <c r="F5112" t="s">
        <v>15</v>
      </c>
      <c r="G5112" t="s">
        <v>16</v>
      </c>
      <c r="H5112" t="s">
        <v>17</v>
      </c>
      <c r="I5112">
        <v>1</v>
      </c>
      <c r="J5112">
        <v>0</v>
      </c>
      <c r="K5112">
        <v>0</v>
      </c>
    </row>
    <row r="5113" spans="1:11" x14ac:dyDescent="0.25">
      <c r="A5113" t="str">
        <f>"6402"</f>
        <v>6402</v>
      </c>
      <c r="B5113" t="str">
        <f t="shared" si="334"/>
        <v>1</v>
      </c>
      <c r="C5113" t="str">
        <f t="shared" si="336"/>
        <v>281</v>
      </c>
      <c r="D5113" t="str">
        <f>"20"</f>
        <v>20</v>
      </c>
      <c r="E5113" t="str">
        <f>"1-281-20"</f>
        <v>1-281-20</v>
      </c>
      <c r="F5113" t="s">
        <v>15</v>
      </c>
      <c r="G5113" t="s">
        <v>16</v>
      </c>
      <c r="H5113" t="s">
        <v>17</v>
      </c>
      <c r="I5113">
        <v>0</v>
      </c>
      <c r="J5113">
        <v>0</v>
      </c>
      <c r="K5113">
        <v>0</v>
      </c>
    </row>
    <row r="5114" spans="1:11" x14ac:dyDescent="0.25">
      <c r="A5114" t="str">
        <f>"6403"</f>
        <v>6403</v>
      </c>
      <c r="B5114" t="str">
        <f t="shared" si="334"/>
        <v>1</v>
      </c>
      <c r="C5114" t="str">
        <f t="shared" ref="C5114:C5125" si="337">"282"</f>
        <v>282</v>
      </c>
      <c r="D5114" t="str">
        <f>"15"</f>
        <v>15</v>
      </c>
      <c r="E5114" t="str">
        <f>"1-282-15"</f>
        <v>1-282-15</v>
      </c>
      <c r="F5114" t="s">
        <v>15</v>
      </c>
      <c r="G5114" t="s">
        <v>20</v>
      </c>
      <c r="H5114" t="s">
        <v>21</v>
      </c>
      <c r="I5114">
        <v>0</v>
      </c>
      <c r="J5114">
        <v>1</v>
      </c>
      <c r="K5114">
        <v>0</v>
      </c>
    </row>
    <row r="5115" spans="1:11" x14ac:dyDescent="0.25">
      <c r="A5115" t="str">
        <f>"6404"</f>
        <v>6404</v>
      </c>
      <c r="B5115" t="str">
        <f t="shared" si="334"/>
        <v>1</v>
      </c>
      <c r="C5115" t="str">
        <f t="shared" si="337"/>
        <v>282</v>
      </c>
      <c r="D5115" t="str">
        <f>"6"</f>
        <v>6</v>
      </c>
      <c r="E5115" t="str">
        <f>"1-282-6"</f>
        <v>1-282-6</v>
      </c>
      <c r="F5115" t="s">
        <v>15</v>
      </c>
      <c r="G5115" t="s">
        <v>20</v>
      </c>
      <c r="H5115" t="s">
        <v>21</v>
      </c>
      <c r="I5115">
        <v>1</v>
      </c>
      <c r="J5115">
        <v>0</v>
      </c>
      <c r="K5115">
        <v>0</v>
      </c>
    </row>
    <row r="5116" spans="1:11" x14ac:dyDescent="0.25">
      <c r="A5116" t="str">
        <f>"6405"</f>
        <v>6405</v>
      </c>
      <c r="B5116" t="str">
        <f t="shared" si="334"/>
        <v>1</v>
      </c>
      <c r="C5116" t="str">
        <f t="shared" si="337"/>
        <v>282</v>
      </c>
      <c r="D5116" t="str">
        <f>"16"</f>
        <v>16</v>
      </c>
      <c r="E5116" t="str">
        <f>"1-282-16"</f>
        <v>1-282-16</v>
      </c>
      <c r="F5116" t="s">
        <v>15</v>
      </c>
      <c r="G5116" t="s">
        <v>20</v>
      </c>
      <c r="H5116" t="s">
        <v>21</v>
      </c>
      <c r="I5116">
        <v>1</v>
      </c>
      <c r="J5116">
        <v>0</v>
      </c>
      <c r="K5116">
        <v>0</v>
      </c>
    </row>
    <row r="5117" spans="1:11" x14ac:dyDescent="0.25">
      <c r="A5117" t="str">
        <f>"6406"</f>
        <v>6406</v>
      </c>
      <c r="B5117" t="str">
        <f t="shared" si="334"/>
        <v>1</v>
      </c>
      <c r="C5117" t="str">
        <f t="shared" si="337"/>
        <v>282</v>
      </c>
      <c r="D5117" t="str">
        <f>"17"</f>
        <v>17</v>
      </c>
      <c r="E5117" t="str">
        <f>"1-282-17"</f>
        <v>1-282-17</v>
      </c>
      <c r="F5117" t="s">
        <v>15</v>
      </c>
      <c r="G5117" t="s">
        <v>20</v>
      </c>
      <c r="H5117" t="s">
        <v>21</v>
      </c>
      <c r="I5117">
        <v>0</v>
      </c>
      <c r="J5117">
        <v>0</v>
      </c>
      <c r="K5117">
        <v>1</v>
      </c>
    </row>
    <row r="5118" spans="1:11" x14ac:dyDescent="0.25">
      <c r="A5118" t="str">
        <f>"6408"</f>
        <v>6408</v>
      </c>
      <c r="B5118" t="str">
        <f t="shared" si="334"/>
        <v>1</v>
      </c>
      <c r="C5118" t="str">
        <f t="shared" si="337"/>
        <v>282</v>
      </c>
      <c r="D5118" t="str">
        <f>"18"</f>
        <v>18</v>
      </c>
      <c r="E5118" t="str">
        <f>"1-282-18"</f>
        <v>1-282-18</v>
      </c>
      <c r="F5118" t="s">
        <v>15</v>
      </c>
      <c r="G5118" t="s">
        <v>20</v>
      </c>
      <c r="H5118" t="s">
        <v>21</v>
      </c>
      <c r="I5118">
        <v>0</v>
      </c>
      <c r="J5118">
        <v>0</v>
      </c>
      <c r="K5118">
        <v>1</v>
      </c>
    </row>
    <row r="5119" spans="1:11" x14ac:dyDescent="0.25">
      <c r="A5119" t="str">
        <f>"6410"</f>
        <v>6410</v>
      </c>
      <c r="B5119" t="str">
        <f t="shared" si="334"/>
        <v>1</v>
      </c>
      <c r="C5119" t="str">
        <f t="shared" si="337"/>
        <v>282</v>
      </c>
      <c r="D5119" t="str">
        <f>"19"</f>
        <v>19</v>
      </c>
      <c r="E5119" t="str">
        <f>"1-282-19"</f>
        <v>1-282-19</v>
      </c>
      <c r="F5119" t="s">
        <v>15</v>
      </c>
      <c r="G5119" t="s">
        <v>20</v>
      </c>
      <c r="H5119" t="s">
        <v>21</v>
      </c>
      <c r="I5119">
        <v>0</v>
      </c>
      <c r="J5119">
        <v>0</v>
      </c>
      <c r="K5119">
        <v>1</v>
      </c>
    </row>
    <row r="5120" spans="1:11" x14ac:dyDescent="0.25">
      <c r="A5120" t="str">
        <f>"6416"</f>
        <v>6416</v>
      </c>
      <c r="B5120" t="str">
        <f t="shared" si="334"/>
        <v>1</v>
      </c>
      <c r="C5120" t="str">
        <f t="shared" si="337"/>
        <v>282</v>
      </c>
      <c r="D5120" t="str">
        <f>"1"</f>
        <v>1</v>
      </c>
      <c r="E5120" t="str">
        <f>"1-282-1"</f>
        <v>1-282-1</v>
      </c>
      <c r="F5120" t="s">
        <v>15</v>
      </c>
      <c r="G5120" t="s">
        <v>20</v>
      </c>
      <c r="H5120" t="s">
        <v>21</v>
      </c>
      <c r="I5120">
        <v>0</v>
      </c>
      <c r="J5120">
        <v>0</v>
      </c>
      <c r="K5120">
        <v>1</v>
      </c>
    </row>
    <row r="5121" spans="1:11" x14ac:dyDescent="0.25">
      <c r="A5121" t="str">
        <f>"6417"</f>
        <v>6417</v>
      </c>
      <c r="B5121" t="str">
        <f t="shared" si="334"/>
        <v>1</v>
      </c>
      <c r="C5121" t="str">
        <f t="shared" si="337"/>
        <v>282</v>
      </c>
      <c r="D5121" t="str">
        <f>"13"</f>
        <v>13</v>
      </c>
      <c r="E5121" t="str">
        <f>"1-282-13"</f>
        <v>1-282-13</v>
      </c>
      <c r="F5121" t="s">
        <v>15</v>
      </c>
      <c r="G5121" t="s">
        <v>20</v>
      </c>
      <c r="H5121" t="s">
        <v>21</v>
      </c>
      <c r="I5121">
        <v>0</v>
      </c>
      <c r="J5121">
        <v>0</v>
      </c>
      <c r="K5121">
        <v>1</v>
      </c>
    </row>
    <row r="5122" spans="1:11" x14ac:dyDescent="0.25">
      <c r="A5122" t="str">
        <f>"6418"</f>
        <v>6418</v>
      </c>
      <c r="B5122" t="str">
        <f t="shared" si="334"/>
        <v>1</v>
      </c>
      <c r="C5122" t="str">
        <f t="shared" si="337"/>
        <v>282</v>
      </c>
      <c r="D5122" t="str">
        <f>"9"</f>
        <v>9</v>
      </c>
      <c r="E5122" t="str">
        <f>"1-282-9"</f>
        <v>1-282-9</v>
      </c>
      <c r="F5122" t="s">
        <v>15</v>
      </c>
      <c r="G5122" t="s">
        <v>20</v>
      </c>
      <c r="H5122" t="s">
        <v>21</v>
      </c>
      <c r="I5122">
        <v>0</v>
      </c>
      <c r="J5122">
        <v>0</v>
      </c>
      <c r="K5122">
        <v>1</v>
      </c>
    </row>
    <row r="5123" spans="1:11" x14ac:dyDescent="0.25">
      <c r="A5123" t="str">
        <f>"6419"</f>
        <v>6419</v>
      </c>
      <c r="B5123" t="str">
        <f t="shared" si="334"/>
        <v>1</v>
      </c>
      <c r="C5123" t="str">
        <f t="shared" si="337"/>
        <v>282</v>
      </c>
      <c r="D5123" t="str">
        <f>"2"</f>
        <v>2</v>
      </c>
      <c r="E5123" t="str">
        <f>"1-282-2"</f>
        <v>1-282-2</v>
      </c>
      <c r="F5123" t="s">
        <v>15</v>
      </c>
      <c r="G5123" t="s">
        <v>20</v>
      </c>
      <c r="H5123" t="s">
        <v>21</v>
      </c>
      <c r="I5123">
        <v>0</v>
      </c>
      <c r="J5123">
        <v>0</v>
      </c>
      <c r="K5123">
        <v>1</v>
      </c>
    </row>
    <row r="5124" spans="1:11" x14ac:dyDescent="0.25">
      <c r="A5124" t="str">
        <f>"6420"</f>
        <v>6420</v>
      </c>
      <c r="B5124" t="str">
        <f t="shared" si="334"/>
        <v>1</v>
      </c>
      <c r="C5124" t="str">
        <f t="shared" si="337"/>
        <v>282</v>
      </c>
      <c r="D5124" t="str">
        <f>"12"</f>
        <v>12</v>
      </c>
      <c r="E5124" t="str">
        <f>"1-282-12"</f>
        <v>1-282-12</v>
      </c>
      <c r="F5124" t="s">
        <v>15</v>
      </c>
      <c r="G5124" t="s">
        <v>20</v>
      </c>
      <c r="H5124" t="s">
        <v>21</v>
      </c>
      <c r="I5124">
        <v>1</v>
      </c>
      <c r="J5124">
        <v>0</v>
      </c>
      <c r="K5124">
        <v>0</v>
      </c>
    </row>
    <row r="5125" spans="1:11" x14ac:dyDescent="0.25">
      <c r="A5125" t="str">
        <f>"6421"</f>
        <v>6421</v>
      </c>
      <c r="B5125" t="str">
        <f t="shared" si="334"/>
        <v>1</v>
      </c>
      <c r="C5125" t="str">
        <f t="shared" si="337"/>
        <v>282</v>
      </c>
      <c r="D5125" t="str">
        <f>"3"</f>
        <v>3</v>
      </c>
      <c r="E5125" t="str">
        <f>"1-282-3"</f>
        <v>1-282-3</v>
      </c>
      <c r="F5125" t="s">
        <v>15</v>
      </c>
      <c r="G5125" t="s">
        <v>20</v>
      </c>
      <c r="H5125" t="s">
        <v>21</v>
      </c>
      <c r="I5125">
        <v>0</v>
      </c>
      <c r="J5125">
        <v>0</v>
      </c>
      <c r="K5125">
        <v>0</v>
      </c>
    </row>
    <row r="5126" spans="1:11" x14ac:dyDescent="0.25">
      <c r="A5126" t="str">
        <f>"6422"</f>
        <v>6422</v>
      </c>
      <c r="B5126" t="str">
        <f t="shared" si="334"/>
        <v>1</v>
      </c>
      <c r="C5126" t="str">
        <f t="shared" ref="C5126:C5142" si="338">"283"</f>
        <v>283</v>
      </c>
      <c r="D5126" t="str">
        <f>"2"</f>
        <v>2</v>
      </c>
      <c r="E5126" t="str">
        <f>"1-283-2"</f>
        <v>1-283-2</v>
      </c>
      <c r="F5126" t="s">
        <v>15</v>
      </c>
      <c r="G5126" t="s">
        <v>16</v>
      </c>
      <c r="H5126" t="s">
        <v>17</v>
      </c>
      <c r="I5126">
        <v>0</v>
      </c>
      <c r="J5126">
        <v>1</v>
      </c>
      <c r="K5126">
        <v>0</v>
      </c>
    </row>
    <row r="5127" spans="1:11" x14ac:dyDescent="0.25">
      <c r="A5127" t="str">
        <f>"6423"</f>
        <v>6423</v>
      </c>
      <c r="B5127" t="str">
        <f t="shared" si="334"/>
        <v>1</v>
      </c>
      <c r="C5127" t="str">
        <f t="shared" si="338"/>
        <v>283</v>
      </c>
      <c r="D5127" t="str">
        <f>"16"</f>
        <v>16</v>
      </c>
      <c r="E5127" t="str">
        <f>"1-283-16"</f>
        <v>1-283-16</v>
      </c>
      <c r="F5127" t="s">
        <v>15</v>
      </c>
      <c r="G5127" t="s">
        <v>18</v>
      </c>
      <c r="H5127" t="s">
        <v>19</v>
      </c>
      <c r="I5127">
        <v>0</v>
      </c>
      <c r="J5127">
        <v>0</v>
      </c>
      <c r="K5127">
        <v>1</v>
      </c>
    </row>
    <row r="5128" spans="1:11" x14ac:dyDescent="0.25">
      <c r="A5128" t="str">
        <f>"6424"</f>
        <v>6424</v>
      </c>
      <c r="B5128" t="str">
        <f t="shared" si="334"/>
        <v>1</v>
      </c>
      <c r="C5128" t="str">
        <f t="shared" si="338"/>
        <v>283</v>
      </c>
      <c r="D5128" t="str">
        <f>"9"</f>
        <v>9</v>
      </c>
      <c r="E5128" t="str">
        <f>"1-283-9"</f>
        <v>1-283-9</v>
      </c>
      <c r="F5128" t="s">
        <v>15</v>
      </c>
      <c r="G5128" t="s">
        <v>16</v>
      </c>
      <c r="H5128" t="s">
        <v>17</v>
      </c>
      <c r="I5128">
        <v>0</v>
      </c>
      <c r="J5128">
        <v>1</v>
      </c>
      <c r="K5128">
        <v>0</v>
      </c>
    </row>
    <row r="5129" spans="1:11" x14ac:dyDescent="0.25">
      <c r="A5129" t="str">
        <f>"6427"</f>
        <v>6427</v>
      </c>
      <c r="B5129" t="str">
        <f t="shared" ref="B5129:B5181" si="339">"1"</f>
        <v>1</v>
      </c>
      <c r="C5129" t="str">
        <f t="shared" si="338"/>
        <v>283</v>
      </c>
      <c r="D5129" t="str">
        <f>"18"</f>
        <v>18</v>
      </c>
      <c r="E5129" t="str">
        <f>"1-283-18"</f>
        <v>1-283-18</v>
      </c>
      <c r="F5129" t="s">
        <v>15</v>
      </c>
      <c r="G5129" t="s">
        <v>16</v>
      </c>
      <c r="H5129" t="s">
        <v>17</v>
      </c>
      <c r="I5129">
        <v>1</v>
      </c>
      <c r="J5129">
        <v>0</v>
      </c>
      <c r="K5129">
        <v>0</v>
      </c>
    </row>
    <row r="5130" spans="1:11" x14ac:dyDescent="0.25">
      <c r="A5130" t="str">
        <f>"6428"</f>
        <v>6428</v>
      </c>
      <c r="B5130" t="str">
        <f t="shared" si="339"/>
        <v>1</v>
      </c>
      <c r="C5130" t="str">
        <f t="shared" si="338"/>
        <v>283</v>
      </c>
      <c r="D5130" t="str">
        <f>"6"</f>
        <v>6</v>
      </c>
      <c r="E5130" t="str">
        <f>"1-283-6"</f>
        <v>1-283-6</v>
      </c>
      <c r="F5130" t="s">
        <v>15</v>
      </c>
      <c r="G5130" t="s">
        <v>20</v>
      </c>
      <c r="H5130" t="s">
        <v>21</v>
      </c>
      <c r="I5130">
        <v>0</v>
      </c>
      <c r="J5130">
        <v>1</v>
      </c>
      <c r="K5130">
        <v>0</v>
      </c>
    </row>
    <row r="5131" spans="1:11" x14ac:dyDescent="0.25">
      <c r="A5131" t="str">
        <f>"6431"</f>
        <v>6431</v>
      </c>
      <c r="B5131" t="str">
        <f t="shared" si="339"/>
        <v>1</v>
      </c>
      <c r="C5131" t="str">
        <f t="shared" si="338"/>
        <v>283</v>
      </c>
      <c r="D5131" t="str">
        <f>"20"</f>
        <v>20</v>
      </c>
      <c r="E5131" t="str">
        <f>"1-283-20"</f>
        <v>1-283-20</v>
      </c>
      <c r="F5131" t="s">
        <v>15</v>
      </c>
      <c r="G5131" t="s">
        <v>18</v>
      </c>
      <c r="H5131" t="s">
        <v>19</v>
      </c>
      <c r="I5131">
        <v>1</v>
      </c>
      <c r="J5131">
        <v>0</v>
      </c>
      <c r="K5131">
        <v>0</v>
      </c>
    </row>
    <row r="5132" spans="1:11" x14ac:dyDescent="0.25">
      <c r="A5132" t="str">
        <f>"6432"</f>
        <v>6432</v>
      </c>
      <c r="B5132" t="str">
        <f t="shared" si="339"/>
        <v>1</v>
      </c>
      <c r="C5132" t="str">
        <f t="shared" si="338"/>
        <v>283</v>
      </c>
      <c r="D5132" t="str">
        <f>"1"</f>
        <v>1</v>
      </c>
      <c r="E5132" t="str">
        <f>"1-283-1"</f>
        <v>1-283-1</v>
      </c>
      <c r="F5132" t="s">
        <v>15</v>
      </c>
      <c r="G5132" t="s">
        <v>20</v>
      </c>
      <c r="H5132" t="s">
        <v>21</v>
      </c>
      <c r="I5132">
        <v>0</v>
      </c>
      <c r="J5132">
        <v>1</v>
      </c>
      <c r="K5132">
        <v>0</v>
      </c>
    </row>
    <row r="5133" spans="1:11" x14ac:dyDescent="0.25">
      <c r="A5133" t="str">
        <f>"6433"</f>
        <v>6433</v>
      </c>
      <c r="B5133" t="str">
        <f t="shared" si="339"/>
        <v>1</v>
      </c>
      <c r="C5133" t="str">
        <f t="shared" si="338"/>
        <v>283</v>
      </c>
      <c r="D5133" t="str">
        <f>"14"</f>
        <v>14</v>
      </c>
      <c r="E5133" t="str">
        <f>"1-283-14"</f>
        <v>1-283-14</v>
      </c>
      <c r="F5133" t="s">
        <v>15</v>
      </c>
      <c r="G5133" t="s">
        <v>16</v>
      </c>
      <c r="H5133" t="s">
        <v>17</v>
      </c>
      <c r="I5133">
        <v>0</v>
      </c>
      <c r="J5133">
        <v>1</v>
      </c>
      <c r="K5133">
        <v>0</v>
      </c>
    </row>
    <row r="5134" spans="1:11" x14ac:dyDescent="0.25">
      <c r="A5134" t="str">
        <f>"6434"</f>
        <v>6434</v>
      </c>
      <c r="B5134" t="str">
        <f t="shared" si="339"/>
        <v>1</v>
      </c>
      <c r="C5134" t="str">
        <f t="shared" si="338"/>
        <v>283</v>
      </c>
      <c r="D5134" t="str">
        <f>"10"</f>
        <v>10</v>
      </c>
      <c r="E5134" t="str">
        <f>"1-283-10"</f>
        <v>1-283-10</v>
      </c>
      <c r="F5134" t="s">
        <v>15</v>
      </c>
      <c r="G5134" t="s">
        <v>16</v>
      </c>
      <c r="H5134" t="s">
        <v>17</v>
      </c>
      <c r="I5134">
        <v>0</v>
      </c>
      <c r="J5134">
        <v>1</v>
      </c>
      <c r="K5134">
        <v>0</v>
      </c>
    </row>
    <row r="5135" spans="1:11" x14ac:dyDescent="0.25">
      <c r="A5135" t="str">
        <f>"6435"</f>
        <v>6435</v>
      </c>
      <c r="B5135" t="str">
        <f t="shared" si="339"/>
        <v>1</v>
      </c>
      <c r="C5135" t="str">
        <f t="shared" si="338"/>
        <v>283</v>
      </c>
      <c r="D5135" t="str">
        <f>"12"</f>
        <v>12</v>
      </c>
      <c r="E5135" t="str">
        <f>"1-283-12"</f>
        <v>1-283-12</v>
      </c>
      <c r="F5135" t="s">
        <v>15</v>
      </c>
      <c r="G5135" t="s">
        <v>18</v>
      </c>
      <c r="H5135" t="s">
        <v>19</v>
      </c>
      <c r="I5135">
        <v>1</v>
      </c>
      <c r="J5135">
        <v>0</v>
      </c>
      <c r="K5135">
        <v>0</v>
      </c>
    </row>
    <row r="5136" spans="1:11" x14ac:dyDescent="0.25">
      <c r="A5136" t="str">
        <f>"6436"</f>
        <v>6436</v>
      </c>
      <c r="B5136" t="str">
        <f t="shared" si="339"/>
        <v>1</v>
      </c>
      <c r="C5136" t="str">
        <f t="shared" si="338"/>
        <v>283</v>
      </c>
      <c r="D5136" t="str">
        <f>"3"</f>
        <v>3</v>
      </c>
      <c r="E5136" t="str">
        <f>"1-283-3"</f>
        <v>1-283-3</v>
      </c>
      <c r="F5136" t="s">
        <v>15</v>
      </c>
      <c r="G5136" t="s">
        <v>16</v>
      </c>
      <c r="H5136" t="s">
        <v>17</v>
      </c>
      <c r="I5136">
        <v>0</v>
      </c>
      <c r="J5136">
        <v>0</v>
      </c>
      <c r="K5136">
        <v>1</v>
      </c>
    </row>
    <row r="5137" spans="1:11" x14ac:dyDescent="0.25">
      <c r="A5137" t="str">
        <f>"6437"</f>
        <v>6437</v>
      </c>
      <c r="B5137" t="str">
        <f t="shared" si="339"/>
        <v>1</v>
      </c>
      <c r="C5137" t="str">
        <f t="shared" si="338"/>
        <v>283</v>
      </c>
      <c r="D5137" t="str">
        <f>"11"</f>
        <v>11</v>
      </c>
      <c r="E5137" t="str">
        <f>"1-283-11"</f>
        <v>1-283-11</v>
      </c>
      <c r="F5137" t="s">
        <v>15</v>
      </c>
      <c r="G5137" t="s">
        <v>18</v>
      </c>
      <c r="H5137" t="s">
        <v>19</v>
      </c>
      <c r="I5137">
        <v>0</v>
      </c>
      <c r="J5137">
        <v>1</v>
      </c>
      <c r="K5137">
        <v>0</v>
      </c>
    </row>
    <row r="5138" spans="1:11" x14ac:dyDescent="0.25">
      <c r="A5138" t="str">
        <f>"6438"</f>
        <v>6438</v>
      </c>
      <c r="B5138" t="str">
        <f t="shared" si="339"/>
        <v>1</v>
      </c>
      <c r="C5138" t="str">
        <f t="shared" si="338"/>
        <v>283</v>
      </c>
      <c r="D5138" t="str">
        <f>"5"</f>
        <v>5</v>
      </c>
      <c r="E5138" t="str">
        <f>"1-283-5"</f>
        <v>1-283-5</v>
      </c>
      <c r="F5138" t="s">
        <v>15</v>
      </c>
      <c r="G5138" t="s">
        <v>20</v>
      </c>
      <c r="H5138" t="s">
        <v>21</v>
      </c>
      <c r="I5138">
        <v>0</v>
      </c>
      <c r="J5138">
        <v>0</v>
      </c>
      <c r="K5138">
        <v>1</v>
      </c>
    </row>
    <row r="5139" spans="1:11" x14ac:dyDescent="0.25">
      <c r="A5139" t="str">
        <f>"6439"</f>
        <v>6439</v>
      </c>
      <c r="B5139" t="str">
        <f t="shared" si="339"/>
        <v>1</v>
      </c>
      <c r="C5139" t="str">
        <f t="shared" si="338"/>
        <v>283</v>
      </c>
      <c r="D5139" t="str">
        <f>"8"</f>
        <v>8</v>
      </c>
      <c r="E5139" t="str">
        <f>"1-283-8"</f>
        <v>1-283-8</v>
      </c>
      <c r="F5139" t="s">
        <v>15</v>
      </c>
      <c r="G5139" t="s">
        <v>18</v>
      </c>
      <c r="H5139" t="s">
        <v>19</v>
      </c>
      <c r="I5139">
        <v>1</v>
      </c>
      <c r="J5139">
        <v>0</v>
      </c>
      <c r="K5139">
        <v>0</v>
      </c>
    </row>
    <row r="5140" spans="1:11" x14ac:dyDescent="0.25">
      <c r="A5140" t="str">
        <f>"6440"</f>
        <v>6440</v>
      </c>
      <c r="B5140" t="str">
        <f t="shared" si="339"/>
        <v>1</v>
      </c>
      <c r="C5140" t="str">
        <f t="shared" si="338"/>
        <v>283</v>
      </c>
      <c r="D5140" t="str">
        <f>"4"</f>
        <v>4</v>
      </c>
      <c r="E5140" t="str">
        <f>"1-283-4"</f>
        <v>1-283-4</v>
      </c>
      <c r="F5140" t="s">
        <v>15</v>
      </c>
      <c r="G5140" t="s">
        <v>16</v>
      </c>
      <c r="H5140" t="s">
        <v>17</v>
      </c>
      <c r="I5140">
        <v>0</v>
      </c>
      <c r="J5140">
        <v>0</v>
      </c>
      <c r="K5140">
        <v>0</v>
      </c>
    </row>
    <row r="5141" spans="1:11" x14ac:dyDescent="0.25">
      <c r="A5141" t="str">
        <f>"6441"</f>
        <v>6441</v>
      </c>
      <c r="B5141" t="str">
        <f t="shared" si="339"/>
        <v>1</v>
      </c>
      <c r="C5141" t="str">
        <f t="shared" si="338"/>
        <v>283</v>
      </c>
      <c r="D5141" t="str">
        <f>"21"</f>
        <v>21</v>
      </c>
      <c r="E5141" t="str">
        <f>"1-283-21"</f>
        <v>1-283-21</v>
      </c>
      <c r="F5141" t="s">
        <v>15</v>
      </c>
      <c r="G5141" t="s">
        <v>20</v>
      </c>
      <c r="H5141" t="s">
        <v>21</v>
      </c>
      <c r="I5141">
        <v>0</v>
      </c>
      <c r="J5141">
        <v>1</v>
      </c>
      <c r="K5141">
        <v>0</v>
      </c>
    </row>
    <row r="5142" spans="1:11" x14ac:dyDescent="0.25">
      <c r="A5142" t="str">
        <f>"6442"</f>
        <v>6442</v>
      </c>
      <c r="B5142" t="str">
        <f t="shared" si="339"/>
        <v>1</v>
      </c>
      <c r="C5142" t="str">
        <f t="shared" si="338"/>
        <v>283</v>
      </c>
      <c r="D5142" t="str">
        <f>"15"</f>
        <v>15</v>
      </c>
      <c r="E5142" t="str">
        <f>"1-283-15"</f>
        <v>1-283-15</v>
      </c>
      <c r="F5142" t="s">
        <v>15</v>
      </c>
      <c r="G5142" t="s">
        <v>18</v>
      </c>
      <c r="H5142" t="s">
        <v>19</v>
      </c>
      <c r="I5142">
        <v>0</v>
      </c>
      <c r="J5142">
        <v>0</v>
      </c>
      <c r="K5142">
        <v>0</v>
      </c>
    </row>
    <row r="5143" spans="1:11" x14ac:dyDescent="0.25">
      <c r="A5143" t="str">
        <f>"6443"</f>
        <v>6443</v>
      </c>
      <c r="B5143" t="str">
        <f t="shared" si="339"/>
        <v>1</v>
      </c>
      <c r="C5143" t="str">
        <f t="shared" ref="C5143:C5157" si="340">"284"</f>
        <v>284</v>
      </c>
      <c r="D5143" t="str">
        <f>"15"</f>
        <v>15</v>
      </c>
      <c r="E5143" t="str">
        <f>"1-284-15"</f>
        <v>1-284-15</v>
      </c>
      <c r="F5143" t="s">
        <v>15</v>
      </c>
      <c r="G5143" t="s">
        <v>16</v>
      </c>
      <c r="H5143" t="s">
        <v>17</v>
      </c>
      <c r="I5143">
        <v>0</v>
      </c>
      <c r="J5143">
        <v>1</v>
      </c>
      <c r="K5143">
        <v>0</v>
      </c>
    </row>
    <row r="5144" spans="1:11" x14ac:dyDescent="0.25">
      <c r="A5144" t="str">
        <f>"6444"</f>
        <v>6444</v>
      </c>
      <c r="B5144" t="str">
        <f t="shared" si="339"/>
        <v>1</v>
      </c>
      <c r="C5144" t="str">
        <f t="shared" si="340"/>
        <v>284</v>
      </c>
      <c r="D5144" t="str">
        <f>"5"</f>
        <v>5</v>
      </c>
      <c r="E5144" t="str">
        <f>"1-284-5"</f>
        <v>1-284-5</v>
      </c>
      <c r="F5144" t="s">
        <v>15</v>
      </c>
      <c r="G5144" t="s">
        <v>16</v>
      </c>
      <c r="H5144" t="s">
        <v>17</v>
      </c>
      <c r="I5144">
        <v>1</v>
      </c>
      <c r="J5144">
        <v>0</v>
      </c>
      <c r="K5144">
        <v>0</v>
      </c>
    </row>
    <row r="5145" spans="1:11" x14ac:dyDescent="0.25">
      <c r="A5145" t="str">
        <f>"6445"</f>
        <v>6445</v>
      </c>
      <c r="B5145" t="str">
        <f t="shared" si="339"/>
        <v>1</v>
      </c>
      <c r="C5145" t="str">
        <f t="shared" si="340"/>
        <v>284</v>
      </c>
      <c r="D5145" t="str">
        <f>"16"</f>
        <v>16</v>
      </c>
      <c r="E5145" t="str">
        <f>"1-284-16"</f>
        <v>1-284-16</v>
      </c>
      <c r="F5145" t="s">
        <v>15</v>
      </c>
      <c r="G5145" t="s">
        <v>16</v>
      </c>
      <c r="H5145" t="s">
        <v>17</v>
      </c>
      <c r="I5145">
        <v>0</v>
      </c>
      <c r="J5145">
        <v>0</v>
      </c>
      <c r="K5145">
        <v>1</v>
      </c>
    </row>
    <row r="5146" spans="1:11" x14ac:dyDescent="0.25">
      <c r="A5146" t="str">
        <f>"6446"</f>
        <v>6446</v>
      </c>
      <c r="B5146" t="str">
        <f t="shared" si="339"/>
        <v>1</v>
      </c>
      <c r="C5146" t="str">
        <f t="shared" si="340"/>
        <v>284</v>
      </c>
      <c r="D5146" t="str">
        <f>"11"</f>
        <v>11</v>
      </c>
      <c r="E5146" t="str">
        <f>"1-284-11"</f>
        <v>1-284-11</v>
      </c>
      <c r="F5146" t="s">
        <v>15</v>
      </c>
      <c r="G5146" t="s">
        <v>16</v>
      </c>
      <c r="H5146" t="s">
        <v>17</v>
      </c>
      <c r="I5146">
        <v>0</v>
      </c>
      <c r="J5146">
        <v>0</v>
      </c>
      <c r="K5146">
        <v>1</v>
      </c>
    </row>
    <row r="5147" spans="1:11" x14ac:dyDescent="0.25">
      <c r="A5147" t="str">
        <f>"6447"</f>
        <v>6447</v>
      </c>
      <c r="B5147" t="str">
        <f t="shared" si="339"/>
        <v>1</v>
      </c>
      <c r="C5147" t="str">
        <f t="shared" si="340"/>
        <v>284</v>
      </c>
      <c r="D5147" t="str">
        <f>"17"</f>
        <v>17</v>
      </c>
      <c r="E5147" t="str">
        <f>"1-284-17"</f>
        <v>1-284-17</v>
      </c>
      <c r="F5147" t="s">
        <v>15</v>
      </c>
      <c r="G5147" t="s">
        <v>16</v>
      </c>
      <c r="H5147" t="s">
        <v>17</v>
      </c>
      <c r="I5147">
        <v>1</v>
      </c>
      <c r="J5147">
        <v>0</v>
      </c>
      <c r="K5147">
        <v>0</v>
      </c>
    </row>
    <row r="5148" spans="1:11" x14ac:dyDescent="0.25">
      <c r="A5148" t="str">
        <f>"6448"</f>
        <v>6448</v>
      </c>
      <c r="B5148" t="str">
        <f t="shared" si="339"/>
        <v>1</v>
      </c>
      <c r="C5148" t="str">
        <f t="shared" si="340"/>
        <v>284</v>
      </c>
      <c r="D5148" t="str">
        <f>"10"</f>
        <v>10</v>
      </c>
      <c r="E5148" t="str">
        <f>"1-284-10"</f>
        <v>1-284-10</v>
      </c>
      <c r="F5148" t="s">
        <v>15</v>
      </c>
      <c r="G5148" t="s">
        <v>16</v>
      </c>
      <c r="H5148" t="s">
        <v>17</v>
      </c>
      <c r="I5148">
        <v>0</v>
      </c>
      <c r="J5148">
        <v>1</v>
      </c>
      <c r="K5148">
        <v>0</v>
      </c>
    </row>
    <row r="5149" spans="1:11" x14ac:dyDescent="0.25">
      <c r="A5149" t="str">
        <f>"6449"</f>
        <v>6449</v>
      </c>
      <c r="B5149" t="str">
        <f t="shared" si="339"/>
        <v>1</v>
      </c>
      <c r="C5149" t="str">
        <f t="shared" si="340"/>
        <v>284</v>
      </c>
      <c r="D5149" t="str">
        <f>"18"</f>
        <v>18</v>
      </c>
      <c r="E5149" t="str">
        <f>"1-284-18"</f>
        <v>1-284-18</v>
      </c>
      <c r="F5149" t="s">
        <v>15</v>
      </c>
      <c r="G5149" t="s">
        <v>18</v>
      </c>
      <c r="H5149" t="s">
        <v>19</v>
      </c>
      <c r="I5149">
        <v>1</v>
      </c>
      <c r="J5149">
        <v>0</v>
      </c>
      <c r="K5149">
        <v>0</v>
      </c>
    </row>
    <row r="5150" spans="1:11" x14ac:dyDescent="0.25">
      <c r="A5150" t="str">
        <f>"6450"</f>
        <v>6450</v>
      </c>
      <c r="B5150" t="str">
        <f t="shared" si="339"/>
        <v>1</v>
      </c>
      <c r="C5150" t="str">
        <f t="shared" si="340"/>
        <v>284</v>
      </c>
      <c r="D5150" t="str">
        <f>"4"</f>
        <v>4</v>
      </c>
      <c r="E5150" t="str">
        <f>"1-284-4"</f>
        <v>1-284-4</v>
      </c>
      <c r="F5150" t="s">
        <v>15</v>
      </c>
      <c r="G5150" t="s">
        <v>16</v>
      </c>
      <c r="H5150" t="s">
        <v>17</v>
      </c>
      <c r="I5150">
        <v>0</v>
      </c>
      <c r="J5150">
        <v>1</v>
      </c>
      <c r="K5150">
        <v>0</v>
      </c>
    </row>
    <row r="5151" spans="1:11" x14ac:dyDescent="0.25">
      <c r="A5151" t="str">
        <f>"6451"</f>
        <v>6451</v>
      </c>
      <c r="B5151" t="str">
        <f t="shared" si="339"/>
        <v>1</v>
      </c>
      <c r="C5151" t="str">
        <f t="shared" si="340"/>
        <v>284</v>
      </c>
      <c r="D5151" t="str">
        <f>"19"</f>
        <v>19</v>
      </c>
      <c r="E5151" t="str">
        <f>"1-284-19"</f>
        <v>1-284-19</v>
      </c>
      <c r="F5151" t="s">
        <v>15</v>
      </c>
      <c r="G5151" t="s">
        <v>16</v>
      </c>
      <c r="H5151" t="s">
        <v>17</v>
      </c>
      <c r="I5151">
        <v>1</v>
      </c>
      <c r="J5151">
        <v>0</v>
      </c>
      <c r="K5151">
        <v>0</v>
      </c>
    </row>
    <row r="5152" spans="1:11" x14ac:dyDescent="0.25">
      <c r="A5152" t="str">
        <f>"6456"</f>
        <v>6456</v>
      </c>
      <c r="B5152" t="str">
        <f t="shared" si="339"/>
        <v>1</v>
      </c>
      <c r="C5152" t="str">
        <f t="shared" si="340"/>
        <v>284</v>
      </c>
      <c r="D5152" t="str">
        <f>"14"</f>
        <v>14</v>
      </c>
      <c r="E5152" t="str">
        <f>"1-284-14"</f>
        <v>1-284-14</v>
      </c>
      <c r="F5152" t="s">
        <v>15</v>
      </c>
      <c r="G5152" t="s">
        <v>16</v>
      </c>
      <c r="H5152" t="s">
        <v>17</v>
      </c>
      <c r="I5152">
        <v>0</v>
      </c>
      <c r="J5152">
        <v>1</v>
      </c>
      <c r="K5152">
        <v>0</v>
      </c>
    </row>
    <row r="5153" spans="1:11" x14ac:dyDescent="0.25">
      <c r="A5153" t="str">
        <f>"6457"</f>
        <v>6457</v>
      </c>
      <c r="B5153" t="str">
        <f t="shared" si="339"/>
        <v>1</v>
      </c>
      <c r="C5153" t="str">
        <f t="shared" si="340"/>
        <v>284</v>
      </c>
      <c r="D5153" t="str">
        <f>"3"</f>
        <v>3</v>
      </c>
      <c r="E5153" t="str">
        <f>"1-284-3"</f>
        <v>1-284-3</v>
      </c>
      <c r="F5153" t="s">
        <v>15</v>
      </c>
      <c r="G5153" t="s">
        <v>16</v>
      </c>
      <c r="H5153" t="s">
        <v>17</v>
      </c>
      <c r="I5153">
        <v>1</v>
      </c>
      <c r="J5153">
        <v>0</v>
      </c>
      <c r="K5153">
        <v>0</v>
      </c>
    </row>
    <row r="5154" spans="1:11" x14ac:dyDescent="0.25">
      <c r="A5154" t="str">
        <f>"6458"</f>
        <v>6458</v>
      </c>
      <c r="B5154" t="str">
        <f t="shared" si="339"/>
        <v>1</v>
      </c>
      <c r="C5154" t="str">
        <f t="shared" si="340"/>
        <v>284</v>
      </c>
      <c r="D5154" t="str">
        <f>"7"</f>
        <v>7</v>
      </c>
      <c r="E5154" t="str">
        <f>"1-284-7"</f>
        <v>1-284-7</v>
      </c>
      <c r="F5154" t="s">
        <v>15</v>
      </c>
      <c r="G5154" t="s">
        <v>16</v>
      </c>
      <c r="H5154" t="s">
        <v>17</v>
      </c>
      <c r="I5154">
        <v>1</v>
      </c>
      <c r="J5154">
        <v>0</v>
      </c>
      <c r="K5154">
        <v>0</v>
      </c>
    </row>
    <row r="5155" spans="1:11" x14ac:dyDescent="0.25">
      <c r="A5155" t="str">
        <f>"6459"</f>
        <v>6459</v>
      </c>
      <c r="B5155" t="str">
        <f t="shared" si="339"/>
        <v>1</v>
      </c>
      <c r="C5155" t="str">
        <f t="shared" si="340"/>
        <v>284</v>
      </c>
      <c r="D5155" t="str">
        <f>"13"</f>
        <v>13</v>
      </c>
      <c r="E5155" t="str">
        <f>"1-284-13"</f>
        <v>1-284-13</v>
      </c>
      <c r="F5155" t="s">
        <v>15</v>
      </c>
      <c r="G5155" t="s">
        <v>16</v>
      </c>
      <c r="H5155" t="s">
        <v>17</v>
      </c>
      <c r="I5155">
        <v>1</v>
      </c>
      <c r="J5155">
        <v>0</v>
      </c>
      <c r="K5155">
        <v>0</v>
      </c>
    </row>
    <row r="5156" spans="1:11" x14ac:dyDescent="0.25">
      <c r="A5156" t="str">
        <f>"6460"</f>
        <v>6460</v>
      </c>
      <c r="B5156" t="str">
        <f t="shared" si="339"/>
        <v>1</v>
      </c>
      <c r="C5156" t="str">
        <f t="shared" si="340"/>
        <v>284</v>
      </c>
      <c r="D5156" t="str">
        <f>"9"</f>
        <v>9</v>
      </c>
      <c r="E5156" t="str">
        <f>"1-284-9"</f>
        <v>1-284-9</v>
      </c>
      <c r="F5156" t="s">
        <v>15</v>
      </c>
      <c r="G5156" t="s">
        <v>16</v>
      </c>
      <c r="H5156" t="s">
        <v>17</v>
      </c>
      <c r="I5156">
        <v>1</v>
      </c>
      <c r="J5156">
        <v>0</v>
      </c>
      <c r="K5156">
        <v>0</v>
      </c>
    </row>
    <row r="5157" spans="1:11" x14ac:dyDescent="0.25">
      <c r="A5157" t="str">
        <f>"6461"</f>
        <v>6461</v>
      </c>
      <c r="B5157" t="str">
        <f t="shared" si="339"/>
        <v>1</v>
      </c>
      <c r="C5157" t="str">
        <f t="shared" si="340"/>
        <v>284</v>
      </c>
      <c r="D5157" t="str">
        <f>"1"</f>
        <v>1</v>
      </c>
      <c r="E5157" t="str">
        <f>"1-284-1"</f>
        <v>1-284-1</v>
      </c>
      <c r="F5157" t="s">
        <v>15</v>
      </c>
      <c r="G5157" t="s">
        <v>18</v>
      </c>
      <c r="H5157" t="s">
        <v>19</v>
      </c>
      <c r="I5157">
        <v>0</v>
      </c>
      <c r="J5157">
        <v>0</v>
      </c>
      <c r="K5157">
        <v>1</v>
      </c>
    </row>
    <row r="5158" spans="1:11" x14ac:dyDescent="0.25">
      <c r="A5158" t="str">
        <f>"6463"</f>
        <v>6463</v>
      </c>
      <c r="B5158" t="str">
        <f t="shared" si="339"/>
        <v>1</v>
      </c>
      <c r="C5158" t="str">
        <f t="shared" ref="C5158:C5178" si="341">"285"</f>
        <v>285</v>
      </c>
      <c r="D5158" t="str">
        <f>"6"</f>
        <v>6</v>
      </c>
      <c r="E5158" t="str">
        <f>"1-285-6"</f>
        <v>1-285-6</v>
      </c>
      <c r="F5158" t="s">
        <v>15</v>
      </c>
      <c r="G5158" t="s">
        <v>18</v>
      </c>
      <c r="H5158" t="s">
        <v>19</v>
      </c>
      <c r="I5158">
        <v>0</v>
      </c>
      <c r="J5158">
        <v>0</v>
      </c>
      <c r="K5158">
        <v>1</v>
      </c>
    </row>
    <row r="5159" spans="1:11" x14ac:dyDescent="0.25">
      <c r="A5159" t="str">
        <f>"6464"</f>
        <v>6464</v>
      </c>
      <c r="B5159" t="str">
        <f t="shared" si="339"/>
        <v>1</v>
      </c>
      <c r="C5159" t="str">
        <f t="shared" si="341"/>
        <v>285</v>
      </c>
      <c r="D5159" t="str">
        <f>"20"</f>
        <v>20</v>
      </c>
      <c r="E5159" t="str">
        <f>"1-285-20"</f>
        <v>1-285-20</v>
      </c>
      <c r="F5159" t="s">
        <v>15</v>
      </c>
      <c r="G5159" t="s">
        <v>18</v>
      </c>
      <c r="H5159" t="s">
        <v>19</v>
      </c>
      <c r="I5159">
        <v>0</v>
      </c>
      <c r="J5159">
        <v>1</v>
      </c>
      <c r="K5159">
        <v>0</v>
      </c>
    </row>
    <row r="5160" spans="1:11" x14ac:dyDescent="0.25">
      <c r="A5160" t="str">
        <f>"6466"</f>
        <v>6466</v>
      </c>
      <c r="B5160" t="str">
        <f t="shared" si="339"/>
        <v>1</v>
      </c>
      <c r="C5160" t="str">
        <f t="shared" si="341"/>
        <v>285</v>
      </c>
      <c r="D5160" t="str">
        <f>"2"</f>
        <v>2</v>
      </c>
      <c r="E5160" t="str">
        <f>"1-285-2"</f>
        <v>1-285-2</v>
      </c>
      <c r="F5160" t="s">
        <v>15</v>
      </c>
      <c r="G5160" t="s">
        <v>18</v>
      </c>
      <c r="H5160" t="s">
        <v>19</v>
      </c>
      <c r="I5160">
        <v>0</v>
      </c>
      <c r="J5160">
        <v>1</v>
      </c>
      <c r="K5160">
        <v>0</v>
      </c>
    </row>
    <row r="5161" spans="1:11" x14ac:dyDescent="0.25">
      <c r="A5161" t="str">
        <f>"6467"</f>
        <v>6467</v>
      </c>
      <c r="B5161" t="str">
        <f t="shared" si="339"/>
        <v>1</v>
      </c>
      <c r="C5161" t="str">
        <f t="shared" si="341"/>
        <v>285</v>
      </c>
      <c r="D5161" t="str">
        <f>"17"</f>
        <v>17</v>
      </c>
      <c r="E5161" t="str">
        <f>"1-285-17"</f>
        <v>1-285-17</v>
      </c>
      <c r="F5161" t="s">
        <v>15</v>
      </c>
      <c r="G5161" t="s">
        <v>18</v>
      </c>
      <c r="H5161" t="s">
        <v>19</v>
      </c>
      <c r="I5161">
        <v>0</v>
      </c>
      <c r="J5161">
        <v>0</v>
      </c>
      <c r="K5161">
        <v>1</v>
      </c>
    </row>
    <row r="5162" spans="1:11" x14ac:dyDescent="0.25">
      <c r="A5162" t="str">
        <f>"6468"</f>
        <v>6468</v>
      </c>
      <c r="B5162" t="str">
        <f t="shared" si="339"/>
        <v>1</v>
      </c>
      <c r="C5162" t="str">
        <f t="shared" si="341"/>
        <v>285</v>
      </c>
      <c r="D5162" t="str">
        <f>"18"</f>
        <v>18</v>
      </c>
      <c r="E5162" t="str">
        <f>"1-285-18"</f>
        <v>1-285-18</v>
      </c>
      <c r="F5162" t="s">
        <v>15</v>
      </c>
      <c r="G5162" t="s">
        <v>18</v>
      </c>
      <c r="H5162" t="s">
        <v>19</v>
      </c>
      <c r="I5162">
        <v>0</v>
      </c>
      <c r="J5162">
        <v>1</v>
      </c>
      <c r="K5162">
        <v>0</v>
      </c>
    </row>
    <row r="5163" spans="1:11" x14ac:dyDescent="0.25">
      <c r="A5163" t="str">
        <f>"6469"</f>
        <v>6469</v>
      </c>
      <c r="B5163" t="str">
        <f t="shared" si="339"/>
        <v>1</v>
      </c>
      <c r="C5163" t="str">
        <f t="shared" si="341"/>
        <v>285</v>
      </c>
      <c r="D5163" t="str">
        <f>"7"</f>
        <v>7</v>
      </c>
      <c r="E5163" t="str">
        <f>"1-285-7"</f>
        <v>1-285-7</v>
      </c>
      <c r="F5163" t="s">
        <v>15</v>
      </c>
      <c r="G5163" t="s">
        <v>18</v>
      </c>
      <c r="H5163" t="s">
        <v>19</v>
      </c>
      <c r="I5163">
        <v>0</v>
      </c>
      <c r="J5163">
        <v>0</v>
      </c>
      <c r="K5163">
        <v>1</v>
      </c>
    </row>
    <row r="5164" spans="1:11" x14ac:dyDescent="0.25">
      <c r="A5164" t="str">
        <f>"6470"</f>
        <v>6470</v>
      </c>
      <c r="B5164" t="str">
        <f t="shared" si="339"/>
        <v>1</v>
      </c>
      <c r="C5164" t="str">
        <f t="shared" si="341"/>
        <v>285</v>
      </c>
      <c r="D5164" t="str">
        <f>"19"</f>
        <v>19</v>
      </c>
      <c r="E5164" t="str">
        <f>"1-285-19"</f>
        <v>1-285-19</v>
      </c>
      <c r="F5164" t="s">
        <v>15</v>
      </c>
      <c r="G5164" t="s">
        <v>18</v>
      </c>
      <c r="H5164" t="s">
        <v>19</v>
      </c>
      <c r="I5164">
        <v>0</v>
      </c>
      <c r="J5164">
        <v>0</v>
      </c>
      <c r="K5164">
        <v>1</v>
      </c>
    </row>
    <row r="5165" spans="1:11" x14ac:dyDescent="0.25">
      <c r="A5165" t="str">
        <f>"6472"</f>
        <v>6472</v>
      </c>
      <c r="B5165" t="str">
        <f t="shared" si="339"/>
        <v>1</v>
      </c>
      <c r="C5165" t="str">
        <f t="shared" si="341"/>
        <v>285</v>
      </c>
      <c r="D5165" t="str">
        <f>"21"</f>
        <v>21</v>
      </c>
      <c r="E5165" t="str">
        <f>"1-285-21"</f>
        <v>1-285-21</v>
      </c>
      <c r="F5165" t="s">
        <v>15</v>
      </c>
      <c r="G5165" t="s">
        <v>18</v>
      </c>
      <c r="H5165" t="s">
        <v>19</v>
      </c>
      <c r="I5165">
        <v>0</v>
      </c>
      <c r="J5165">
        <v>1</v>
      </c>
      <c r="K5165">
        <v>0</v>
      </c>
    </row>
    <row r="5166" spans="1:11" x14ac:dyDescent="0.25">
      <c r="A5166" t="str">
        <f>"6473"</f>
        <v>6473</v>
      </c>
      <c r="B5166" t="str">
        <f t="shared" si="339"/>
        <v>1</v>
      </c>
      <c r="C5166" t="str">
        <f t="shared" si="341"/>
        <v>285</v>
      </c>
      <c r="D5166" t="str">
        <f>"12"</f>
        <v>12</v>
      </c>
      <c r="E5166" t="str">
        <f>"1-285-12"</f>
        <v>1-285-12</v>
      </c>
      <c r="F5166" t="s">
        <v>15</v>
      </c>
      <c r="G5166" t="s">
        <v>18</v>
      </c>
      <c r="H5166" t="s">
        <v>19</v>
      </c>
      <c r="I5166">
        <v>0</v>
      </c>
      <c r="J5166">
        <v>1</v>
      </c>
      <c r="K5166">
        <v>0</v>
      </c>
    </row>
    <row r="5167" spans="1:11" x14ac:dyDescent="0.25">
      <c r="A5167" t="str">
        <f>"6474"</f>
        <v>6474</v>
      </c>
      <c r="B5167" t="str">
        <f t="shared" si="339"/>
        <v>1</v>
      </c>
      <c r="C5167" t="str">
        <f t="shared" si="341"/>
        <v>285</v>
      </c>
      <c r="D5167" t="str">
        <f>"11"</f>
        <v>11</v>
      </c>
      <c r="E5167" t="str">
        <f>"1-285-11"</f>
        <v>1-285-11</v>
      </c>
      <c r="F5167" t="s">
        <v>15</v>
      </c>
      <c r="G5167" t="s">
        <v>18</v>
      </c>
      <c r="H5167" t="s">
        <v>19</v>
      </c>
      <c r="I5167">
        <v>1</v>
      </c>
      <c r="J5167">
        <v>0</v>
      </c>
      <c r="K5167">
        <v>0</v>
      </c>
    </row>
    <row r="5168" spans="1:11" x14ac:dyDescent="0.25">
      <c r="A5168" t="str">
        <f>"6476"</f>
        <v>6476</v>
      </c>
      <c r="B5168" t="str">
        <f t="shared" si="339"/>
        <v>1</v>
      </c>
      <c r="C5168" t="str">
        <f t="shared" si="341"/>
        <v>285</v>
      </c>
      <c r="D5168" t="str">
        <f>"4"</f>
        <v>4</v>
      </c>
      <c r="E5168" t="str">
        <f>"1-285-4"</f>
        <v>1-285-4</v>
      </c>
      <c r="F5168" t="s">
        <v>15</v>
      </c>
      <c r="G5168" t="s">
        <v>18</v>
      </c>
      <c r="H5168" t="s">
        <v>19</v>
      </c>
      <c r="I5168">
        <v>0</v>
      </c>
      <c r="J5168">
        <v>1</v>
      </c>
      <c r="K5168">
        <v>0</v>
      </c>
    </row>
    <row r="5169" spans="1:11" x14ac:dyDescent="0.25">
      <c r="A5169" t="str">
        <f>"6477"</f>
        <v>6477</v>
      </c>
      <c r="B5169" t="str">
        <f t="shared" si="339"/>
        <v>1</v>
      </c>
      <c r="C5169" t="str">
        <f t="shared" si="341"/>
        <v>285</v>
      </c>
      <c r="D5169" t="str">
        <f>"25"</f>
        <v>25</v>
      </c>
      <c r="E5169" t="str">
        <f>"1-285-25"</f>
        <v>1-285-25</v>
      </c>
      <c r="F5169" t="s">
        <v>15</v>
      </c>
      <c r="G5169" t="s">
        <v>18</v>
      </c>
      <c r="H5169" t="s">
        <v>19</v>
      </c>
      <c r="I5169">
        <v>1</v>
      </c>
      <c r="J5169">
        <v>0</v>
      </c>
      <c r="K5169">
        <v>0</v>
      </c>
    </row>
    <row r="5170" spans="1:11" x14ac:dyDescent="0.25">
      <c r="A5170" t="str">
        <f>"6478"</f>
        <v>6478</v>
      </c>
      <c r="B5170" t="str">
        <f t="shared" si="339"/>
        <v>1</v>
      </c>
      <c r="C5170" t="str">
        <f t="shared" si="341"/>
        <v>285</v>
      </c>
      <c r="D5170" t="str">
        <f>"10"</f>
        <v>10</v>
      </c>
      <c r="E5170" t="str">
        <f>"1-285-10"</f>
        <v>1-285-10</v>
      </c>
      <c r="F5170" t="s">
        <v>15</v>
      </c>
      <c r="G5170" t="s">
        <v>18</v>
      </c>
      <c r="H5170" t="s">
        <v>19</v>
      </c>
      <c r="I5170">
        <v>0</v>
      </c>
      <c r="J5170">
        <v>1</v>
      </c>
      <c r="K5170">
        <v>0</v>
      </c>
    </row>
    <row r="5171" spans="1:11" x14ac:dyDescent="0.25">
      <c r="A5171" t="str">
        <f>"6479"</f>
        <v>6479</v>
      </c>
      <c r="B5171" t="str">
        <f t="shared" si="339"/>
        <v>1</v>
      </c>
      <c r="C5171" t="str">
        <f t="shared" si="341"/>
        <v>285</v>
      </c>
      <c r="D5171" t="str">
        <f>"5"</f>
        <v>5</v>
      </c>
      <c r="E5171" t="str">
        <f>"1-285-5"</f>
        <v>1-285-5</v>
      </c>
      <c r="F5171" t="s">
        <v>15</v>
      </c>
      <c r="G5171" t="s">
        <v>18</v>
      </c>
      <c r="H5171" t="s">
        <v>19</v>
      </c>
      <c r="I5171">
        <v>0</v>
      </c>
      <c r="J5171">
        <v>1</v>
      </c>
      <c r="K5171">
        <v>0</v>
      </c>
    </row>
    <row r="5172" spans="1:11" x14ac:dyDescent="0.25">
      <c r="A5172" t="str">
        <f>"6480"</f>
        <v>6480</v>
      </c>
      <c r="B5172" t="str">
        <f t="shared" si="339"/>
        <v>1</v>
      </c>
      <c r="C5172" t="str">
        <f t="shared" si="341"/>
        <v>285</v>
      </c>
      <c r="D5172" t="str">
        <f>"14"</f>
        <v>14</v>
      </c>
      <c r="E5172" t="str">
        <f>"1-285-14"</f>
        <v>1-285-14</v>
      </c>
      <c r="F5172" t="s">
        <v>15</v>
      </c>
      <c r="G5172" t="s">
        <v>18</v>
      </c>
      <c r="H5172" t="s">
        <v>19</v>
      </c>
      <c r="I5172">
        <v>0</v>
      </c>
      <c r="J5172">
        <v>0</v>
      </c>
      <c r="K5172">
        <v>1</v>
      </c>
    </row>
    <row r="5173" spans="1:11" x14ac:dyDescent="0.25">
      <c r="A5173" t="str">
        <f>"6481"</f>
        <v>6481</v>
      </c>
      <c r="B5173" t="str">
        <f t="shared" si="339"/>
        <v>1</v>
      </c>
      <c r="C5173" t="str">
        <f t="shared" si="341"/>
        <v>285</v>
      </c>
      <c r="D5173" t="str">
        <f>"8"</f>
        <v>8</v>
      </c>
      <c r="E5173" t="str">
        <f>"1-285-8"</f>
        <v>1-285-8</v>
      </c>
      <c r="F5173" t="s">
        <v>15</v>
      </c>
      <c r="G5173" t="s">
        <v>18</v>
      </c>
      <c r="H5173" t="s">
        <v>19</v>
      </c>
      <c r="I5173">
        <v>0</v>
      </c>
      <c r="J5173">
        <v>0</v>
      </c>
      <c r="K5173">
        <v>1</v>
      </c>
    </row>
    <row r="5174" spans="1:11" x14ac:dyDescent="0.25">
      <c r="A5174" t="str">
        <f>"6482"</f>
        <v>6482</v>
      </c>
      <c r="B5174" t="str">
        <f t="shared" si="339"/>
        <v>1</v>
      </c>
      <c r="C5174" t="str">
        <f t="shared" si="341"/>
        <v>285</v>
      </c>
      <c r="D5174" t="str">
        <f>"9"</f>
        <v>9</v>
      </c>
      <c r="E5174" t="str">
        <f>"1-285-9"</f>
        <v>1-285-9</v>
      </c>
      <c r="F5174" t="s">
        <v>15</v>
      </c>
      <c r="G5174" t="s">
        <v>18</v>
      </c>
      <c r="H5174" t="s">
        <v>19</v>
      </c>
      <c r="I5174">
        <v>1</v>
      </c>
      <c r="J5174">
        <v>0</v>
      </c>
      <c r="K5174">
        <v>0</v>
      </c>
    </row>
    <row r="5175" spans="1:11" x14ac:dyDescent="0.25">
      <c r="A5175" t="str">
        <f>"6483"</f>
        <v>6483</v>
      </c>
      <c r="B5175" t="str">
        <f t="shared" si="339"/>
        <v>1</v>
      </c>
      <c r="C5175" t="str">
        <f t="shared" si="341"/>
        <v>285</v>
      </c>
      <c r="D5175" t="str">
        <f>"1"</f>
        <v>1</v>
      </c>
      <c r="E5175" t="str">
        <f>"1-285-1"</f>
        <v>1-285-1</v>
      </c>
      <c r="F5175" t="s">
        <v>15</v>
      </c>
      <c r="G5175" t="s">
        <v>18</v>
      </c>
      <c r="H5175" t="s">
        <v>19</v>
      </c>
      <c r="I5175">
        <v>0</v>
      </c>
      <c r="J5175">
        <v>1</v>
      </c>
      <c r="K5175">
        <v>0</v>
      </c>
    </row>
    <row r="5176" spans="1:11" x14ac:dyDescent="0.25">
      <c r="A5176" t="str">
        <f>"6484"</f>
        <v>6484</v>
      </c>
      <c r="B5176" t="str">
        <f t="shared" si="339"/>
        <v>1</v>
      </c>
      <c r="C5176" t="str">
        <f t="shared" si="341"/>
        <v>285</v>
      </c>
      <c r="D5176" t="str">
        <f>"3"</f>
        <v>3</v>
      </c>
      <c r="E5176" t="str">
        <f>"1-285-3"</f>
        <v>1-285-3</v>
      </c>
      <c r="F5176" t="s">
        <v>15</v>
      </c>
      <c r="G5176" t="s">
        <v>18</v>
      </c>
      <c r="H5176" t="s">
        <v>19</v>
      </c>
      <c r="I5176">
        <v>0</v>
      </c>
      <c r="J5176">
        <v>0</v>
      </c>
      <c r="K5176">
        <v>0</v>
      </c>
    </row>
    <row r="5177" spans="1:11" x14ac:dyDescent="0.25">
      <c r="A5177" t="str">
        <f>"6485"</f>
        <v>6485</v>
      </c>
      <c r="B5177" t="str">
        <f t="shared" si="339"/>
        <v>1</v>
      </c>
      <c r="C5177" t="str">
        <f t="shared" si="341"/>
        <v>285</v>
      </c>
      <c r="D5177" t="str">
        <f>"23"</f>
        <v>23</v>
      </c>
      <c r="E5177" t="str">
        <f>"1-285-23"</f>
        <v>1-285-23</v>
      </c>
      <c r="F5177" t="s">
        <v>15</v>
      </c>
      <c r="G5177" t="s">
        <v>18</v>
      </c>
      <c r="H5177" t="s">
        <v>19</v>
      </c>
      <c r="I5177">
        <v>0</v>
      </c>
      <c r="J5177">
        <v>0</v>
      </c>
      <c r="K5177">
        <v>0</v>
      </c>
    </row>
    <row r="5178" spans="1:11" x14ac:dyDescent="0.25">
      <c r="A5178" t="str">
        <f>"6486"</f>
        <v>6486</v>
      </c>
      <c r="B5178" t="str">
        <f t="shared" si="339"/>
        <v>1</v>
      </c>
      <c r="C5178" t="str">
        <f t="shared" si="341"/>
        <v>285</v>
      </c>
      <c r="D5178" t="str">
        <f>"22"</f>
        <v>22</v>
      </c>
      <c r="E5178" t="str">
        <f>"1-285-22"</f>
        <v>1-285-22</v>
      </c>
      <c r="F5178" t="s">
        <v>15</v>
      </c>
      <c r="G5178" t="s">
        <v>18</v>
      </c>
      <c r="H5178" t="s">
        <v>19</v>
      </c>
      <c r="I5178">
        <v>0</v>
      </c>
      <c r="J5178">
        <v>0</v>
      </c>
      <c r="K5178">
        <v>0</v>
      </c>
    </row>
    <row r="5179" spans="1:11" x14ac:dyDescent="0.25">
      <c r="A5179" t="str">
        <f>"6487"</f>
        <v>6487</v>
      </c>
      <c r="B5179" t="str">
        <f t="shared" si="339"/>
        <v>1</v>
      </c>
      <c r="C5179" t="str">
        <f t="shared" ref="C5179:C5207" si="342">"286"</f>
        <v>286</v>
      </c>
      <c r="D5179" t="str">
        <f>"25"</f>
        <v>25</v>
      </c>
      <c r="E5179" t="str">
        <f>"1-286-25"</f>
        <v>1-286-25</v>
      </c>
      <c r="F5179" t="s">
        <v>15</v>
      </c>
      <c r="G5179" t="s">
        <v>20</v>
      </c>
      <c r="H5179" t="s">
        <v>21</v>
      </c>
      <c r="I5179">
        <v>0</v>
      </c>
      <c r="J5179">
        <v>0</v>
      </c>
      <c r="K5179">
        <v>1</v>
      </c>
    </row>
    <row r="5180" spans="1:11" x14ac:dyDescent="0.25">
      <c r="A5180" t="str">
        <f>"6488"</f>
        <v>6488</v>
      </c>
      <c r="B5180" t="str">
        <f t="shared" si="339"/>
        <v>1</v>
      </c>
      <c r="C5180" t="str">
        <f t="shared" si="342"/>
        <v>286</v>
      </c>
      <c r="D5180" t="str">
        <f>"5"</f>
        <v>5</v>
      </c>
      <c r="E5180" t="str">
        <f>"1-286-5"</f>
        <v>1-286-5</v>
      </c>
      <c r="F5180" t="s">
        <v>15</v>
      </c>
      <c r="G5180" t="s">
        <v>20</v>
      </c>
      <c r="H5180" t="s">
        <v>21</v>
      </c>
      <c r="I5180">
        <v>0</v>
      </c>
      <c r="J5180">
        <v>0</v>
      </c>
      <c r="K5180">
        <v>1</v>
      </c>
    </row>
    <row r="5181" spans="1:11" x14ac:dyDescent="0.25">
      <c r="A5181" t="str">
        <f>"6489"</f>
        <v>6489</v>
      </c>
      <c r="B5181" t="str">
        <f t="shared" si="339"/>
        <v>1</v>
      </c>
      <c r="C5181" t="str">
        <f t="shared" si="342"/>
        <v>286</v>
      </c>
      <c r="D5181" t="str">
        <f>"20"</f>
        <v>20</v>
      </c>
      <c r="E5181" t="str">
        <f>"1-286-20"</f>
        <v>1-286-20</v>
      </c>
      <c r="F5181" t="s">
        <v>15</v>
      </c>
      <c r="G5181" t="s">
        <v>20</v>
      </c>
      <c r="H5181" t="s">
        <v>21</v>
      </c>
      <c r="I5181">
        <v>1</v>
      </c>
      <c r="J5181">
        <v>0</v>
      </c>
      <c r="K5181">
        <v>0</v>
      </c>
    </row>
    <row r="5182" spans="1:11" x14ac:dyDescent="0.25">
      <c r="A5182" t="str">
        <f>"6490"</f>
        <v>6490</v>
      </c>
      <c r="B5182" t="str">
        <f t="shared" ref="B5182:B5240" si="343">"1"</f>
        <v>1</v>
      </c>
      <c r="C5182" t="str">
        <f t="shared" si="342"/>
        <v>286</v>
      </c>
      <c r="D5182" t="str">
        <f>"16"</f>
        <v>16</v>
      </c>
      <c r="E5182" t="str">
        <f>"1-286-16"</f>
        <v>1-286-16</v>
      </c>
      <c r="F5182" t="s">
        <v>15</v>
      </c>
      <c r="G5182" t="s">
        <v>20</v>
      </c>
      <c r="H5182" t="s">
        <v>21</v>
      </c>
      <c r="I5182">
        <v>0</v>
      </c>
      <c r="J5182">
        <v>1</v>
      </c>
      <c r="K5182">
        <v>0</v>
      </c>
    </row>
    <row r="5183" spans="1:11" x14ac:dyDescent="0.25">
      <c r="A5183" t="str">
        <f>"6491"</f>
        <v>6491</v>
      </c>
      <c r="B5183" t="str">
        <f t="shared" si="343"/>
        <v>1</v>
      </c>
      <c r="C5183" t="str">
        <f t="shared" si="342"/>
        <v>286</v>
      </c>
      <c r="D5183" t="str">
        <f>"9"</f>
        <v>9</v>
      </c>
      <c r="E5183" t="str">
        <f>"1-286-9"</f>
        <v>1-286-9</v>
      </c>
      <c r="F5183" t="s">
        <v>15</v>
      </c>
      <c r="G5183" t="s">
        <v>20</v>
      </c>
      <c r="H5183" t="s">
        <v>21</v>
      </c>
      <c r="I5183">
        <v>0</v>
      </c>
      <c r="J5183">
        <v>0</v>
      </c>
      <c r="K5183">
        <v>1</v>
      </c>
    </row>
    <row r="5184" spans="1:11" x14ac:dyDescent="0.25">
      <c r="A5184" t="str">
        <f>"6493"</f>
        <v>6493</v>
      </c>
      <c r="B5184" t="str">
        <f t="shared" si="343"/>
        <v>1</v>
      </c>
      <c r="C5184" t="str">
        <f t="shared" si="342"/>
        <v>286</v>
      </c>
      <c r="D5184" t="str">
        <f>"17"</f>
        <v>17</v>
      </c>
      <c r="E5184" t="str">
        <f>"1-286-17"</f>
        <v>1-286-17</v>
      </c>
      <c r="F5184" t="s">
        <v>15</v>
      </c>
      <c r="G5184" t="s">
        <v>20</v>
      </c>
      <c r="H5184" t="s">
        <v>21</v>
      </c>
      <c r="I5184">
        <v>0</v>
      </c>
      <c r="J5184">
        <v>1</v>
      </c>
      <c r="K5184">
        <v>0</v>
      </c>
    </row>
    <row r="5185" spans="1:11" x14ac:dyDescent="0.25">
      <c r="A5185" t="str">
        <f>"6494"</f>
        <v>6494</v>
      </c>
      <c r="B5185" t="str">
        <f t="shared" si="343"/>
        <v>1</v>
      </c>
      <c r="C5185" t="str">
        <f t="shared" si="342"/>
        <v>286</v>
      </c>
      <c r="D5185" t="str">
        <f>"1"</f>
        <v>1</v>
      </c>
      <c r="E5185" t="str">
        <f>"1-286-1"</f>
        <v>1-286-1</v>
      </c>
      <c r="F5185" t="s">
        <v>15</v>
      </c>
      <c r="G5185" t="s">
        <v>20</v>
      </c>
      <c r="H5185" t="s">
        <v>21</v>
      </c>
      <c r="I5185">
        <v>0</v>
      </c>
      <c r="J5185">
        <v>1</v>
      </c>
      <c r="K5185">
        <v>0</v>
      </c>
    </row>
    <row r="5186" spans="1:11" x14ac:dyDescent="0.25">
      <c r="A5186" t="str">
        <f>"6495"</f>
        <v>6495</v>
      </c>
      <c r="B5186" t="str">
        <f t="shared" si="343"/>
        <v>1</v>
      </c>
      <c r="C5186" t="str">
        <f t="shared" si="342"/>
        <v>286</v>
      </c>
      <c r="D5186" t="str">
        <f>"18"</f>
        <v>18</v>
      </c>
      <c r="E5186" t="str">
        <f>"1-286-18"</f>
        <v>1-286-18</v>
      </c>
      <c r="F5186" t="s">
        <v>15</v>
      </c>
      <c r="G5186" t="s">
        <v>20</v>
      </c>
      <c r="H5186" t="s">
        <v>21</v>
      </c>
      <c r="I5186">
        <v>0</v>
      </c>
      <c r="J5186">
        <v>0</v>
      </c>
      <c r="K5186">
        <v>1</v>
      </c>
    </row>
    <row r="5187" spans="1:11" x14ac:dyDescent="0.25">
      <c r="A5187" t="str">
        <f>"6496"</f>
        <v>6496</v>
      </c>
      <c r="B5187" t="str">
        <f t="shared" si="343"/>
        <v>1</v>
      </c>
      <c r="C5187" t="str">
        <f t="shared" si="342"/>
        <v>286</v>
      </c>
      <c r="D5187" t="str">
        <f>"8"</f>
        <v>8</v>
      </c>
      <c r="E5187" t="str">
        <f>"1-286-8"</f>
        <v>1-286-8</v>
      </c>
      <c r="F5187" t="s">
        <v>15</v>
      </c>
      <c r="G5187" t="s">
        <v>20</v>
      </c>
      <c r="H5187" t="s">
        <v>21</v>
      </c>
      <c r="I5187">
        <v>0</v>
      </c>
      <c r="J5187">
        <v>0</v>
      </c>
      <c r="K5187">
        <v>1</v>
      </c>
    </row>
    <row r="5188" spans="1:11" x14ac:dyDescent="0.25">
      <c r="A5188" t="str">
        <f>"6497"</f>
        <v>6497</v>
      </c>
      <c r="B5188" t="str">
        <f t="shared" si="343"/>
        <v>1</v>
      </c>
      <c r="C5188" t="str">
        <f t="shared" si="342"/>
        <v>286</v>
      </c>
      <c r="D5188" t="str">
        <f>"3"</f>
        <v>3</v>
      </c>
      <c r="E5188" t="str">
        <f>"1-286-3"</f>
        <v>1-286-3</v>
      </c>
      <c r="F5188" t="s">
        <v>15</v>
      </c>
      <c r="G5188" t="s">
        <v>20</v>
      </c>
      <c r="H5188" t="s">
        <v>21</v>
      </c>
      <c r="I5188">
        <v>0</v>
      </c>
      <c r="J5188">
        <v>0</v>
      </c>
      <c r="K5188">
        <v>1</v>
      </c>
    </row>
    <row r="5189" spans="1:11" x14ac:dyDescent="0.25">
      <c r="A5189" t="str">
        <f>"6498"</f>
        <v>6498</v>
      </c>
      <c r="B5189" t="str">
        <f t="shared" si="343"/>
        <v>1</v>
      </c>
      <c r="C5189" t="str">
        <f t="shared" si="342"/>
        <v>286</v>
      </c>
      <c r="D5189" t="str">
        <f>"21"</f>
        <v>21</v>
      </c>
      <c r="E5189" t="str">
        <f>"1-286-21"</f>
        <v>1-286-21</v>
      </c>
      <c r="F5189" t="s">
        <v>15</v>
      </c>
      <c r="G5189" t="s">
        <v>20</v>
      </c>
      <c r="H5189" t="s">
        <v>21</v>
      </c>
      <c r="I5189">
        <v>1</v>
      </c>
      <c r="J5189">
        <v>0</v>
      </c>
      <c r="K5189">
        <v>0</v>
      </c>
    </row>
    <row r="5190" spans="1:11" x14ac:dyDescent="0.25">
      <c r="A5190" t="str">
        <f>"6499"</f>
        <v>6499</v>
      </c>
      <c r="B5190" t="str">
        <f t="shared" si="343"/>
        <v>1</v>
      </c>
      <c r="C5190" t="str">
        <f t="shared" si="342"/>
        <v>286</v>
      </c>
      <c r="D5190" t="str">
        <f>"7"</f>
        <v>7</v>
      </c>
      <c r="E5190" t="str">
        <f>"1-286-7"</f>
        <v>1-286-7</v>
      </c>
      <c r="F5190" t="s">
        <v>15</v>
      </c>
      <c r="G5190" t="s">
        <v>20</v>
      </c>
      <c r="H5190" t="s">
        <v>21</v>
      </c>
      <c r="I5190">
        <v>0</v>
      </c>
      <c r="J5190">
        <v>1</v>
      </c>
      <c r="K5190">
        <v>0</v>
      </c>
    </row>
    <row r="5191" spans="1:11" x14ac:dyDescent="0.25">
      <c r="A5191" t="str">
        <f>"6500"</f>
        <v>6500</v>
      </c>
      <c r="B5191" t="str">
        <f t="shared" si="343"/>
        <v>1</v>
      </c>
      <c r="C5191" t="str">
        <f t="shared" si="342"/>
        <v>286</v>
      </c>
      <c r="D5191" t="str">
        <f>"22"</f>
        <v>22</v>
      </c>
      <c r="E5191" t="str">
        <f>"1-286-22"</f>
        <v>1-286-22</v>
      </c>
      <c r="F5191" t="s">
        <v>15</v>
      </c>
      <c r="G5191" t="s">
        <v>20</v>
      </c>
      <c r="H5191" t="s">
        <v>21</v>
      </c>
      <c r="I5191">
        <v>1</v>
      </c>
      <c r="J5191">
        <v>0</v>
      </c>
      <c r="K5191">
        <v>0</v>
      </c>
    </row>
    <row r="5192" spans="1:11" x14ac:dyDescent="0.25">
      <c r="A5192" t="str">
        <f>"6501"</f>
        <v>6501</v>
      </c>
      <c r="B5192" t="str">
        <f t="shared" si="343"/>
        <v>1</v>
      </c>
      <c r="C5192" t="str">
        <f t="shared" si="342"/>
        <v>286</v>
      </c>
      <c r="D5192" t="str">
        <f>"12"</f>
        <v>12</v>
      </c>
      <c r="E5192" t="str">
        <f>"1-286-12"</f>
        <v>1-286-12</v>
      </c>
      <c r="F5192" t="s">
        <v>15</v>
      </c>
      <c r="G5192" t="s">
        <v>20</v>
      </c>
      <c r="H5192" t="s">
        <v>21</v>
      </c>
      <c r="I5192">
        <v>0</v>
      </c>
      <c r="J5192">
        <v>1</v>
      </c>
      <c r="K5192">
        <v>0</v>
      </c>
    </row>
    <row r="5193" spans="1:11" x14ac:dyDescent="0.25">
      <c r="A5193" t="str">
        <f>"6503"</f>
        <v>6503</v>
      </c>
      <c r="B5193" t="str">
        <f t="shared" si="343"/>
        <v>1</v>
      </c>
      <c r="C5193" t="str">
        <f t="shared" si="342"/>
        <v>286</v>
      </c>
      <c r="D5193" t="str">
        <f>"24"</f>
        <v>24</v>
      </c>
      <c r="E5193" t="str">
        <f>"1-286-24"</f>
        <v>1-286-24</v>
      </c>
      <c r="F5193" t="s">
        <v>15</v>
      </c>
      <c r="G5193" t="s">
        <v>20</v>
      </c>
      <c r="H5193" t="s">
        <v>21</v>
      </c>
      <c r="I5193">
        <v>1</v>
      </c>
      <c r="J5193">
        <v>0</v>
      </c>
      <c r="K5193">
        <v>0</v>
      </c>
    </row>
    <row r="5194" spans="1:11" x14ac:dyDescent="0.25">
      <c r="A5194" t="str">
        <f>"6504"</f>
        <v>6504</v>
      </c>
      <c r="B5194" t="str">
        <f t="shared" si="343"/>
        <v>1</v>
      </c>
      <c r="C5194" t="str">
        <f t="shared" si="342"/>
        <v>286</v>
      </c>
      <c r="D5194" t="str">
        <f>"10"</f>
        <v>10</v>
      </c>
      <c r="E5194" t="str">
        <f>"1-286-10"</f>
        <v>1-286-10</v>
      </c>
      <c r="F5194" t="s">
        <v>15</v>
      </c>
      <c r="G5194" t="s">
        <v>20</v>
      </c>
      <c r="H5194" t="s">
        <v>21</v>
      </c>
      <c r="I5194">
        <v>1</v>
      </c>
      <c r="J5194">
        <v>0</v>
      </c>
      <c r="K5194">
        <v>0</v>
      </c>
    </row>
    <row r="5195" spans="1:11" x14ac:dyDescent="0.25">
      <c r="A5195" t="str">
        <f>"6505"</f>
        <v>6505</v>
      </c>
      <c r="B5195" t="str">
        <f t="shared" si="343"/>
        <v>1</v>
      </c>
      <c r="C5195" t="str">
        <f t="shared" si="342"/>
        <v>286</v>
      </c>
      <c r="D5195" t="str">
        <f>"26"</f>
        <v>26</v>
      </c>
      <c r="E5195" t="str">
        <f>"1-286-26"</f>
        <v>1-286-26</v>
      </c>
      <c r="F5195" t="s">
        <v>15</v>
      </c>
      <c r="G5195" t="s">
        <v>20</v>
      </c>
      <c r="H5195" t="s">
        <v>21</v>
      </c>
      <c r="I5195">
        <v>0</v>
      </c>
      <c r="J5195">
        <v>0</v>
      </c>
      <c r="K5195">
        <v>1</v>
      </c>
    </row>
    <row r="5196" spans="1:11" x14ac:dyDescent="0.25">
      <c r="A5196" t="str">
        <f>"6506"</f>
        <v>6506</v>
      </c>
      <c r="B5196" t="str">
        <f t="shared" si="343"/>
        <v>1</v>
      </c>
      <c r="C5196" t="str">
        <f t="shared" si="342"/>
        <v>286</v>
      </c>
      <c r="D5196" t="str">
        <f>"2"</f>
        <v>2</v>
      </c>
      <c r="E5196" t="str">
        <f>"1-286-2"</f>
        <v>1-286-2</v>
      </c>
      <c r="F5196" t="s">
        <v>15</v>
      </c>
      <c r="G5196" t="s">
        <v>20</v>
      </c>
      <c r="H5196" t="s">
        <v>21</v>
      </c>
      <c r="I5196">
        <v>0</v>
      </c>
      <c r="J5196">
        <v>1</v>
      </c>
      <c r="K5196">
        <v>0</v>
      </c>
    </row>
    <row r="5197" spans="1:11" x14ac:dyDescent="0.25">
      <c r="A5197" t="str">
        <f>"6507"</f>
        <v>6507</v>
      </c>
      <c r="B5197" t="str">
        <f t="shared" si="343"/>
        <v>1</v>
      </c>
      <c r="C5197" t="str">
        <f t="shared" si="342"/>
        <v>286</v>
      </c>
      <c r="D5197" t="str">
        <f>"27"</f>
        <v>27</v>
      </c>
      <c r="E5197" t="str">
        <f>"1-286-27"</f>
        <v>1-286-27</v>
      </c>
      <c r="F5197" t="s">
        <v>15</v>
      </c>
      <c r="G5197" t="s">
        <v>20</v>
      </c>
      <c r="H5197" t="s">
        <v>21</v>
      </c>
      <c r="I5197">
        <v>0</v>
      </c>
      <c r="J5197">
        <v>0</v>
      </c>
      <c r="K5197">
        <v>1</v>
      </c>
    </row>
    <row r="5198" spans="1:11" x14ac:dyDescent="0.25">
      <c r="A5198" t="str">
        <f>"6508"</f>
        <v>6508</v>
      </c>
      <c r="B5198" t="str">
        <f t="shared" si="343"/>
        <v>1</v>
      </c>
      <c r="C5198" t="str">
        <f t="shared" si="342"/>
        <v>286</v>
      </c>
      <c r="D5198" t="str">
        <f>"13"</f>
        <v>13</v>
      </c>
      <c r="E5198" t="str">
        <f>"1-286-13"</f>
        <v>1-286-13</v>
      </c>
      <c r="F5198" t="s">
        <v>15</v>
      </c>
      <c r="G5198" t="s">
        <v>20</v>
      </c>
      <c r="H5198" t="s">
        <v>21</v>
      </c>
      <c r="I5198">
        <v>0</v>
      </c>
      <c r="J5198">
        <v>0</v>
      </c>
      <c r="K5198">
        <v>1</v>
      </c>
    </row>
    <row r="5199" spans="1:11" x14ac:dyDescent="0.25">
      <c r="A5199" t="str">
        <f>"6509"</f>
        <v>6509</v>
      </c>
      <c r="B5199" t="str">
        <f t="shared" si="343"/>
        <v>1</v>
      </c>
      <c r="C5199" t="str">
        <f t="shared" si="342"/>
        <v>286</v>
      </c>
      <c r="D5199" t="str">
        <f>"29"</f>
        <v>29</v>
      </c>
      <c r="E5199" t="str">
        <f>"1-286-29"</f>
        <v>1-286-29</v>
      </c>
      <c r="F5199" t="s">
        <v>15</v>
      </c>
      <c r="G5199" t="s">
        <v>20</v>
      </c>
      <c r="H5199" t="s">
        <v>21</v>
      </c>
      <c r="I5199">
        <v>1</v>
      </c>
      <c r="J5199">
        <v>0</v>
      </c>
      <c r="K5199">
        <v>0</v>
      </c>
    </row>
    <row r="5200" spans="1:11" x14ac:dyDescent="0.25">
      <c r="A5200" t="str">
        <f>"6510"</f>
        <v>6510</v>
      </c>
      <c r="B5200" t="str">
        <f t="shared" si="343"/>
        <v>1</v>
      </c>
      <c r="C5200" t="str">
        <f t="shared" si="342"/>
        <v>286</v>
      </c>
      <c r="D5200" t="str">
        <f>"6"</f>
        <v>6</v>
      </c>
      <c r="E5200" t="str">
        <f>"1-286-6"</f>
        <v>1-286-6</v>
      </c>
      <c r="F5200" t="s">
        <v>15</v>
      </c>
      <c r="G5200" t="s">
        <v>20</v>
      </c>
      <c r="H5200" t="s">
        <v>21</v>
      </c>
      <c r="I5200">
        <v>0</v>
      </c>
      <c r="J5200">
        <v>1</v>
      </c>
      <c r="K5200">
        <v>0</v>
      </c>
    </row>
    <row r="5201" spans="1:11" x14ac:dyDescent="0.25">
      <c r="A5201" t="str">
        <f>"6511"</f>
        <v>6511</v>
      </c>
      <c r="B5201" t="str">
        <f t="shared" si="343"/>
        <v>1</v>
      </c>
      <c r="C5201" t="str">
        <f t="shared" si="342"/>
        <v>286</v>
      </c>
      <c r="D5201" t="str">
        <f>"30"</f>
        <v>30</v>
      </c>
      <c r="E5201" t="str">
        <f>"1-286-30"</f>
        <v>1-286-30</v>
      </c>
      <c r="F5201" t="s">
        <v>15</v>
      </c>
      <c r="G5201" t="s">
        <v>20</v>
      </c>
      <c r="H5201" t="s">
        <v>21</v>
      </c>
      <c r="I5201">
        <v>0</v>
      </c>
      <c r="J5201">
        <v>0</v>
      </c>
      <c r="K5201">
        <v>1</v>
      </c>
    </row>
    <row r="5202" spans="1:11" x14ac:dyDescent="0.25">
      <c r="A5202" t="str">
        <f>"6512"</f>
        <v>6512</v>
      </c>
      <c r="B5202" t="str">
        <f t="shared" si="343"/>
        <v>1</v>
      </c>
      <c r="C5202" t="str">
        <f t="shared" si="342"/>
        <v>286</v>
      </c>
      <c r="D5202" t="str">
        <f>"11"</f>
        <v>11</v>
      </c>
      <c r="E5202" t="str">
        <f>"1-286-11"</f>
        <v>1-286-11</v>
      </c>
      <c r="F5202" t="s">
        <v>15</v>
      </c>
      <c r="G5202" t="s">
        <v>20</v>
      </c>
      <c r="H5202" t="s">
        <v>21</v>
      </c>
      <c r="I5202">
        <v>0</v>
      </c>
      <c r="J5202">
        <v>0</v>
      </c>
      <c r="K5202">
        <v>1</v>
      </c>
    </row>
    <row r="5203" spans="1:11" x14ac:dyDescent="0.25">
      <c r="A5203" t="str">
        <f>"6513"</f>
        <v>6513</v>
      </c>
      <c r="B5203" t="str">
        <f t="shared" si="343"/>
        <v>1</v>
      </c>
      <c r="C5203" t="str">
        <f t="shared" si="342"/>
        <v>286</v>
      </c>
      <c r="D5203" t="str">
        <f>"4"</f>
        <v>4</v>
      </c>
      <c r="E5203" t="str">
        <f>"1-286-4"</f>
        <v>1-286-4</v>
      </c>
      <c r="F5203" t="s">
        <v>15</v>
      </c>
      <c r="G5203" t="s">
        <v>20</v>
      </c>
      <c r="H5203" t="s">
        <v>21</v>
      </c>
      <c r="I5203">
        <v>0</v>
      </c>
      <c r="J5203">
        <v>0</v>
      </c>
      <c r="K5203">
        <v>0</v>
      </c>
    </row>
    <row r="5204" spans="1:11" x14ac:dyDescent="0.25">
      <c r="A5204" t="str">
        <f>"6514"</f>
        <v>6514</v>
      </c>
      <c r="B5204" t="str">
        <f t="shared" si="343"/>
        <v>1</v>
      </c>
      <c r="C5204" t="str">
        <f t="shared" si="342"/>
        <v>286</v>
      </c>
      <c r="D5204" t="str">
        <f>"14"</f>
        <v>14</v>
      </c>
      <c r="E5204" t="str">
        <f>"1-286-14"</f>
        <v>1-286-14</v>
      </c>
      <c r="F5204" t="s">
        <v>15</v>
      </c>
      <c r="G5204" t="s">
        <v>20</v>
      </c>
      <c r="H5204" t="s">
        <v>21</v>
      </c>
      <c r="I5204">
        <v>0</v>
      </c>
      <c r="J5204">
        <v>0</v>
      </c>
      <c r="K5204">
        <v>0</v>
      </c>
    </row>
    <row r="5205" spans="1:11" x14ac:dyDescent="0.25">
      <c r="A5205" t="str">
        <f>"6515"</f>
        <v>6515</v>
      </c>
      <c r="B5205" t="str">
        <f t="shared" si="343"/>
        <v>1</v>
      </c>
      <c r="C5205" t="str">
        <f t="shared" si="342"/>
        <v>286</v>
      </c>
      <c r="D5205" t="str">
        <f>"19"</f>
        <v>19</v>
      </c>
      <c r="E5205" t="str">
        <f>"1-286-19"</f>
        <v>1-286-19</v>
      </c>
      <c r="F5205" t="s">
        <v>15</v>
      </c>
      <c r="G5205" t="s">
        <v>20</v>
      </c>
      <c r="H5205" t="s">
        <v>21</v>
      </c>
      <c r="I5205">
        <v>0</v>
      </c>
      <c r="J5205">
        <v>0</v>
      </c>
      <c r="K5205">
        <v>0</v>
      </c>
    </row>
    <row r="5206" spans="1:11" x14ac:dyDescent="0.25">
      <c r="A5206" t="str">
        <f>"6516"</f>
        <v>6516</v>
      </c>
      <c r="B5206" t="str">
        <f t="shared" si="343"/>
        <v>1</v>
      </c>
      <c r="C5206" t="str">
        <f t="shared" si="342"/>
        <v>286</v>
      </c>
      <c r="D5206" t="str">
        <f>"28"</f>
        <v>28</v>
      </c>
      <c r="E5206" t="str">
        <f>"1-286-28"</f>
        <v>1-286-28</v>
      </c>
      <c r="F5206" t="s">
        <v>15</v>
      </c>
      <c r="G5206" t="s">
        <v>20</v>
      </c>
      <c r="H5206" t="s">
        <v>21</v>
      </c>
      <c r="I5206">
        <v>0</v>
      </c>
      <c r="J5206">
        <v>0</v>
      </c>
      <c r="K5206">
        <v>0</v>
      </c>
    </row>
    <row r="5207" spans="1:11" x14ac:dyDescent="0.25">
      <c r="A5207" t="str">
        <f>"6517"</f>
        <v>6517</v>
      </c>
      <c r="B5207" t="str">
        <f t="shared" si="343"/>
        <v>1</v>
      </c>
      <c r="C5207" t="str">
        <f t="shared" si="342"/>
        <v>286</v>
      </c>
      <c r="D5207" t="str">
        <f>"15"</f>
        <v>15</v>
      </c>
      <c r="E5207" t="str">
        <f>"1-286-15"</f>
        <v>1-286-15</v>
      </c>
      <c r="F5207" t="s">
        <v>15</v>
      </c>
      <c r="G5207" t="s">
        <v>20</v>
      </c>
      <c r="H5207" t="s">
        <v>21</v>
      </c>
      <c r="I5207">
        <v>0</v>
      </c>
      <c r="J5207">
        <v>0</v>
      </c>
      <c r="K5207">
        <v>0</v>
      </c>
    </row>
    <row r="5208" spans="1:11" x14ac:dyDescent="0.25">
      <c r="A5208" t="str">
        <f>"6518"</f>
        <v>6518</v>
      </c>
      <c r="B5208" t="str">
        <f t="shared" si="343"/>
        <v>1</v>
      </c>
      <c r="C5208" t="str">
        <f t="shared" ref="C5208:C5223" si="344">"287"</f>
        <v>287</v>
      </c>
      <c r="D5208" t="str">
        <f>"17"</f>
        <v>17</v>
      </c>
      <c r="E5208" t="str">
        <f>"1-287-17"</f>
        <v>1-287-17</v>
      </c>
      <c r="F5208" t="s">
        <v>15</v>
      </c>
      <c r="G5208" t="s">
        <v>18</v>
      </c>
      <c r="H5208" t="s">
        <v>19</v>
      </c>
      <c r="I5208">
        <v>0</v>
      </c>
      <c r="J5208">
        <v>0</v>
      </c>
      <c r="K5208">
        <v>1</v>
      </c>
    </row>
    <row r="5209" spans="1:11" x14ac:dyDescent="0.25">
      <c r="A5209" t="str">
        <f>"6519"</f>
        <v>6519</v>
      </c>
      <c r="B5209" t="str">
        <f t="shared" si="343"/>
        <v>1</v>
      </c>
      <c r="C5209" t="str">
        <f t="shared" si="344"/>
        <v>287</v>
      </c>
      <c r="D5209" t="str">
        <f>"15"</f>
        <v>15</v>
      </c>
      <c r="E5209" t="str">
        <f>"1-287-15"</f>
        <v>1-287-15</v>
      </c>
      <c r="F5209" t="s">
        <v>15</v>
      </c>
      <c r="G5209" t="s">
        <v>16</v>
      </c>
      <c r="H5209" t="s">
        <v>17</v>
      </c>
      <c r="I5209">
        <v>1</v>
      </c>
      <c r="J5209">
        <v>0</v>
      </c>
      <c r="K5209">
        <v>0</v>
      </c>
    </row>
    <row r="5210" spans="1:11" x14ac:dyDescent="0.25">
      <c r="A5210" t="str">
        <f>"6520"</f>
        <v>6520</v>
      </c>
      <c r="B5210" t="str">
        <f t="shared" si="343"/>
        <v>1</v>
      </c>
      <c r="C5210" t="str">
        <f t="shared" si="344"/>
        <v>287</v>
      </c>
      <c r="D5210" t="str">
        <f>"1"</f>
        <v>1</v>
      </c>
      <c r="E5210" t="str">
        <f>"1-287-1"</f>
        <v>1-287-1</v>
      </c>
      <c r="F5210" t="s">
        <v>15</v>
      </c>
      <c r="G5210" t="s">
        <v>16</v>
      </c>
      <c r="H5210" t="s">
        <v>17</v>
      </c>
      <c r="I5210">
        <v>0</v>
      </c>
      <c r="J5210">
        <v>0</v>
      </c>
      <c r="K5210">
        <v>1</v>
      </c>
    </row>
    <row r="5211" spans="1:11" x14ac:dyDescent="0.25">
      <c r="A5211" t="str">
        <f>"6521"</f>
        <v>6521</v>
      </c>
      <c r="B5211" t="str">
        <f t="shared" si="343"/>
        <v>1</v>
      </c>
      <c r="C5211" t="str">
        <f t="shared" si="344"/>
        <v>287</v>
      </c>
      <c r="D5211" t="str">
        <f>"16"</f>
        <v>16</v>
      </c>
      <c r="E5211" t="str">
        <f>"1-287-16"</f>
        <v>1-287-16</v>
      </c>
      <c r="F5211" t="s">
        <v>15</v>
      </c>
      <c r="G5211" t="s">
        <v>18</v>
      </c>
      <c r="H5211" t="s">
        <v>19</v>
      </c>
      <c r="I5211">
        <v>0</v>
      </c>
      <c r="J5211">
        <v>0</v>
      </c>
      <c r="K5211">
        <v>1</v>
      </c>
    </row>
    <row r="5212" spans="1:11" x14ac:dyDescent="0.25">
      <c r="A5212" t="str">
        <f>"6522"</f>
        <v>6522</v>
      </c>
      <c r="B5212" t="str">
        <f t="shared" si="343"/>
        <v>1</v>
      </c>
      <c r="C5212" t="str">
        <f t="shared" si="344"/>
        <v>287</v>
      </c>
      <c r="D5212" t="str">
        <f>"5"</f>
        <v>5</v>
      </c>
      <c r="E5212" t="str">
        <f>"1-287-5"</f>
        <v>1-287-5</v>
      </c>
      <c r="F5212" t="s">
        <v>15</v>
      </c>
      <c r="G5212" t="s">
        <v>18</v>
      </c>
      <c r="H5212" t="s">
        <v>19</v>
      </c>
      <c r="I5212">
        <v>0</v>
      </c>
      <c r="J5212">
        <v>0</v>
      </c>
      <c r="K5212">
        <v>1</v>
      </c>
    </row>
    <row r="5213" spans="1:11" x14ac:dyDescent="0.25">
      <c r="A5213" t="str">
        <f>"6524"</f>
        <v>6524</v>
      </c>
      <c r="B5213" t="str">
        <f t="shared" si="343"/>
        <v>1</v>
      </c>
      <c r="C5213" t="str">
        <f t="shared" si="344"/>
        <v>287</v>
      </c>
      <c r="D5213" t="str">
        <f>"19"</f>
        <v>19</v>
      </c>
      <c r="E5213" t="str">
        <f>"1-287-19"</f>
        <v>1-287-19</v>
      </c>
      <c r="F5213" t="s">
        <v>15</v>
      </c>
      <c r="G5213" t="s">
        <v>18</v>
      </c>
      <c r="H5213" t="s">
        <v>19</v>
      </c>
      <c r="I5213">
        <v>0</v>
      </c>
      <c r="J5213">
        <v>0</v>
      </c>
      <c r="K5213">
        <v>1</v>
      </c>
    </row>
    <row r="5214" spans="1:11" x14ac:dyDescent="0.25">
      <c r="A5214" t="str">
        <f>"6527"</f>
        <v>6527</v>
      </c>
      <c r="B5214" t="str">
        <f t="shared" si="343"/>
        <v>1</v>
      </c>
      <c r="C5214" t="str">
        <f t="shared" si="344"/>
        <v>287</v>
      </c>
      <c r="D5214" t="str">
        <f>"2"</f>
        <v>2</v>
      </c>
      <c r="E5214" t="str">
        <f>"1-287-2"</f>
        <v>1-287-2</v>
      </c>
      <c r="F5214" t="s">
        <v>15</v>
      </c>
      <c r="G5214" t="s">
        <v>16</v>
      </c>
      <c r="H5214" t="s">
        <v>17</v>
      </c>
      <c r="I5214">
        <v>0</v>
      </c>
      <c r="J5214">
        <v>1</v>
      </c>
      <c r="K5214">
        <v>0</v>
      </c>
    </row>
    <row r="5215" spans="1:11" x14ac:dyDescent="0.25">
      <c r="A5215" t="str">
        <f>"6528"</f>
        <v>6528</v>
      </c>
      <c r="B5215" t="str">
        <f t="shared" si="343"/>
        <v>1</v>
      </c>
      <c r="C5215" t="str">
        <f t="shared" si="344"/>
        <v>287</v>
      </c>
      <c r="D5215" t="str">
        <f>"11"</f>
        <v>11</v>
      </c>
      <c r="E5215" t="str">
        <f>"1-287-11"</f>
        <v>1-287-11</v>
      </c>
      <c r="F5215" t="s">
        <v>15</v>
      </c>
      <c r="G5215" t="s">
        <v>16</v>
      </c>
      <c r="H5215" t="s">
        <v>17</v>
      </c>
      <c r="I5215">
        <v>0</v>
      </c>
      <c r="J5215">
        <v>1</v>
      </c>
      <c r="K5215">
        <v>0</v>
      </c>
    </row>
    <row r="5216" spans="1:11" x14ac:dyDescent="0.25">
      <c r="A5216" t="str">
        <f>"6529"</f>
        <v>6529</v>
      </c>
      <c r="B5216" t="str">
        <f t="shared" si="343"/>
        <v>1</v>
      </c>
      <c r="C5216" t="str">
        <f t="shared" si="344"/>
        <v>287</v>
      </c>
      <c r="D5216" t="str">
        <f>"14"</f>
        <v>14</v>
      </c>
      <c r="E5216" t="str">
        <f>"1-287-14"</f>
        <v>1-287-14</v>
      </c>
      <c r="F5216" t="s">
        <v>15</v>
      </c>
      <c r="G5216" t="s">
        <v>16</v>
      </c>
      <c r="H5216" t="s">
        <v>17</v>
      </c>
      <c r="I5216">
        <v>0</v>
      </c>
      <c r="J5216">
        <v>0</v>
      </c>
      <c r="K5216">
        <v>1</v>
      </c>
    </row>
    <row r="5217" spans="1:11" x14ac:dyDescent="0.25">
      <c r="A5217" t="str">
        <f>"6530"</f>
        <v>6530</v>
      </c>
      <c r="B5217" t="str">
        <f t="shared" si="343"/>
        <v>1</v>
      </c>
      <c r="C5217" t="str">
        <f t="shared" si="344"/>
        <v>287</v>
      </c>
      <c r="D5217" t="str">
        <f>"7"</f>
        <v>7</v>
      </c>
      <c r="E5217" t="str">
        <f>"1-287-7"</f>
        <v>1-287-7</v>
      </c>
      <c r="F5217" t="s">
        <v>15</v>
      </c>
      <c r="G5217" t="s">
        <v>16</v>
      </c>
      <c r="H5217" t="s">
        <v>17</v>
      </c>
      <c r="I5217">
        <v>1</v>
      </c>
      <c r="J5217">
        <v>0</v>
      </c>
      <c r="K5217">
        <v>0</v>
      </c>
    </row>
    <row r="5218" spans="1:11" x14ac:dyDescent="0.25">
      <c r="A5218" t="str">
        <f>"6531"</f>
        <v>6531</v>
      </c>
      <c r="B5218" t="str">
        <f t="shared" si="343"/>
        <v>1</v>
      </c>
      <c r="C5218" t="str">
        <f t="shared" si="344"/>
        <v>287</v>
      </c>
      <c r="D5218" t="str">
        <f>"4"</f>
        <v>4</v>
      </c>
      <c r="E5218" t="str">
        <f>"1-287-4"</f>
        <v>1-287-4</v>
      </c>
      <c r="F5218" t="s">
        <v>15</v>
      </c>
      <c r="G5218" t="s">
        <v>16</v>
      </c>
      <c r="H5218" t="s">
        <v>17</v>
      </c>
      <c r="I5218">
        <v>1</v>
      </c>
      <c r="J5218">
        <v>0</v>
      </c>
      <c r="K5218">
        <v>0</v>
      </c>
    </row>
    <row r="5219" spans="1:11" x14ac:dyDescent="0.25">
      <c r="A5219" t="str">
        <f>"6532"</f>
        <v>6532</v>
      </c>
      <c r="B5219" t="str">
        <f t="shared" si="343"/>
        <v>1</v>
      </c>
      <c r="C5219" t="str">
        <f t="shared" si="344"/>
        <v>287</v>
      </c>
      <c r="D5219" t="str">
        <f>"13"</f>
        <v>13</v>
      </c>
      <c r="E5219" t="str">
        <f>"1-287-13"</f>
        <v>1-287-13</v>
      </c>
      <c r="F5219" t="s">
        <v>15</v>
      </c>
      <c r="G5219" t="s">
        <v>16</v>
      </c>
      <c r="H5219" t="s">
        <v>17</v>
      </c>
      <c r="I5219">
        <v>0</v>
      </c>
      <c r="J5219">
        <v>1</v>
      </c>
      <c r="K5219">
        <v>0</v>
      </c>
    </row>
    <row r="5220" spans="1:11" x14ac:dyDescent="0.25">
      <c r="A5220" t="str">
        <f>"6533"</f>
        <v>6533</v>
      </c>
      <c r="B5220" t="str">
        <f t="shared" si="343"/>
        <v>1</v>
      </c>
      <c r="C5220" t="str">
        <f t="shared" si="344"/>
        <v>287</v>
      </c>
      <c r="D5220" t="str">
        <f>"3"</f>
        <v>3</v>
      </c>
      <c r="E5220" t="str">
        <f>"1-287-3"</f>
        <v>1-287-3</v>
      </c>
      <c r="F5220" t="s">
        <v>15</v>
      </c>
      <c r="G5220" t="s">
        <v>16</v>
      </c>
      <c r="H5220" t="s">
        <v>17</v>
      </c>
      <c r="I5220">
        <v>0</v>
      </c>
      <c r="J5220">
        <v>0</v>
      </c>
      <c r="K5220">
        <v>1</v>
      </c>
    </row>
    <row r="5221" spans="1:11" x14ac:dyDescent="0.25">
      <c r="A5221" t="str">
        <f>"6534"</f>
        <v>6534</v>
      </c>
      <c r="B5221" t="str">
        <f t="shared" si="343"/>
        <v>1</v>
      </c>
      <c r="C5221" t="str">
        <f t="shared" si="344"/>
        <v>287</v>
      </c>
      <c r="D5221" t="str">
        <f>"8"</f>
        <v>8</v>
      </c>
      <c r="E5221" t="str">
        <f>"1-287-8"</f>
        <v>1-287-8</v>
      </c>
      <c r="F5221" t="s">
        <v>15</v>
      </c>
      <c r="G5221" t="s">
        <v>16</v>
      </c>
      <c r="H5221" t="s">
        <v>17</v>
      </c>
      <c r="I5221">
        <v>0</v>
      </c>
      <c r="J5221">
        <v>0</v>
      </c>
      <c r="K5221">
        <v>1</v>
      </c>
    </row>
    <row r="5222" spans="1:11" x14ac:dyDescent="0.25">
      <c r="A5222" t="str">
        <f>"6535"</f>
        <v>6535</v>
      </c>
      <c r="B5222" t="str">
        <f t="shared" si="343"/>
        <v>1</v>
      </c>
      <c r="C5222" t="str">
        <f t="shared" si="344"/>
        <v>287</v>
      </c>
      <c r="D5222" t="str">
        <f>"9"</f>
        <v>9</v>
      </c>
      <c r="E5222" t="str">
        <f>"1-287-9"</f>
        <v>1-287-9</v>
      </c>
      <c r="F5222" t="s">
        <v>15</v>
      </c>
      <c r="G5222" t="s">
        <v>16</v>
      </c>
      <c r="H5222" t="s">
        <v>17</v>
      </c>
      <c r="I5222">
        <v>0</v>
      </c>
      <c r="J5222">
        <v>0</v>
      </c>
      <c r="K5222">
        <v>0</v>
      </c>
    </row>
    <row r="5223" spans="1:11" x14ac:dyDescent="0.25">
      <c r="A5223" t="str">
        <f>"6536"</f>
        <v>6536</v>
      </c>
      <c r="B5223" t="str">
        <f t="shared" si="343"/>
        <v>1</v>
      </c>
      <c r="C5223" t="str">
        <f t="shared" si="344"/>
        <v>287</v>
      </c>
      <c r="D5223" t="str">
        <f>"18"</f>
        <v>18</v>
      </c>
      <c r="E5223" t="str">
        <f>"1-287-18"</f>
        <v>1-287-18</v>
      </c>
      <c r="F5223" t="s">
        <v>15</v>
      </c>
      <c r="G5223" t="s">
        <v>18</v>
      </c>
      <c r="H5223" t="s">
        <v>19</v>
      </c>
      <c r="I5223">
        <v>0</v>
      </c>
      <c r="J5223">
        <v>0</v>
      </c>
      <c r="K5223">
        <v>0</v>
      </c>
    </row>
    <row r="5224" spans="1:11" x14ac:dyDescent="0.25">
      <c r="A5224" t="str">
        <f>"6537"</f>
        <v>6537</v>
      </c>
      <c r="B5224" t="str">
        <f t="shared" si="343"/>
        <v>1</v>
      </c>
      <c r="C5224" t="str">
        <f t="shared" ref="C5224:C5251" si="345">"288"</f>
        <v>288</v>
      </c>
      <c r="D5224" t="str">
        <f>"23"</f>
        <v>23</v>
      </c>
      <c r="E5224" t="str">
        <f>"1-288-23"</f>
        <v>1-288-23</v>
      </c>
      <c r="F5224" t="s">
        <v>15</v>
      </c>
      <c r="G5224" t="s">
        <v>16</v>
      </c>
      <c r="H5224" t="s">
        <v>17</v>
      </c>
      <c r="I5224">
        <v>0</v>
      </c>
      <c r="J5224">
        <v>1</v>
      </c>
      <c r="K5224">
        <v>0</v>
      </c>
    </row>
    <row r="5225" spans="1:11" x14ac:dyDescent="0.25">
      <c r="A5225" t="str">
        <f>"6538"</f>
        <v>6538</v>
      </c>
      <c r="B5225" t="str">
        <f t="shared" si="343"/>
        <v>1</v>
      </c>
      <c r="C5225" t="str">
        <f t="shared" si="345"/>
        <v>288</v>
      </c>
      <c r="D5225" t="str">
        <f>"22"</f>
        <v>22</v>
      </c>
      <c r="E5225" t="str">
        <f>"1-288-22"</f>
        <v>1-288-22</v>
      </c>
      <c r="F5225" t="s">
        <v>15</v>
      </c>
      <c r="G5225" t="s">
        <v>16</v>
      </c>
      <c r="H5225" t="s">
        <v>17</v>
      </c>
      <c r="I5225">
        <v>1</v>
      </c>
      <c r="J5225">
        <v>0</v>
      </c>
      <c r="K5225">
        <v>0</v>
      </c>
    </row>
    <row r="5226" spans="1:11" x14ac:dyDescent="0.25">
      <c r="A5226" t="str">
        <f>"6539"</f>
        <v>6539</v>
      </c>
      <c r="B5226" t="str">
        <f t="shared" si="343"/>
        <v>1</v>
      </c>
      <c r="C5226" t="str">
        <f t="shared" si="345"/>
        <v>288</v>
      </c>
      <c r="D5226" t="str">
        <f>"17"</f>
        <v>17</v>
      </c>
      <c r="E5226" t="str">
        <f>"1-288-17"</f>
        <v>1-288-17</v>
      </c>
      <c r="F5226" t="s">
        <v>15</v>
      </c>
      <c r="G5226" t="s">
        <v>18</v>
      </c>
      <c r="H5226" t="s">
        <v>19</v>
      </c>
      <c r="I5226">
        <v>1</v>
      </c>
      <c r="J5226">
        <v>0</v>
      </c>
      <c r="K5226">
        <v>0</v>
      </c>
    </row>
    <row r="5227" spans="1:11" x14ac:dyDescent="0.25">
      <c r="A5227" t="str">
        <f>"6540"</f>
        <v>6540</v>
      </c>
      <c r="B5227" t="str">
        <f t="shared" si="343"/>
        <v>1</v>
      </c>
      <c r="C5227" t="str">
        <f t="shared" si="345"/>
        <v>288</v>
      </c>
      <c r="D5227" t="str">
        <f>"15"</f>
        <v>15</v>
      </c>
      <c r="E5227" t="str">
        <f>"1-288-15"</f>
        <v>1-288-15</v>
      </c>
      <c r="F5227" t="s">
        <v>15</v>
      </c>
      <c r="G5227" t="s">
        <v>16</v>
      </c>
      <c r="H5227" t="s">
        <v>17</v>
      </c>
      <c r="I5227">
        <v>0</v>
      </c>
      <c r="J5227">
        <v>0</v>
      </c>
      <c r="K5227">
        <v>1</v>
      </c>
    </row>
    <row r="5228" spans="1:11" x14ac:dyDescent="0.25">
      <c r="A5228" t="str">
        <f>"6541"</f>
        <v>6541</v>
      </c>
      <c r="B5228" t="str">
        <f t="shared" si="343"/>
        <v>1</v>
      </c>
      <c r="C5228" t="str">
        <f t="shared" si="345"/>
        <v>288</v>
      </c>
      <c r="D5228" t="str">
        <f>"21"</f>
        <v>21</v>
      </c>
      <c r="E5228" t="str">
        <f>"1-288-21"</f>
        <v>1-288-21</v>
      </c>
      <c r="F5228" t="s">
        <v>15</v>
      </c>
      <c r="G5228" t="s">
        <v>16</v>
      </c>
      <c r="H5228" t="s">
        <v>17</v>
      </c>
      <c r="I5228">
        <v>1</v>
      </c>
      <c r="J5228">
        <v>0</v>
      </c>
      <c r="K5228">
        <v>0</v>
      </c>
    </row>
    <row r="5229" spans="1:11" x14ac:dyDescent="0.25">
      <c r="A5229" t="str">
        <f>"6542"</f>
        <v>6542</v>
      </c>
      <c r="B5229" t="str">
        <f t="shared" si="343"/>
        <v>1</v>
      </c>
      <c r="C5229" t="str">
        <f t="shared" si="345"/>
        <v>288</v>
      </c>
      <c r="D5229" t="str">
        <f>"16"</f>
        <v>16</v>
      </c>
      <c r="E5229" t="str">
        <f>"1-288-16"</f>
        <v>1-288-16</v>
      </c>
      <c r="F5229" t="s">
        <v>15</v>
      </c>
      <c r="G5229" t="s">
        <v>18</v>
      </c>
      <c r="H5229" t="s">
        <v>19</v>
      </c>
      <c r="I5229">
        <v>1</v>
      </c>
      <c r="J5229">
        <v>0</v>
      </c>
      <c r="K5229">
        <v>0</v>
      </c>
    </row>
    <row r="5230" spans="1:11" x14ac:dyDescent="0.25">
      <c r="A5230" t="str">
        <f>"6543"</f>
        <v>6543</v>
      </c>
      <c r="B5230" t="str">
        <f t="shared" si="343"/>
        <v>1</v>
      </c>
      <c r="C5230" t="str">
        <f t="shared" si="345"/>
        <v>288</v>
      </c>
      <c r="D5230" t="str">
        <f>"11"</f>
        <v>11</v>
      </c>
      <c r="E5230" t="str">
        <f>"1-288-11"</f>
        <v>1-288-11</v>
      </c>
      <c r="F5230" t="s">
        <v>15</v>
      </c>
      <c r="G5230" t="s">
        <v>16</v>
      </c>
      <c r="H5230" t="s">
        <v>17</v>
      </c>
      <c r="I5230">
        <v>0</v>
      </c>
      <c r="J5230">
        <v>1</v>
      </c>
      <c r="K5230">
        <v>0</v>
      </c>
    </row>
    <row r="5231" spans="1:11" x14ac:dyDescent="0.25">
      <c r="A5231" t="str">
        <f>"6544"</f>
        <v>6544</v>
      </c>
      <c r="B5231" t="str">
        <f t="shared" si="343"/>
        <v>1</v>
      </c>
      <c r="C5231" t="str">
        <f t="shared" si="345"/>
        <v>288</v>
      </c>
      <c r="D5231" t="str">
        <f>"18"</f>
        <v>18</v>
      </c>
      <c r="E5231" t="str">
        <f>"1-288-18"</f>
        <v>1-288-18</v>
      </c>
      <c r="F5231" t="s">
        <v>15</v>
      </c>
      <c r="G5231" t="s">
        <v>16</v>
      </c>
      <c r="H5231" t="s">
        <v>17</v>
      </c>
      <c r="I5231">
        <v>0</v>
      </c>
      <c r="J5231">
        <v>0</v>
      </c>
      <c r="K5231">
        <v>1</v>
      </c>
    </row>
    <row r="5232" spans="1:11" x14ac:dyDescent="0.25">
      <c r="A5232" t="str">
        <f>"6545"</f>
        <v>6545</v>
      </c>
      <c r="B5232" t="str">
        <f t="shared" si="343"/>
        <v>1</v>
      </c>
      <c r="C5232" t="str">
        <f t="shared" si="345"/>
        <v>288</v>
      </c>
      <c r="D5232" t="str">
        <f>"7"</f>
        <v>7</v>
      </c>
      <c r="E5232" t="str">
        <f>"1-288-7"</f>
        <v>1-288-7</v>
      </c>
      <c r="F5232" t="s">
        <v>15</v>
      </c>
      <c r="G5232" t="s">
        <v>16</v>
      </c>
      <c r="H5232" t="s">
        <v>17</v>
      </c>
      <c r="I5232">
        <v>0</v>
      </c>
      <c r="J5232">
        <v>1</v>
      </c>
      <c r="K5232">
        <v>0</v>
      </c>
    </row>
    <row r="5233" spans="1:11" x14ac:dyDescent="0.25">
      <c r="A5233" t="str">
        <f>"6546"</f>
        <v>6546</v>
      </c>
      <c r="B5233" t="str">
        <f t="shared" si="343"/>
        <v>1</v>
      </c>
      <c r="C5233" t="str">
        <f t="shared" si="345"/>
        <v>288</v>
      </c>
      <c r="D5233" t="str">
        <f>"19"</f>
        <v>19</v>
      </c>
      <c r="E5233" t="str">
        <f>"1-288-19"</f>
        <v>1-288-19</v>
      </c>
      <c r="F5233" t="s">
        <v>15</v>
      </c>
      <c r="G5233" t="s">
        <v>16</v>
      </c>
      <c r="H5233" t="s">
        <v>17</v>
      </c>
      <c r="I5233">
        <v>1</v>
      </c>
      <c r="J5233">
        <v>0</v>
      </c>
      <c r="K5233">
        <v>0</v>
      </c>
    </row>
    <row r="5234" spans="1:11" x14ac:dyDescent="0.25">
      <c r="A5234" t="str">
        <f>"6547"</f>
        <v>6547</v>
      </c>
      <c r="B5234" t="str">
        <f t="shared" si="343"/>
        <v>1</v>
      </c>
      <c r="C5234" t="str">
        <f t="shared" si="345"/>
        <v>288</v>
      </c>
      <c r="D5234" t="str">
        <f>"10"</f>
        <v>10</v>
      </c>
      <c r="E5234" t="str">
        <f>"1-288-10"</f>
        <v>1-288-10</v>
      </c>
      <c r="F5234" t="s">
        <v>15</v>
      </c>
      <c r="G5234" t="s">
        <v>18</v>
      </c>
      <c r="H5234" t="s">
        <v>19</v>
      </c>
      <c r="I5234">
        <v>0</v>
      </c>
      <c r="J5234">
        <v>0</v>
      </c>
      <c r="K5234">
        <v>1</v>
      </c>
    </row>
    <row r="5235" spans="1:11" x14ac:dyDescent="0.25">
      <c r="A5235" t="str">
        <f>"6548"</f>
        <v>6548</v>
      </c>
      <c r="B5235" t="str">
        <f t="shared" si="343"/>
        <v>1</v>
      </c>
      <c r="C5235" t="str">
        <f t="shared" si="345"/>
        <v>288</v>
      </c>
      <c r="D5235" t="str">
        <f>"20"</f>
        <v>20</v>
      </c>
      <c r="E5235" t="str">
        <f>"1-288-20"</f>
        <v>1-288-20</v>
      </c>
      <c r="F5235" t="s">
        <v>15</v>
      </c>
      <c r="G5235" t="s">
        <v>16</v>
      </c>
      <c r="H5235" t="s">
        <v>17</v>
      </c>
      <c r="I5235">
        <v>1</v>
      </c>
      <c r="J5235">
        <v>0</v>
      </c>
      <c r="K5235">
        <v>0</v>
      </c>
    </row>
    <row r="5236" spans="1:11" x14ac:dyDescent="0.25">
      <c r="A5236" t="str">
        <f>"6549"</f>
        <v>6549</v>
      </c>
      <c r="B5236" t="str">
        <f t="shared" si="343"/>
        <v>1</v>
      </c>
      <c r="C5236" t="str">
        <f t="shared" si="345"/>
        <v>288</v>
      </c>
      <c r="D5236" t="str">
        <f>"12"</f>
        <v>12</v>
      </c>
      <c r="E5236" t="str">
        <f>"1-288-12"</f>
        <v>1-288-12</v>
      </c>
      <c r="F5236" t="s">
        <v>15</v>
      </c>
      <c r="G5236" t="s">
        <v>16</v>
      </c>
      <c r="H5236" t="s">
        <v>17</v>
      </c>
      <c r="I5236">
        <v>0</v>
      </c>
      <c r="J5236">
        <v>0</v>
      </c>
      <c r="K5236">
        <v>1</v>
      </c>
    </row>
    <row r="5237" spans="1:11" x14ac:dyDescent="0.25">
      <c r="A5237" t="str">
        <f>"6550"</f>
        <v>6550</v>
      </c>
      <c r="B5237" t="str">
        <f t="shared" si="343"/>
        <v>1</v>
      </c>
      <c r="C5237" t="str">
        <f t="shared" si="345"/>
        <v>288</v>
      </c>
      <c r="D5237" t="str">
        <f>"24"</f>
        <v>24</v>
      </c>
      <c r="E5237" t="str">
        <f>"1-288-24"</f>
        <v>1-288-24</v>
      </c>
      <c r="F5237" t="s">
        <v>15</v>
      </c>
      <c r="G5237" t="s">
        <v>20</v>
      </c>
      <c r="H5237" t="s">
        <v>21</v>
      </c>
      <c r="I5237">
        <v>1</v>
      </c>
      <c r="J5237">
        <v>0</v>
      </c>
      <c r="K5237">
        <v>0</v>
      </c>
    </row>
    <row r="5238" spans="1:11" x14ac:dyDescent="0.25">
      <c r="A5238" t="str">
        <f>"6551"</f>
        <v>6551</v>
      </c>
      <c r="B5238" t="str">
        <f t="shared" si="343"/>
        <v>1</v>
      </c>
      <c r="C5238" t="str">
        <f t="shared" si="345"/>
        <v>288</v>
      </c>
      <c r="D5238" t="str">
        <f>"3"</f>
        <v>3</v>
      </c>
      <c r="E5238" t="str">
        <f>"1-288-3"</f>
        <v>1-288-3</v>
      </c>
      <c r="F5238" t="s">
        <v>15</v>
      </c>
      <c r="G5238" t="s">
        <v>16</v>
      </c>
      <c r="H5238" t="s">
        <v>17</v>
      </c>
      <c r="I5238">
        <v>1</v>
      </c>
      <c r="J5238">
        <v>0</v>
      </c>
      <c r="K5238">
        <v>0</v>
      </c>
    </row>
    <row r="5239" spans="1:11" x14ac:dyDescent="0.25">
      <c r="A5239" t="str">
        <f>"6552"</f>
        <v>6552</v>
      </c>
      <c r="B5239" t="str">
        <f t="shared" si="343"/>
        <v>1</v>
      </c>
      <c r="C5239" t="str">
        <f t="shared" si="345"/>
        <v>288</v>
      </c>
      <c r="D5239" t="str">
        <f>"25"</f>
        <v>25</v>
      </c>
      <c r="E5239" t="str">
        <f>"1-288-25"</f>
        <v>1-288-25</v>
      </c>
      <c r="F5239" t="s">
        <v>15</v>
      </c>
      <c r="G5239" t="s">
        <v>16</v>
      </c>
      <c r="H5239" t="s">
        <v>17</v>
      </c>
      <c r="I5239">
        <v>0</v>
      </c>
      <c r="J5239">
        <v>1</v>
      </c>
      <c r="K5239">
        <v>0</v>
      </c>
    </row>
    <row r="5240" spans="1:11" x14ac:dyDescent="0.25">
      <c r="A5240" t="str">
        <f>"6553"</f>
        <v>6553</v>
      </c>
      <c r="B5240" t="str">
        <f t="shared" si="343"/>
        <v>1</v>
      </c>
      <c r="C5240" t="str">
        <f t="shared" si="345"/>
        <v>288</v>
      </c>
      <c r="D5240" t="str">
        <f>"4"</f>
        <v>4</v>
      </c>
      <c r="E5240" t="str">
        <f>"1-288-4"</f>
        <v>1-288-4</v>
      </c>
      <c r="F5240" t="s">
        <v>15</v>
      </c>
      <c r="G5240" t="s">
        <v>16</v>
      </c>
      <c r="H5240" t="s">
        <v>17</v>
      </c>
      <c r="I5240">
        <v>1</v>
      </c>
      <c r="J5240">
        <v>0</v>
      </c>
      <c r="K5240">
        <v>0</v>
      </c>
    </row>
    <row r="5241" spans="1:11" x14ac:dyDescent="0.25">
      <c r="A5241" t="str">
        <f>"6554"</f>
        <v>6554</v>
      </c>
      <c r="B5241" t="str">
        <f t="shared" ref="B5241:B5276" si="346">"1"</f>
        <v>1</v>
      </c>
      <c r="C5241" t="str">
        <f t="shared" si="345"/>
        <v>288</v>
      </c>
      <c r="D5241" t="str">
        <f>"26"</f>
        <v>26</v>
      </c>
      <c r="E5241" t="str">
        <f>"1-288-26"</f>
        <v>1-288-26</v>
      </c>
      <c r="F5241" t="s">
        <v>15</v>
      </c>
      <c r="G5241" t="s">
        <v>16</v>
      </c>
      <c r="H5241" t="s">
        <v>17</v>
      </c>
      <c r="I5241">
        <v>0</v>
      </c>
      <c r="J5241">
        <v>0</v>
      </c>
      <c r="K5241">
        <v>1</v>
      </c>
    </row>
    <row r="5242" spans="1:11" x14ac:dyDescent="0.25">
      <c r="A5242" t="str">
        <f>"6555"</f>
        <v>6555</v>
      </c>
      <c r="B5242" t="str">
        <f t="shared" si="346"/>
        <v>1</v>
      </c>
      <c r="C5242" t="str">
        <f t="shared" si="345"/>
        <v>288</v>
      </c>
      <c r="D5242" t="str">
        <f>"14"</f>
        <v>14</v>
      </c>
      <c r="E5242" t="str">
        <f>"1-288-14"</f>
        <v>1-288-14</v>
      </c>
      <c r="F5242" t="s">
        <v>15</v>
      </c>
      <c r="G5242" t="s">
        <v>16</v>
      </c>
      <c r="H5242" t="s">
        <v>17</v>
      </c>
      <c r="I5242">
        <v>0</v>
      </c>
      <c r="J5242">
        <v>0</v>
      </c>
      <c r="K5242">
        <v>1</v>
      </c>
    </row>
    <row r="5243" spans="1:11" x14ac:dyDescent="0.25">
      <c r="A5243" t="str">
        <f>"6556"</f>
        <v>6556</v>
      </c>
      <c r="B5243" t="str">
        <f t="shared" si="346"/>
        <v>1</v>
      </c>
      <c r="C5243" t="str">
        <f t="shared" si="345"/>
        <v>288</v>
      </c>
      <c r="D5243" t="str">
        <f>"27"</f>
        <v>27</v>
      </c>
      <c r="E5243" t="str">
        <f>"1-288-27"</f>
        <v>1-288-27</v>
      </c>
      <c r="F5243" t="s">
        <v>15</v>
      </c>
      <c r="G5243" t="s">
        <v>16</v>
      </c>
      <c r="H5243" t="s">
        <v>17</v>
      </c>
      <c r="I5243">
        <v>0</v>
      </c>
      <c r="J5243">
        <v>0</v>
      </c>
      <c r="K5243">
        <v>1</v>
      </c>
    </row>
    <row r="5244" spans="1:11" x14ac:dyDescent="0.25">
      <c r="A5244" t="str">
        <f>"6557"</f>
        <v>6557</v>
      </c>
      <c r="B5244" t="str">
        <f t="shared" si="346"/>
        <v>1</v>
      </c>
      <c r="C5244" t="str">
        <f t="shared" si="345"/>
        <v>288</v>
      </c>
      <c r="D5244" t="str">
        <f>"6"</f>
        <v>6</v>
      </c>
      <c r="E5244" t="str">
        <f>"1-288-6"</f>
        <v>1-288-6</v>
      </c>
      <c r="F5244" t="s">
        <v>15</v>
      </c>
      <c r="G5244" t="s">
        <v>16</v>
      </c>
      <c r="H5244" t="s">
        <v>17</v>
      </c>
      <c r="I5244">
        <v>0</v>
      </c>
      <c r="J5244">
        <v>1</v>
      </c>
      <c r="K5244">
        <v>0</v>
      </c>
    </row>
    <row r="5245" spans="1:11" x14ac:dyDescent="0.25">
      <c r="A5245" t="str">
        <f>"6558"</f>
        <v>6558</v>
      </c>
      <c r="B5245" t="str">
        <f t="shared" si="346"/>
        <v>1</v>
      </c>
      <c r="C5245" t="str">
        <f t="shared" si="345"/>
        <v>288</v>
      </c>
      <c r="D5245" t="str">
        <f>"28"</f>
        <v>28</v>
      </c>
      <c r="E5245" t="str">
        <f>"1-288-28"</f>
        <v>1-288-28</v>
      </c>
      <c r="F5245" t="s">
        <v>15</v>
      </c>
      <c r="G5245" t="s">
        <v>18</v>
      </c>
      <c r="H5245" t="s">
        <v>19</v>
      </c>
      <c r="I5245">
        <v>0</v>
      </c>
      <c r="J5245">
        <v>1</v>
      </c>
      <c r="K5245">
        <v>0</v>
      </c>
    </row>
    <row r="5246" spans="1:11" x14ac:dyDescent="0.25">
      <c r="A5246" t="str">
        <f>"6559"</f>
        <v>6559</v>
      </c>
      <c r="B5246" t="str">
        <f t="shared" si="346"/>
        <v>1</v>
      </c>
      <c r="C5246" t="str">
        <f t="shared" si="345"/>
        <v>288</v>
      </c>
      <c r="D5246" t="str">
        <f>"2"</f>
        <v>2</v>
      </c>
      <c r="E5246" t="str">
        <f>"1-288-2"</f>
        <v>1-288-2</v>
      </c>
      <c r="F5246" t="s">
        <v>15</v>
      </c>
      <c r="G5246" t="s">
        <v>16</v>
      </c>
      <c r="H5246" t="s">
        <v>17</v>
      </c>
      <c r="I5246">
        <v>1</v>
      </c>
      <c r="J5246">
        <v>0</v>
      </c>
      <c r="K5246">
        <v>0</v>
      </c>
    </row>
    <row r="5247" spans="1:11" x14ac:dyDescent="0.25">
      <c r="A5247" t="str">
        <f>"6560"</f>
        <v>6560</v>
      </c>
      <c r="B5247" t="str">
        <f t="shared" si="346"/>
        <v>1</v>
      </c>
      <c r="C5247" t="str">
        <f t="shared" si="345"/>
        <v>288</v>
      </c>
      <c r="D5247" t="str">
        <f>"5"</f>
        <v>5</v>
      </c>
      <c r="E5247" t="str">
        <f>"1-288-5"</f>
        <v>1-288-5</v>
      </c>
      <c r="F5247" t="s">
        <v>15</v>
      </c>
      <c r="G5247" t="s">
        <v>16</v>
      </c>
      <c r="H5247" t="s">
        <v>17</v>
      </c>
      <c r="I5247">
        <v>1</v>
      </c>
      <c r="J5247">
        <v>0</v>
      </c>
      <c r="K5247">
        <v>0</v>
      </c>
    </row>
    <row r="5248" spans="1:11" x14ac:dyDescent="0.25">
      <c r="A5248" t="str">
        <f>"6561"</f>
        <v>6561</v>
      </c>
      <c r="B5248" t="str">
        <f t="shared" si="346"/>
        <v>1</v>
      </c>
      <c r="C5248" t="str">
        <f t="shared" si="345"/>
        <v>288</v>
      </c>
      <c r="D5248" t="str">
        <f>"13"</f>
        <v>13</v>
      </c>
      <c r="E5248" t="str">
        <f>"1-288-13"</f>
        <v>1-288-13</v>
      </c>
      <c r="F5248" t="s">
        <v>15</v>
      </c>
      <c r="G5248" t="s">
        <v>16</v>
      </c>
      <c r="H5248" t="s">
        <v>17</v>
      </c>
      <c r="I5248">
        <v>0</v>
      </c>
      <c r="J5248">
        <v>0</v>
      </c>
      <c r="K5248">
        <v>1</v>
      </c>
    </row>
    <row r="5249" spans="1:11" x14ac:dyDescent="0.25">
      <c r="A5249" t="str">
        <f>"6562"</f>
        <v>6562</v>
      </c>
      <c r="B5249" t="str">
        <f t="shared" si="346"/>
        <v>1</v>
      </c>
      <c r="C5249" t="str">
        <f t="shared" si="345"/>
        <v>288</v>
      </c>
      <c r="D5249" t="str">
        <f>"8"</f>
        <v>8</v>
      </c>
      <c r="E5249" t="str">
        <f>"1-288-8"</f>
        <v>1-288-8</v>
      </c>
      <c r="F5249" t="s">
        <v>15</v>
      </c>
      <c r="G5249" t="s">
        <v>16</v>
      </c>
      <c r="H5249" t="s">
        <v>17</v>
      </c>
      <c r="I5249">
        <v>0</v>
      </c>
      <c r="J5249">
        <v>0</v>
      </c>
      <c r="K5249">
        <v>1</v>
      </c>
    </row>
    <row r="5250" spans="1:11" x14ac:dyDescent="0.25">
      <c r="A5250" t="str">
        <f>"6563"</f>
        <v>6563</v>
      </c>
      <c r="B5250" t="str">
        <f t="shared" si="346"/>
        <v>1</v>
      </c>
      <c r="C5250" t="str">
        <f t="shared" si="345"/>
        <v>288</v>
      </c>
      <c r="D5250" t="str">
        <f>"9"</f>
        <v>9</v>
      </c>
      <c r="E5250" t="str">
        <f>"1-288-9"</f>
        <v>1-288-9</v>
      </c>
      <c r="F5250" t="s">
        <v>15</v>
      </c>
      <c r="G5250" t="s">
        <v>16</v>
      </c>
      <c r="H5250" t="s">
        <v>17</v>
      </c>
      <c r="I5250">
        <v>1</v>
      </c>
      <c r="J5250">
        <v>0</v>
      </c>
      <c r="K5250">
        <v>0</v>
      </c>
    </row>
    <row r="5251" spans="1:11" x14ac:dyDescent="0.25">
      <c r="A5251" t="str">
        <f>"6564"</f>
        <v>6564</v>
      </c>
      <c r="B5251" t="str">
        <f t="shared" si="346"/>
        <v>1</v>
      </c>
      <c r="C5251" t="str">
        <f t="shared" si="345"/>
        <v>288</v>
      </c>
      <c r="D5251" t="str">
        <f>"1"</f>
        <v>1</v>
      </c>
      <c r="E5251" t="str">
        <f>"1-288-1"</f>
        <v>1-288-1</v>
      </c>
      <c r="F5251" t="s">
        <v>15</v>
      </c>
      <c r="G5251" t="s">
        <v>16</v>
      </c>
      <c r="H5251" t="s">
        <v>17</v>
      </c>
      <c r="I5251">
        <v>0</v>
      </c>
      <c r="J5251">
        <v>0</v>
      </c>
      <c r="K5251">
        <v>0</v>
      </c>
    </row>
    <row r="5252" spans="1:11" x14ac:dyDescent="0.25">
      <c r="A5252" t="str">
        <f>"6565"</f>
        <v>6565</v>
      </c>
      <c r="B5252" t="str">
        <f t="shared" si="346"/>
        <v>1</v>
      </c>
      <c r="C5252" t="str">
        <f t="shared" ref="C5252:C5273" si="347">"289"</f>
        <v>289</v>
      </c>
      <c r="D5252" t="str">
        <f>"25"</f>
        <v>25</v>
      </c>
      <c r="E5252" t="str">
        <f>"1-289-25"</f>
        <v>1-289-25</v>
      </c>
      <c r="F5252" t="s">
        <v>15</v>
      </c>
      <c r="G5252" t="s">
        <v>20</v>
      </c>
      <c r="H5252" t="s">
        <v>21</v>
      </c>
      <c r="I5252">
        <v>0</v>
      </c>
      <c r="J5252">
        <v>1</v>
      </c>
      <c r="K5252">
        <v>0</v>
      </c>
    </row>
    <row r="5253" spans="1:11" x14ac:dyDescent="0.25">
      <c r="A5253" t="str">
        <f>"6566"</f>
        <v>6566</v>
      </c>
      <c r="B5253" t="str">
        <f t="shared" si="346"/>
        <v>1</v>
      </c>
      <c r="C5253" t="str">
        <f t="shared" si="347"/>
        <v>289</v>
      </c>
      <c r="D5253" t="str">
        <f>"15"</f>
        <v>15</v>
      </c>
      <c r="E5253" t="str">
        <f>"1-289-15"</f>
        <v>1-289-15</v>
      </c>
      <c r="F5253" t="s">
        <v>15</v>
      </c>
      <c r="G5253" t="s">
        <v>20</v>
      </c>
      <c r="H5253" t="s">
        <v>21</v>
      </c>
      <c r="I5253">
        <v>1</v>
      </c>
      <c r="J5253">
        <v>0</v>
      </c>
      <c r="K5253">
        <v>0</v>
      </c>
    </row>
    <row r="5254" spans="1:11" x14ac:dyDescent="0.25">
      <c r="A5254" t="str">
        <f>"6568"</f>
        <v>6568</v>
      </c>
      <c r="B5254" t="str">
        <f t="shared" si="346"/>
        <v>1</v>
      </c>
      <c r="C5254" t="str">
        <f t="shared" si="347"/>
        <v>289</v>
      </c>
      <c r="D5254" t="str">
        <f>"23"</f>
        <v>23</v>
      </c>
      <c r="E5254" t="str">
        <f>"1-289-23"</f>
        <v>1-289-23</v>
      </c>
      <c r="F5254" t="s">
        <v>15</v>
      </c>
      <c r="G5254" t="s">
        <v>20</v>
      </c>
      <c r="H5254" t="s">
        <v>21</v>
      </c>
      <c r="I5254">
        <v>1</v>
      </c>
      <c r="J5254">
        <v>0</v>
      </c>
      <c r="K5254">
        <v>0</v>
      </c>
    </row>
    <row r="5255" spans="1:11" x14ac:dyDescent="0.25">
      <c r="A5255" t="str">
        <f>"6569"</f>
        <v>6569</v>
      </c>
      <c r="B5255" t="str">
        <f t="shared" si="346"/>
        <v>1</v>
      </c>
      <c r="C5255" t="str">
        <f t="shared" si="347"/>
        <v>289</v>
      </c>
      <c r="D5255" t="str">
        <f>"16"</f>
        <v>16</v>
      </c>
      <c r="E5255" t="str">
        <f>"1-289-16"</f>
        <v>1-289-16</v>
      </c>
      <c r="F5255" t="s">
        <v>15</v>
      </c>
      <c r="G5255" t="s">
        <v>20</v>
      </c>
      <c r="H5255" t="s">
        <v>21</v>
      </c>
      <c r="I5255">
        <v>1</v>
      </c>
      <c r="J5255">
        <v>0</v>
      </c>
      <c r="K5255">
        <v>0</v>
      </c>
    </row>
    <row r="5256" spans="1:11" x14ac:dyDescent="0.25">
      <c r="A5256" t="str">
        <f>"6571"</f>
        <v>6571</v>
      </c>
      <c r="B5256" t="str">
        <f t="shared" si="346"/>
        <v>1</v>
      </c>
      <c r="C5256" t="str">
        <f t="shared" si="347"/>
        <v>289</v>
      </c>
      <c r="D5256" t="str">
        <f>"31"</f>
        <v>31</v>
      </c>
      <c r="E5256" t="str">
        <f>"1-289-31"</f>
        <v>1-289-31</v>
      </c>
      <c r="F5256" t="s">
        <v>15</v>
      </c>
      <c r="G5256" t="s">
        <v>20</v>
      </c>
      <c r="H5256" t="s">
        <v>21</v>
      </c>
      <c r="I5256">
        <v>1</v>
      </c>
      <c r="J5256">
        <v>0</v>
      </c>
      <c r="K5256">
        <v>0</v>
      </c>
    </row>
    <row r="5257" spans="1:11" x14ac:dyDescent="0.25">
      <c r="A5257" t="str">
        <f>"6573"</f>
        <v>6573</v>
      </c>
      <c r="B5257" t="str">
        <f t="shared" si="346"/>
        <v>1</v>
      </c>
      <c r="C5257" t="str">
        <f t="shared" si="347"/>
        <v>289</v>
      </c>
      <c r="D5257" t="str">
        <f>"18"</f>
        <v>18</v>
      </c>
      <c r="E5257" t="str">
        <f>"1-289-18"</f>
        <v>1-289-18</v>
      </c>
      <c r="F5257" t="s">
        <v>15</v>
      </c>
      <c r="G5257" t="s">
        <v>20</v>
      </c>
      <c r="H5257" t="s">
        <v>21</v>
      </c>
      <c r="I5257">
        <v>1</v>
      </c>
      <c r="J5257">
        <v>0</v>
      </c>
      <c r="K5257">
        <v>0</v>
      </c>
    </row>
    <row r="5258" spans="1:11" x14ac:dyDescent="0.25">
      <c r="A5258" t="str">
        <f>"6575"</f>
        <v>6575</v>
      </c>
      <c r="B5258" t="str">
        <f t="shared" si="346"/>
        <v>1</v>
      </c>
      <c r="C5258" t="str">
        <f t="shared" si="347"/>
        <v>289</v>
      </c>
      <c r="D5258" t="str">
        <f>"19"</f>
        <v>19</v>
      </c>
      <c r="E5258" t="str">
        <f>"1-289-19"</f>
        <v>1-289-19</v>
      </c>
      <c r="F5258" t="s">
        <v>15</v>
      </c>
      <c r="G5258" t="s">
        <v>20</v>
      </c>
      <c r="H5258" t="s">
        <v>21</v>
      </c>
      <c r="I5258">
        <v>0</v>
      </c>
      <c r="J5258">
        <v>0</v>
      </c>
      <c r="K5258">
        <v>1</v>
      </c>
    </row>
    <row r="5259" spans="1:11" x14ac:dyDescent="0.25">
      <c r="A5259" t="str">
        <f>"6577"</f>
        <v>6577</v>
      </c>
      <c r="B5259" t="str">
        <f t="shared" si="346"/>
        <v>1</v>
      </c>
      <c r="C5259" t="str">
        <f t="shared" si="347"/>
        <v>289</v>
      </c>
      <c r="D5259" t="str">
        <f>"20"</f>
        <v>20</v>
      </c>
      <c r="E5259" t="str">
        <f>"1-289-20"</f>
        <v>1-289-20</v>
      </c>
      <c r="F5259" t="s">
        <v>15</v>
      </c>
      <c r="G5259" t="s">
        <v>20</v>
      </c>
      <c r="H5259" t="s">
        <v>21</v>
      </c>
      <c r="I5259">
        <v>0</v>
      </c>
      <c r="J5259">
        <v>1</v>
      </c>
      <c r="K5259">
        <v>0</v>
      </c>
    </row>
    <row r="5260" spans="1:11" x14ac:dyDescent="0.25">
      <c r="A5260" t="str">
        <f>"6580"</f>
        <v>6580</v>
      </c>
      <c r="B5260" t="str">
        <f t="shared" si="346"/>
        <v>1</v>
      </c>
      <c r="C5260" t="str">
        <f t="shared" si="347"/>
        <v>289</v>
      </c>
      <c r="D5260" t="str">
        <f>"22"</f>
        <v>22</v>
      </c>
      <c r="E5260" t="str">
        <f>"1-289-22"</f>
        <v>1-289-22</v>
      </c>
      <c r="F5260" t="s">
        <v>15</v>
      </c>
      <c r="G5260" t="s">
        <v>20</v>
      </c>
      <c r="H5260" t="s">
        <v>21</v>
      </c>
      <c r="I5260">
        <v>1</v>
      </c>
      <c r="J5260">
        <v>0</v>
      </c>
      <c r="K5260">
        <v>0</v>
      </c>
    </row>
    <row r="5261" spans="1:11" x14ac:dyDescent="0.25">
      <c r="A5261" t="str">
        <f>"6582"</f>
        <v>6582</v>
      </c>
      <c r="B5261" t="str">
        <f t="shared" si="346"/>
        <v>1</v>
      </c>
      <c r="C5261" t="str">
        <f t="shared" si="347"/>
        <v>289</v>
      </c>
      <c r="D5261" t="str">
        <f>"24"</f>
        <v>24</v>
      </c>
      <c r="E5261" t="str">
        <f>"1-289-24"</f>
        <v>1-289-24</v>
      </c>
      <c r="F5261" t="s">
        <v>15</v>
      </c>
      <c r="G5261" t="s">
        <v>20</v>
      </c>
      <c r="H5261" t="s">
        <v>21</v>
      </c>
      <c r="I5261">
        <v>0</v>
      </c>
      <c r="J5261">
        <v>0</v>
      </c>
      <c r="K5261">
        <v>1</v>
      </c>
    </row>
    <row r="5262" spans="1:11" x14ac:dyDescent="0.25">
      <c r="A5262" t="str">
        <f>"6583"</f>
        <v>6583</v>
      </c>
      <c r="B5262" t="str">
        <f t="shared" si="346"/>
        <v>1</v>
      </c>
      <c r="C5262" t="str">
        <f t="shared" si="347"/>
        <v>289</v>
      </c>
      <c r="D5262" t="str">
        <f>"13"</f>
        <v>13</v>
      </c>
      <c r="E5262" t="str">
        <f>"1-289-13"</f>
        <v>1-289-13</v>
      </c>
      <c r="F5262" t="s">
        <v>15</v>
      </c>
      <c r="G5262" t="s">
        <v>20</v>
      </c>
      <c r="H5262" t="s">
        <v>21</v>
      </c>
      <c r="I5262">
        <v>0</v>
      </c>
      <c r="J5262">
        <v>1</v>
      </c>
      <c r="K5262">
        <v>0</v>
      </c>
    </row>
    <row r="5263" spans="1:11" x14ac:dyDescent="0.25">
      <c r="A5263" t="str">
        <f>"6584"</f>
        <v>6584</v>
      </c>
      <c r="B5263" t="str">
        <f t="shared" si="346"/>
        <v>1</v>
      </c>
      <c r="C5263" t="str">
        <f t="shared" si="347"/>
        <v>289</v>
      </c>
      <c r="D5263" t="str">
        <f>"26"</f>
        <v>26</v>
      </c>
      <c r="E5263" t="str">
        <f>"1-289-26"</f>
        <v>1-289-26</v>
      </c>
      <c r="F5263" t="s">
        <v>15</v>
      </c>
      <c r="G5263" t="s">
        <v>20</v>
      </c>
      <c r="H5263" t="s">
        <v>21</v>
      </c>
      <c r="I5263">
        <v>0</v>
      </c>
      <c r="J5263">
        <v>0</v>
      </c>
      <c r="K5263">
        <v>1</v>
      </c>
    </row>
    <row r="5264" spans="1:11" x14ac:dyDescent="0.25">
      <c r="A5264" t="str">
        <f>"6585"</f>
        <v>6585</v>
      </c>
      <c r="B5264" t="str">
        <f t="shared" si="346"/>
        <v>1</v>
      </c>
      <c r="C5264" t="str">
        <f t="shared" si="347"/>
        <v>289</v>
      </c>
      <c r="D5264" t="str">
        <f>"10"</f>
        <v>10</v>
      </c>
      <c r="E5264" t="str">
        <f>"1-289-10"</f>
        <v>1-289-10</v>
      </c>
      <c r="F5264" t="s">
        <v>15</v>
      </c>
      <c r="G5264" t="s">
        <v>20</v>
      </c>
      <c r="H5264" t="s">
        <v>21</v>
      </c>
      <c r="I5264">
        <v>0</v>
      </c>
      <c r="J5264">
        <v>0</v>
      </c>
      <c r="K5264">
        <v>1</v>
      </c>
    </row>
    <row r="5265" spans="1:11" x14ac:dyDescent="0.25">
      <c r="A5265" t="str">
        <f>"6586"</f>
        <v>6586</v>
      </c>
      <c r="B5265" t="str">
        <f t="shared" si="346"/>
        <v>1</v>
      </c>
      <c r="C5265" t="str">
        <f t="shared" si="347"/>
        <v>289</v>
      </c>
      <c r="D5265" t="str">
        <f>"27"</f>
        <v>27</v>
      </c>
      <c r="E5265" t="str">
        <f>"1-289-27"</f>
        <v>1-289-27</v>
      </c>
      <c r="F5265" t="s">
        <v>15</v>
      </c>
      <c r="G5265" t="s">
        <v>20</v>
      </c>
      <c r="H5265" t="s">
        <v>21</v>
      </c>
      <c r="I5265">
        <v>1</v>
      </c>
      <c r="J5265">
        <v>0</v>
      </c>
      <c r="K5265">
        <v>0</v>
      </c>
    </row>
    <row r="5266" spans="1:11" x14ac:dyDescent="0.25">
      <c r="A5266" t="str">
        <f>"6588"</f>
        <v>6588</v>
      </c>
      <c r="B5266" t="str">
        <f t="shared" si="346"/>
        <v>1</v>
      </c>
      <c r="C5266" t="str">
        <f t="shared" si="347"/>
        <v>289</v>
      </c>
      <c r="D5266" t="str">
        <f>"28"</f>
        <v>28</v>
      </c>
      <c r="E5266" t="str">
        <f>"1-289-28"</f>
        <v>1-289-28</v>
      </c>
      <c r="F5266" t="s">
        <v>15</v>
      </c>
      <c r="G5266" t="s">
        <v>20</v>
      </c>
      <c r="H5266" t="s">
        <v>21</v>
      </c>
      <c r="I5266">
        <v>0</v>
      </c>
      <c r="J5266">
        <v>1</v>
      </c>
      <c r="K5266">
        <v>0</v>
      </c>
    </row>
    <row r="5267" spans="1:11" x14ac:dyDescent="0.25">
      <c r="A5267" t="str">
        <f>"6589"</f>
        <v>6589</v>
      </c>
      <c r="B5267" t="str">
        <f t="shared" si="346"/>
        <v>1</v>
      </c>
      <c r="C5267" t="str">
        <f t="shared" si="347"/>
        <v>289</v>
      </c>
      <c r="D5267" t="str">
        <f>"12"</f>
        <v>12</v>
      </c>
      <c r="E5267" t="str">
        <f>"1-289-12"</f>
        <v>1-289-12</v>
      </c>
      <c r="F5267" t="s">
        <v>15</v>
      </c>
      <c r="G5267" t="s">
        <v>20</v>
      </c>
      <c r="H5267" t="s">
        <v>21</v>
      </c>
      <c r="I5267">
        <v>0</v>
      </c>
      <c r="J5267">
        <v>1</v>
      </c>
      <c r="K5267">
        <v>0</v>
      </c>
    </row>
    <row r="5268" spans="1:11" x14ac:dyDescent="0.25">
      <c r="A5268" t="str">
        <f>"6590"</f>
        <v>6590</v>
      </c>
      <c r="B5268" t="str">
        <f t="shared" si="346"/>
        <v>1</v>
      </c>
      <c r="C5268" t="str">
        <f t="shared" si="347"/>
        <v>289</v>
      </c>
      <c r="D5268" t="str">
        <f>"29"</f>
        <v>29</v>
      </c>
      <c r="E5268" t="str">
        <f>"1-289-29"</f>
        <v>1-289-29</v>
      </c>
      <c r="F5268" t="s">
        <v>15</v>
      </c>
      <c r="G5268" t="s">
        <v>20</v>
      </c>
      <c r="H5268" t="s">
        <v>21</v>
      </c>
      <c r="I5268">
        <v>0</v>
      </c>
      <c r="J5268">
        <v>1</v>
      </c>
      <c r="K5268">
        <v>0</v>
      </c>
    </row>
    <row r="5269" spans="1:11" x14ac:dyDescent="0.25">
      <c r="A5269" t="str">
        <f>"6591"</f>
        <v>6591</v>
      </c>
      <c r="B5269" t="str">
        <f t="shared" si="346"/>
        <v>1</v>
      </c>
      <c r="C5269" t="str">
        <f t="shared" si="347"/>
        <v>289</v>
      </c>
      <c r="D5269" t="str">
        <f>"14"</f>
        <v>14</v>
      </c>
      <c r="E5269" t="str">
        <f>"1-289-14"</f>
        <v>1-289-14</v>
      </c>
      <c r="F5269" t="s">
        <v>15</v>
      </c>
      <c r="G5269" t="s">
        <v>20</v>
      </c>
      <c r="H5269" t="s">
        <v>21</v>
      </c>
      <c r="I5269">
        <v>0</v>
      </c>
      <c r="J5269">
        <v>1</v>
      </c>
      <c r="K5269">
        <v>0</v>
      </c>
    </row>
    <row r="5270" spans="1:11" x14ac:dyDescent="0.25">
      <c r="A5270" t="str">
        <f>"6592"</f>
        <v>6592</v>
      </c>
      <c r="B5270" t="str">
        <f t="shared" si="346"/>
        <v>1</v>
      </c>
      <c r="C5270" t="str">
        <f t="shared" si="347"/>
        <v>289</v>
      </c>
      <c r="D5270" t="str">
        <f>"30"</f>
        <v>30</v>
      </c>
      <c r="E5270" t="str">
        <f>"1-289-30"</f>
        <v>1-289-30</v>
      </c>
      <c r="F5270" t="s">
        <v>15</v>
      </c>
      <c r="G5270" t="s">
        <v>20</v>
      </c>
      <c r="H5270" t="s">
        <v>21</v>
      </c>
      <c r="I5270">
        <v>0</v>
      </c>
      <c r="J5270">
        <v>1</v>
      </c>
      <c r="K5270">
        <v>0</v>
      </c>
    </row>
    <row r="5271" spans="1:11" x14ac:dyDescent="0.25">
      <c r="A5271" t="str">
        <f>"6593"</f>
        <v>6593</v>
      </c>
      <c r="B5271" t="str">
        <f t="shared" si="346"/>
        <v>1</v>
      </c>
      <c r="C5271" t="str">
        <f t="shared" si="347"/>
        <v>289</v>
      </c>
      <c r="D5271" t="str">
        <f>"11"</f>
        <v>11</v>
      </c>
      <c r="E5271" t="str">
        <f>"1-289-11"</f>
        <v>1-289-11</v>
      </c>
      <c r="F5271" t="s">
        <v>15</v>
      </c>
      <c r="G5271" t="s">
        <v>20</v>
      </c>
      <c r="H5271" t="s">
        <v>21</v>
      </c>
      <c r="I5271">
        <v>1</v>
      </c>
      <c r="J5271">
        <v>0</v>
      </c>
      <c r="K5271">
        <v>0</v>
      </c>
    </row>
    <row r="5272" spans="1:11" x14ac:dyDescent="0.25">
      <c r="A5272" t="str">
        <f>"6594"</f>
        <v>6594</v>
      </c>
      <c r="B5272" t="str">
        <f t="shared" si="346"/>
        <v>1</v>
      </c>
      <c r="C5272" t="str">
        <f t="shared" si="347"/>
        <v>289</v>
      </c>
      <c r="D5272" t="str">
        <f>"17"</f>
        <v>17</v>
      </c>
      <c r="E5272" t="str">
        <f>"1-289-17"</f>
        <v>1-289-17</v>
      </c>
      <c r="F5272" t="s">
        <v>15</v>
      </c>
      <c r="G5272" t="s">
        <v>20</v>
      </c>
      <c r="H5272" t="s">
        <v>21</v>
      </c>
      <c r="I5272">
        <v>0</v>
      </c>
      <c r="J5272">
        <v>0</v>
      </c>
      <c r="K5272">
        <v>0</v>
      </c>
    </row>
    <row r="5273" spans="1:11" x14ac:dyDescent="0.25">
      <c r="A5273" t="str">
        <f>"6595"</f>
        <v>6595</v>
      </c>
      <c r="B5273" t="str">
        <f t="shared" si="346"/>
        <v>1</v>
      </c>
      <c r="C5273" t="str">
        <f t="shared" si="347"/>
        <v>289</v>
      </c>
      <c r="D5273" t="str">
        <f>"21"</f>
        <v>21</v>
      </c>
      <c r="E5273" t="str">
        <f>"1-289-21"</f>
        <v>1-289-21</v>
      </c>
      <c r="F5273" t="s">
        <v>15</v>
      </c>
      <c r="G5273" t="s">
        <v>20</v>
      </c>
      <c r="H5273" t="s">
        <v>21</v>
      </c>
      <c r="I5273">
        <v>0</v>
      </c>
      <c r="J5273">
        <v>0</v>
      </c>
      <c r="K5273">
        <v>0</v>
      </c>
    </row>
    <row r="5274" spans="1:11" x14ac:dyDescent="0.25">
      <c r="A5274" t="str">
        <f>"6603"</f>
        <v>6603</v>
      </c>
      <c r="B5274" t="str">
        <f t="shared" si="346"/>
        <v>1</v>
      </c>
      <c r="C5274" t="str">
        <f t="shared" ref="C5274:C5280" si="348">"290"</f>
        <v>290</v>
      </c>
      <c r="D5274" t="str">
        <f>"7"</f>
        <v>7</v>
      </c>
      <c r="E5274" t="str">
        <f>"1-290-7"</f>
        <v>1-290-7</v>
      </c>
      <c r="F5274" t="s">
        <v>15</v>
      </c>
      <c r="G5274" t="s">
        <v>16</v>
      </c>
      <c r="H5274" t="s">
        <v>17</v>
      </c>
      <c r="I5274">
        <v>0</v>
      </c>
      <c r="J5274">
        <v>1</v>
      </c>
      <c r="K5274">
        <v>0</v>
      </c>
    </row>
    <row r="5275" spans="1:11" x14ac:dyDescent="0.25">
      <c r="A5275" t="str">
        <f>"6615"</f>
        <v>6615</v>
      </c>
      <c r="B5275" t="str">
        <f t="shared" si="346"/>
        <v>1</v>
      </c>
      <c r="C5275" t="str">
        <f t="shared" si="348"/>
        <v>290</v>
      </c>
      <c r="D5275" t="str">
        <f>"8"</f>
        <v>8</v>
      </c>
      <c r="E5275" t="str">
        <f>"1-290-8"</f>
        <v>1-290-8</v>
      </c>
      <c r="F5275" t="s">
        <v>15</v>
      </c>
      <c r="G5275" t="s">
        <v>16</v>
      </c>
      <c r="H5275" t="s">
        <v>17</v>
      </c>
      <c r="I5275">
        <v>0</v>
      </c>
      <c r="J5275">
        <v>0</v>
      </c>
      <c r="K5275">
        <v>1</v>
      </c>
    </row>
    <row r="5276" spans="1:11" x14ac:dyDescent="0.25">
      <c r="A5276" t="str">
        <f>"6617"</f>
        <v>6617</v>
      </c>
      <c r="B5276" t="str">
        <f t="shared" si="346"/>
        <v>1</v>
      </c>
      <c r="C5276" t="str">
        <f t="shared" si="348"/>
        <v>290</v>
      </c>
      <c r="D5276" t="str">
        <f>"9"</f>
        <v>9</v>
      </c>
      <c r="E5276" t="str">
        <f>"1-290-9"</f>
        <v>1-290-9</v>
      </c>
      <c r="F5276" t="s">
        <v>15</v>
      </c>
      <c r="G5276" t="s">
        <v>16</v>
      </c>
      <c r="H5276" t="s">
        <v>17</v>
      </c>
      <c r="I5276">
        <v>0</v>
      </c>
      <c r="J5276">
        <v>0</v>
      </c>
      <c r="K5276">
        <v>1</v>
      </c>
    </row>
    <row r="5277" spans="1:11" x14ac:dyDescent="0.25">
      <c r="A5277" t="str">
        <f>"6618"</f>
        <v>6618</v>
      </c>
      <c r="B5277" t="str">
        <f t="shared" ref="B5277:B5307" si="349">"1"</f>
        <v>1</v>
      </c>
      <c r="C5277" t="str">
        <f t="shared" si="348"/>
        <v>290</v>
      </c>
      <c r="D5277" t="str">
        <f>"11"</f>
        <v>11</v>
      </c>
      <c r="E5277" t="str">
        <f>"1-290-11"</f>
        <v>1-290-11</v>
      </c>
      <c r="F5277" t="s">
        <v>15</v>
      </c>
      <c r="G5277" t="s">
        <v>16</v>
      </c>
      <c r="H5277" t="s">
        <v>17</v>
      </c>
      <c r="I5277">
        <v>0</v>
      </c>
      <c r="J5277">
        <v>0</v>
      </c>
      <c r="K5277">
        <v>1</v>
      </c>
    </row>
    <row r="5278" spans="1:11" x14ac:dyDescent="0.25">
      <c r="A5278" t="str">
        <f>"6619"</f>
        <v>6619</v>
      </c>
      <c r="B5278" t="str">
        <f t="shared" si="349"/>
        <v>1</v>
      </c>
      <c r="C5278" t="str">
        <f t="shared" si="348"/>
        <v>290</v>
      </c>
      <c r="D5278" t="str">
        <f>"6"</f>
        <v>6</v>
      </c>
      <c r="E5278" t="str">
        <f>"1-290-6"</f>
        <v>1-290-6</v>
      </c>
      <c r="F5278" t="s">
        <v>15</v>
      </c>
      <c r="G5278" t="s">
        <v>16</v>
      </c>
      <c r="H5278" t="s">
        <v>17</v>
      </c>
      <c r="I5278">
        <v>0</v>
      </c>
      <c r="J5278">
        <v>0</v>
      </c>
      <c r="K5278">
        <v>1</v>
      </c>
    </row>
    <row r="5279" spans="1:11" x14ac:dyDescent="0.25">
      <c r="A5279" t="str">
        <f>"6620"</f>
        <v>6620</v>
      </c>
      <c r="B5279" t="str">
        <f t="shared" si="349"/>
        <v>1</v>
      </c>
      <c r="C5279" t="str">
        <f t="shared" si="348"/>
        <v>290</v>
      </c>
      <c r="D5279" t="str">
        <f>"5"</f>
        <v>5</v>
      </c>
      <c r="E5279" t="str">
        <f>"1-290-5"</f>
        <v>1-290-5</v>
      </c>
      <c r="F5279" t="s">
        <v>15</v>
      </c>
      <c r="G5279" t="s">
        <v>16</v>
      </c>
      <c r="H5279" t="s">
        <v>17</v>
      </c>
      <c r="I5279">
        <v>0</v>
      </c>
      <c r="J5279">
        <v>0</v>
      </c>
      <c r="K5279">
        <v>1</v>
      </c>
    </row>
    <row r="5280" spans="1:11" x14ac:dyDescent="0.25">
      <c r="A5280" t="str">
        <f>"6621"</f>
        <v>6621</v>
      </c>
      <c r="B5280" t="str">
        <f t="shared" si="349"/>
        <v>1</v>
      </c>
      <c r="C5280" t="str">
        <f t="shared" si="348"/>
        <v>290</v>
      </c>
      <c r="D5280" t="str">
        <f>"10"</f>
        <v>10</v>
      </c>
      <c r="E5280" t="str">
        <f>"1-290-10"</f>
        <v>1-290-10</v>
      </c>
      <c r="F5280" t="s">
        <v>15</v>
      </c>
      <c r="G5280" t="s">
        <v>16</v>
      </c>
      <c r="H5280" t="s">
        <v>17</v>
      </c>
      <c r="I5280">
        <v>0</v>
      </c>
      <c r="J5280">
        <v>1</v>
      </c>
      <c r="K5280">
        <v>0</v>
      </c>
    </row>
    <row r="5281" spans="1:11" x14ac:dyDescent="0.25">
      <c r="A5281" t="str">
        <f>"6622"</f>
        <v>6622</v>
      </c>
      <c r="B5281" t="str">
        <f t="shared" si="349"/>
        <v>1</v>
      </c>
      <c r="C5281" t="str">
        <f t="shared" ref="C5281:C5305" si="350">"291"</f>
        <v>291</v>
      </c>
      <c r="D5281" t="str">
        <f>"20"</f>
        <v>20</v>
      </c>
      <c r="E5281" t="str">
        <f>"1-291-20"</f>
        <v>1-291-20</v>
      </c>
      <c r="F5281" t="s">
        <v>15</v>
      </c>
      <c r="G5281" t="s">
        <v>16</v>
      </c>
      <c r="H5281" t="s">
        <v>17</v>
      </c>
      <c r="I5281">
        <v>0</v>
      </c>
      <c r="J5281">
        <v>1</v>
      </c>
      <c r="K5281">
        <v>0</v>
      </c>
    </row>
    <row r="5282" spans="1:11" x14ac:dyDescent="0.25">
      <c r="A5282" t="str">
        <f>"6623"</f>
        <v>6623</v>
      </c>
      <c r="B5282" t="str">
        <f t="shared" si="349"/>
        <v>1</v>
      </c>
      <c r="C5282" t="str">
        <f t="shared" si="350"/>
        <v>291</v>
      </c>
      <c r="D5282" t="str">
        <f>"15"</f>
        <v>15</v>
      </c>
      <c r="E5282" t="str">
        <f>"1-291-15"</f>
        <v>1-291-15</v>
      </c>
      <c r="F5282" t="s">
        <v>15</v>
      </c>
      <c r="G5282" t="s">
        <v>16</v>
      </c>
      <c r="H5282" t="s">
        <v>17</v>
      </c>
      <c r="I5282">
        <v>1</v>
      </c>
      <c r="J5282">
        <v>0</v>
      </c>
      <c r="K5282">
        <v>0</v>
      </c>
    </row>
    <row r="5283" spans="1:11" x14ac:dyDescent="0.25">
      <c r="A5283" t="str">
        <f>"6625"</f>
        <v>6625</v>
      </c>
      <c r="B5283" t="str">
        <f t="shared" si="349"/>
        <v>1</v>
      </c>
      <c r="C5283" t="str">
        <f t="shared" si="350"/>
        <v>291</v>
      </c>
      <c r="D5283" t="str">
        <f>"24"</f>
        <v>24</v>
      </c>
      <c r="E5283" t="str">
        <f>"1-291-24"</f>
        <v>1-291-24</v>
      </c>
      <c r="F5283" t="s">
        <v>15</v>
      </c>
      <c r="G5283" t="s">
        <v>16</v>
      </c>
      <c r="H5283" t="s">
        <v>17</v>
      </c>
      <c r="I5283">
        <v>0</v>
      </c>
      <c r="J5283">
        <v>1</v>
      </c>
      <c r="K5283">
        <v>0</v>
      </c>
    </row>
    <row r="5284" spans="1:11" x14ac:dyDescent="0.25">
      <c r="A5284" t="str">
        <f>"6626"</f>
        <v>6626</v>
      </c>
      <c r="B5284" t="str">
        <f t="shared" si="349"/>
        <v>1</v>
      </c>
      <c r="C5284" t="str">
        <f t="shared" si="350"/>
        <v>291</v>
      </c>
      <c r="D5284" t="str">
        <f>"16"</f>
        <v>16</v>
      </c>
      <c r="E5284" t="str">
        <f>"1-291-16"</f>
        <v>1-291-16</v>
      </c>
      <c r="F5284" t="s">
        <v>15</v>
      </c>
      <c r="G5284" t="s">
        <v>20</v>
      </c>
      <c r="H5284" t="s">
        <v>21</v>
      </c>
      <c r="I5284">
        <v>1</v>
      </c>
      <c r="J5284">
        <v>0</v>
      </c>
      <c r="K5284">
        <v>0</v>
      </c>
    </row>
    <row r="5285" spans="1:11" x14ac:dyDescent="0.25">
      <c r="A5285" t="str">
        <f>"6627"</f>
        <v>6627</v>
      </c>
      <c r="B5285" t="str">
        <f t="shared" si="349"/>
        <v>1</v>
      </c>
      <c r="C5285" t="str">
        <f t="shared" si="350"/>
        <v>291</v>
      </c>
      <c r="D5285" t="str">
        <f>"5"</f>
        <v>5</v>
      </c>
      <c r="E5285" t="str">
        <f>"1-291-5"</f>
        <v>1-291-5</v>
      </c>
      <c r="F5285" t="s">
        <v>15</v>
      </c>
      <c r="G5285" t="s">
        <v>16</v>
      </c>
      <c r="H5285" t="s">
        <v>17</v>
      </c>
      <c r="I5285">
        <v>0</v>
      </c>
      <c r="J5285">
        <v>1</v>
      </c>
      <c r="K5285">
        <v>0</v>
      </c>
    </row>
    <row r="5286" spans="1:11" x14ac:dyDescent="0.25">
      <c r="A5286" t="str">
        <f>"6628"</f>
        <v>6628</v>
      </c>
      <c r="B5286" t="str">
        <f t="shared" si="349"/>
        <v>1</v>
      </c>
      <c r="C5286" t="str">
        <f t="shared" si="350"/>
        <v>291</v>
      </c>
      <c r="D5286" t="str">
        <f>"17"</f>
        <v>17</v>
      </c>
      <c r="E5286" t="str">
        <f>"1-291-17"</f>
        <v>1-291-17</v>
      </c>
      <c r="F5286" t="s">
        <v>15</v>
      </c>
      <c r="G5286" t="s">
        <v>16</v>
      </c>
      <c r="H5286" t="s">
        <v>17</v>
      </c>
      <c r="I5286">
        <v>0</v>
      </c>
      <c r="J5286">
        <v>1</v>
      </c>
      <c r="K5286">
        <v>0</v>
      </c>
    </row>
    <row r="5287" spans="1:11" x14ac:dyDescent="0.25">
      <c r="A5287" t="str">
        <f>"6630"</f>
        <v>6630</v>
      </c>
      <c r="B5287" t="str">
        <f t="shared" si="349"/>
        <v>1</v>
      </c>
      <c r="C5287" t="str">
        <f t="shared" si="350"/>
        <v>291</v>
      </c>
      <c r="D5287" t="str">
        <f>"18"</f>
        <v>18</v>
      </c>
      <c r="E5287" t="str">
        <f>"1-291-18"</f>
        <v>1-291-18</v>
      </c>
      <c r="F5287" t="s">
        <v>15</v>
      </c>
      <c r="G5287" t="s">
        <v>16</v>
      </c>
      <c r="H5287" t="s">
        <v>17</v>
      </c>
      <c r="I5287">
        <v>0</v>
      </c>
      <c r="J5287">
        <v>0</v>
      </c>
      <c r="K5287">
        <v>1</v>
      </c>
    </row>
    <row r="5288" spans="1:11" x14ac:dyDescent="0.25">
      <c r="A5288" t="str">
        <f>"6631"</f>
        <v>6631</v>
      </c>
      <c r="B5288" t="str">
        <f t="shared" si="349"/>
        <v>1</v>
      </c>
      <c r="C5288" t="str">
        <f t="shared" si="350"/>
        <v>291</v>
      </c>
      <c r="D5288" t="str">
        <f>"9"</f>
        <v>9</v>
      </c>
      <c r="E5288" t="str">
        <f>"1-291-9"</f>
        <v>1-291-9</v>
      </c>
      <c r="F5288" t="s">
        <v>15</v>
      </c>
      <c r="G5288" t="s">
        <v>16</v>
      </c>
      <c r="H5288" t="s">
        <v>17</v>
      </c>
      <c r="I5288">
        <v>0</v>
      </c>
      <c r="J5288">
        <v>1</v>
      </c>
      <c r="K5288">
        <v>0</v>
      </c>
    </row>
    <row r="5289" spans="1:11" x14ac:dyDescent="0.25">
      <c r="A5289" t="str">
        <f>"6632"</f>
        <v>6632</v>
      </c>
      <c r="B5289" t="str">
        <f t="shared" si="349"/>
        <v>1</v>
      </c>
      <c r="C5289" t="str">
        <f t="shared" si="350"/>
        <v>291</v>
      </c>
      <c r="D5289" t="str">
        <f>"19"</f>
        <v>19</v>
      </c>
      <c r="E5289" t="str">
        <f>"1-291-19"</f>
        <v>1-291-19</v>
      </c>
      <c r="F5289" t="s">
        <v>15</v>
      </c>
      <c r="G5289" t="s">
        <v>16</v>
      </c>
      <c r="H5289" t="s">
        <v>17</v>
      </c>
      <c r="I5289">
        <v>1</v>
      </c>
      <c r="J5289">
        <v>0</v>
      </c>
      <c r="K5289">
        <v>0</v>
      </c>
    </row>
    <row r="5290" spans="1:11" x14ac:dyDescent="0.25">
      <c r="A5290" t="str">
        <f>"6634"</f>
        <v>6634</v>
      </c>
      <c r="B5290" t="str">
        <f t="shared" si="349"/>
        <v>1</v>
      </c>
      <c r="C5290" t="str">
        <f t="shared" si="350"/>
        <v>291</v>
      </c>
      <c r="D5290" t="str">
        <f>"21"</f>
        <v>21</v>
      </c>
      <c r="E5290" t="str">
        <f>"1-291-21"</f>
        <v>1-291-21</v>
      </c>
      <c r="F5290" t="s">
        <v>15</v>
      </c>
      <c r="G5290" t="s">
        <v>16</v>
      </c>
      <c r="H5290" t="s">
        <v>17</v>
      </c>
      <c r="I5290">
        <v>0</v>
      </c>
      <c r="J5290">
        <v>0</v>
      </c>
      <c r="K5290">
        <v>1</v>
      </c>
    </row>
    <row r="5291" spans="1:11" x14ac:dyDescent="0.25">
      <c r="A5291" t="str">
        <f>"6635"</f>
        <v>6635</v>
      </c>
      <c r="B5291" t="str">
        <f t="shared" si="349"/>
        <v>1</v>
      </c>
      <c r="C5291" t="str">
        <f t="shared" si="350"/>
        <v>291</v>
      </c>
      <c r="D5291" t="str">
        <f>"12"</f>
        <v>12</v>
      </c>
      <c r="E5291" t="str">
        <f>"1-291-12"</f>
        <v>1-291-12</v>
      </c>
      <c r="F5291" t="s">
        <v>15</v>
      </c>
      <c r="G5291" t="s">
        <v>16</v>
      </c>
      <c r="H5291" t="s">
        <v>17</v>
      </c>
      <c r="I5291">
        <v>1</v>
      </c>
      <c r="J5291">
        <v>0</v>
      </c>
      <c r="K5291">
        <v>0</v>
      </c>
    </row>
    <row r="5292" spans="1:11" x14ac:dyDescent="0.25">
      <c r="A5292" t="str">
        <f>"6636"</f>
        <v>6636</v>
      </c>
      <c r="B5292" t="str">
        <f t="shared" si="349"/>
        <v>1</v>
      </c>
      <c r="C5292" t="str">
        <f t="shared" si="350"/>
        <v>291</v>
      </c>
      <c r="D5292" t="str">
        <f>"22"</f>
        <v>22</v>
      </c>
      <c r="E5292" t="str">
        <f>"1-291-22"</f>
        <v>1-291-22</v>
      </c>
      <c r="F5292" t="s">
        <v>15</v>
      </c>
      <c r="G5292" t="s">
        <v>16</v>
      </c>
      <c r="H5292" t="s">
        <v>17</v>
      </c>
      <c r="I5292">
        <v>0</v>
      </c>
      <c r="J5292">
        <v>1</v>
      </c>
      <c r="K5292">
        <v>0</v>
      </c>
    </row>
    <row r="5293" spans="1:11" x14ac:dyDescent="0.25">
      <c r="A5293" t="str">
        <f>"6637"</f>
        <v>6637</v>
      </c>
      <c r="B5293" t="str">
        <f t="shared" si="349"/>
        <v>1</v>
      </c>
      <c r="C5293" t="str">
        <f t="shared" si="350"/>
        <v>291</v>
      </c>
      <c r="D5293" t="str">
        <f>"8"</f>
        <v>8</v>
      </c>
      <c r="E5293" t="str">
        <f>"1-291-8"</f>
        <v>1-291-8</v>
      </c>
      <c r="F5293" t="s">
        <v>15</v>
      </c>
      <c r="G5293" t="s">
        <v>16</v>
      </c>
      <c r="H5293" t="s">
        <v>17</v>
      </c>
      <c r="I5293">
        <v>0</v>
      </c>
      <c r="J5293">
        <v>1</v>
      </c>
      <c r="K5293">
        <v>0</v>
      </c>
    </row>
    <row r="5294" spans="1:11" x14ac:dyDescent="0.25">
      <c r="A5294" t="str">
        <f>"6638"</f>
        <v>6638</v>
      </c>
      <c r="B5294" t="str">
        <f t="shared" si="349"/>
        <v>1</v>
      </c>
      <c r="C5294" t="str">
        <f t="shared" si="350"/>
        <v>291</v>
      </c>
      <c r="D5294" t="str">
        <f>"7"</f>
        <v>7</v>
      </c>
      <c r="E5294" t="str">
        <f>"1-291-7"</f>
        <v>1-291-7</v>
      </c>
      <c r="F5294" t="s">
        <v>15</v>
      </c>
      <c r="G5294" t="s">
        <v>16</v>
      </c>
      <c r="H5294" t="s">
        <v>17</v>
      </c>
      <c r="I5294">
        <v>0</v>
      </c>
      <c r="J5294">
        <v>1</v>
      </c>
      <c r="K5294">
        <v>0</v>
      </c>
    </row>
    <row r="5295" spans="1:11" x14ac:dyDescent="0.25">
      <c r="A5295" t="str">
        <f>"6639"</f>
        <v>6639</v>
      </c>
      <c r="B5295" t="str">
        <f t="shared" si="349"/>
        <v>1</v>
      </c>
      <c r="C5295" t="str">
        <f t="shared" si="350"/>
        <v>291</v>
      </c>
      <c r="D5295" t="str">
        <f>"6"</f>
        <v>6</v>
      </c>
      <c r="E5295" t="str">
        <f>"1-291-6"</f>
        <v>1-291-6</v>
      </c>
      <c r="F5295" t="s">
        <v>15</v>
      </c>
      <c r="G5295" t="s">
        <v>16</v>
      </c>
      <c r="H5295" t="s">
        <v>17</v>
      </c>
      <c r="I5295">
        <v>0</v>
      </c>
      <c r="J5295">
        <v>1</v>
      </c>
      <c r="K5295">
        <v>0</v>
      </c>
    </row>
    <row r="5296" spans="1:11" x14ac:dyDescent="0.25">
      <c r="A5296" t="str">
        <f>"6640"</f>
        <v>6640</v>
      </c>
      <c r="B5296" t="str">
        <f t="shared" si="349"/>
        <v>1</v>
      </c>
      <c r="C5296" t="str">
        <f t="shared" si="350"/>
        <v>291</v>
      </c>
      <c r="D5296" t="str">
        <f>"26"</f>
        <v>26</v>
      </c>
      <c r="E5296" t="str">
        <f>"1-291-26"</f>
        <v>1-291-26</v>
      </c>
      <c r="F5296" t="s">
        <v>15</v>
      </c>
      <c r="G5296" t="s">
        <v>16</v>
      </c>
      <c r="H5296" t="s">
        <v>17</v>
      </c>
      <c r="I5296">
        <v>1</v>
      </c>
      <c r="J5296">
        <v>0</v>
      </c>
      <c r="K5296">
        <v>0</v>
      </c>
    </row>
    <row r="5297" spans="1:11" x14ac:dyDescent="0.25">
      <c r="A5297" t="str">
        <f>"6641"</f>
        <v>6641</v>
      </c>
      <c r="B5297" t="str">
        <f t="shared" si="349"/>
        <v>1</v>
      </c>
      <c r="C5297" t="str">
        <f t="shared" si="350"/>
        <v>291</v>
      </c>
      <c r="D5297" t="str">
        <f>"13"</f>
        <v>13</v>
      </c>
      <c r="E5297" t="str">
        <f>"1-291-13"</f>
        <v>1-291-13</v>
      </c>
      <c r="F5297" t="s">
        <v>15</v>
      </c>
      <c r="G5297" t="s">
        <v>16</v>
      </c>
      <c r="H5297" t="s">
        <v>17</v>
      </c>
      <c r="I5297">
        <v>1</v>
      </c>
      <c r="J5297">
        <v>0</v>
      </c>
      <c r="K5297">
        <v>0</v>
      </c>
    </row>
    <row r="5298" spans="1:11" x14ac:dyDescent="0.25">
      <c r="A5298" t="str">
        <f>"6642"</f>
        <v>6642</v>
      </c>
      <c r="B5298" t="str">
        <f t="shared" si="349"/>
        <v>1</v>
      </c>
      <c r="C5298" t="str">
        <f t="shared" si="350"/>
        <v>291</v>
      </c>
      <c r="D5298" t="str">
        <f>"27"</f>
        <v>27</v>
      </c>
      <c r="E5298" t="str">
        <f>"1-291-27"</f>
        <v>1-291-27</v>
      </c>
      <c r="F5298" t="s">
        <v>15</v>
      </c>
      <c r="G5298" t="s">
        <v>16</v>
      </c>
      <c r="H5298" t="s">
        <v>17</v>
      </c>
      <c r="I5298">
        <v>1</v>
      </c>
      <c r="J5298">
        <v>0</v>
      </c>
      <c r="K5298">
        <v>0</v>
      </c>
    </row>
    <row r="5299" spans="1:11" x14ac:dyDescent="0.25">
      <c r="A5299" t="str">
        <f>"6643"</f>
        <v>6643</v>
      </c>
      <c r="B5299" t="str">
        <f t="shared" si="349"/>
        <v>1</v>
      </c>
      <c r="C5299" t="str">
        <f t="shared" si="350"/>
        <v>291</v>
      </c>
      <c r="D5299" t="str">
        <f>"14"</f>
        <v>14</v>
      </c>
      <c r="E5299" t="str">
        <f>"1-291-14"</f>
        <v>1-291-14</v>
      </c>
      <c r="F5299" t="s">
        <v>15</v>
      </c>
      <c r="G5299" t="s">
        <v>16</v>
      </c>
      <c r="H5299" t="s">
        <v>17</v>
      </c>
      <c r="I5299">
        <v>0</v>
      </c>
      <c r="J5299">
        <v>0</v>
      </c>
      <c r="K5299">
        <v>1</v>
      </c>
    </row>
    <row r="5300" spans="1:11" x14ac:dyDescent="0.25">
      <c r="A5300" t="str">
        <f>"6644"</f>
        <v>6644</v>
      </c>
      <c r="B5300" t="str">
        <f t="shared" si="349"/>
        <v>1</v>
      </c>
      <c r="C5300" t="str">
        <f t="shared" si="350"/>
        <v>291</v>
      </c>
      <c r="D5300" t="str">
        <f>"28"</f>
        <v>28</v>
      </c>
      <c r="E5300" t="str">
        <f>"1-291-28"</f>
        <v>1-291-28</v>
      </c>
      <c r="F5300" t="s">
        <v>15</v>
      </c>
      <c r="G5300" t="s">
        <v>18</v>
      </c>
      <c r="H5300" t="s">
        <v>19</v>
      </c>
      <c r="I5300">
        <v>1</v>
      </c>
      <c r="J5300">
        <v>0</v>
      </c>
      <c r="K5300">
        <v>0</v>
      </c>
    </row>
    <row r="5301" spans="1:11" x14ac:dyDescent="0.25">
      <c r="A5301" t="str">
        <f>"6645"</f>
        <v>6645</v>
      </c>
      <c r="B5301" t="str">
        <f t="shared" si="349"/>
        <v>1</v>
      </c>
      <c r="C5301" t="str">
        <f t="shared" si="350"/>
        <v>291</v>
      </c>
      <c r="D5301" t="str">
        <f>"4"</f>
        <v>4</v>
      </c>
      <c r="E5301" t="str">
        <f>"1-291-4"</f>
        <v>1-291-4</v>
      </c>
      <c r="F5301" t="s">
        <v>15</v>
      </c>
      <c r="G5301" t="s">
        <v>16</v>
      </c>
      <c r="H5301" t="s">
        <v>17</v>
      </c>
      <c r="I5301">
        <v>0</v>
      </c>
      <c r="J5301">
        <v>0</v>
      </c>
      <c r="K5301">
        <v>1</v>
      </c>
    </row>
    <row r="5302" spans="1:11" x14ac:dyDescent="0.25">
      <c r="A5302" t="str">
        <f>"6646"</f>
        <v>6646</v>
      </c>
      <c r="B5302" t="str">
        <f t="shared" si="349"/>
        <v>1</v>
      </c>
      <c r="C5302" t="str">
        <f t="shared" si="350"/>
        <v>291</v>
      </c>
      <c r="D5302" t="str">
        <f>"10"</f>
        <v>10</v>
      </c>
      <c r="E5302" t="str">
        <f>"1-291-10"</f>
        <v>1-291-10</v>
      </c>
      <c r="F5302" t="s">
        <v>15</v>
      </c>
      <c r="G5302" t="s">
        <v>16</v>
      </c>
      <c r="H5302" t="s">
        <v>17</v>
      </c>
      <c r="I5302">
        <v>0</v>
      </c>
      <c r="J5302">
        <v>1</v>
      </c>
      <c r="K5302">
        <v>0</v>
      </c>
    </row>
    <row r="5303" spans="1:11" x14ac:dyDescent="0.25">
      <c r="A5303" t="str">
        <f>"6647"</f>
        <v>6647</v>
      </c>
      <c r="B5303" t="str">
        <f t="shared" si="349"/>
        <v>1</v>
      </c>
      <c r="C5303" t="str">
        <f t="shared" si="350"/>
        <v>291</v>
      </c>
      <c r="D5303" t="str">
        <f>"11"</f>
        <v>11</v>
      </c>
      <c r="E5303" t="str">
        <f>"1-291-11"</f>
        <v>1-291-11</v>
      </c>
      <c r="F5303" t="s">
        <v>15</v>
      </c>
      <c r="G5303" t="s">
        <v>16</v>
      </c>
      <c r="H5303" t="s">
        <v>17</v>
      </c>
      <c r="I5303">
        <v>0</v>
      </c>
      <c r="J5303">
        <v>1</v>
      </c>
      <c r="K5303">
        <v>0</v>
      </c>
    </row>
    <row r="5304" spans="1:11" x14ac:dyDescent="0.25">
      <c r="A5304" t="str">
        <f>"6648"</f>
        <v>6648</v>
      </c>
      <c r="B5304" t="str">
        <f t="shared" si="349"/>
        <v>1</v>
      </c>
      <c r="C5304" t="str">
        <f t="shared" si="350"/>
        <v>291</v>
      </c>
      <c r="D5304" t="str">
        <f>"23"</f>
        <v>23</v>
      </c>
      <c r="E5304" t="str">
        <f>"1-291-23"</f>
        <v>1-291-23</v>
      </c>
      <c r="F5304" t="s">
        <v>15</v>
      </c>
      <c r="G5304" t="s">
        <v>16</v>
      </c>
      <c r="H5304" t="s">
        <v>17</v>
      </c>
      <c r="I5304">
        <v>0</v>
      </c>
      <c r="J5304">
        <v>0</v>
      </c>
      <c r="K5304">
        <v>0</v>
      </c>
    </row>
    <row r="5305" spans="1:11" x14ac:dyDescent="0.25">
      <c r="A5305" t="str">
        <f>"6649"</f>
        <v>6649</v>
      </c>
      <c r="B5305" t="str">
        <f t="shared" si="349"/>
        <v>1</v>
      </c>
      <c r="C5305" t="str">
        <f t="shared" si="350"/>
        <v>291</v>
      </c>
      <c r="D5305" t="str">
        <f>"25"</f>
        <v>25</v>
      </c>
      <c r="E5305" t="str">
        <f>"1-291-25"</f>
        <v>1-291-25</v>
      </c>
      <c r="F5305" t="s">
        <v>15</v>
      </c>
      <c r="G5305" t="s">
        <v>16</v>
      </c>
      <c r="H5305" t="s">
        <v>17</v>
      </c>
      <c r="I5305">
        <v>0</v>
      </c>
      <c r="J5305">
        <v>1</v>
      </c>
      <c r="K5305">
        <v>0</v>
      </c>
    </row>
    <row r="5306" spans="1:11" x14ac:dyDescent="0.25">
      <c r="A5306" t="str">
        <f>"6680"</f>
        <v>6680</v>
      </c>
      <c r="B5306" t="str">
        <f t="shared" si="349"/>
        <v>1</v>
      </c>
      <c r="C5306" t="str">
        <f t="shared" ref="C5306:C5333" si="351">"293"</f>
        <v>293</v>
      </c>
      <c r="D5306" t="str">
        <f>"22"</f>
        <v>22</v>
      </c>
      <c r="E5306" t="str">
        <f>"1-293-22"</f>
        <v>1-293-22</v>
      </c>
      <c r="F5306" t="s">
        <v>15</v>
      </c>
      <c r="G5306" t="s">
        <v>16</v>
      </c>
      <c r="H5306" t="s">
        <v>17</v>
      </c>
      <c r="I5306">
        <v>1</v>
      </c>
      <c r="J5306">
        <v>0</v>
      </c>
      <c r="K5306">
        <v>0</v>
      </c>
    </row>
    <row r="5307" spans="1:11" x14ac:dyDescent="0.25">
      <c r="A5307" t="str">
        <f>"6681"</f>
        <v>6681</v>
      </c>
      <c r="B5307" t="str">
        <f t="shared" si="349"/>
        <v>1</v>
      </c>
      <c r="C5307" t="str">
        <f t="shared" si="351"/>
        <v>293</v>
      </c>
      <c r="D5307" t="str">
        <f>"21"</f>
        <v>21</v>
      </c>
      <c r="E5307" t="str">
        <f>"1-293-21"</f>
        <v>1-293-21</v>
      </c>
      <c r="F5307" t="s">
        <v>15</v>
      </c>
      <c r="G5307" t="s">
        <v>16</v>
      </c>
      <c r="H5307" t="s">
        <v>17</v>
      </c>
      <c r="I5307">
        <v>1</v>
      </c>
      <c r="J5307">
        <v>0</v>
      </c>
      <c r="K5307">
        <v>0</v>
      </c>
    </row>
    <row r="5308" spans="1:11" x14ac:dyDescent="0.25">
      <c r="A5308" t="str">
        <f>"6682"</f>
        <v>6682</v>
      </c>
      <c r="B5308" t="str">
        <f t="shared" ref="B5308:B5349" si="352">"1"</f>
        <v>1</v>
      </c>
      <c r="C5308" t="str">
        <f t="shared" si="351"/>
        <v>293</v>
      </c>
      <c r="D5308" t="str">
        <f>"1"</f>
        <v>1</v>
      </c>
      <c r="E5308" t="str">
        <f>"1-293-1"</f>
        <v>1-293-1</v>
      </c>
      <c r="F5308" t="s">
        <v>15</v>
      </c>
      <c r="G5308" t="s">
        <v>18</v>
      </c>
      <c r="H5308" t="s">
        <v>19</v>
      </c>
      <c r="I5308">
        <v>1</v>
      </c>
      <c r="J5308">
        <v>0</v>
      </c>
      <c r="K5308">
        <v>0</v>
      </c>
    </row>
    <row r="5309" spans="1:11" x14ac:dyDescent="0.25">
      <c r="A5309" t="str">
        <f>"6683"</f>
        <v>6683</v>
      </c>
      <c r="B5309" t="str">
        <f t="shared" si="352"/>
        <v>1</v>
      </c>
      <c r="C5309" t="str">
        <f t="shared" si="351"/>
        <v>293</v>
      </c>
      <c r="D5309" t="str">
        <f>"26"</f>
        <v>26</v>
      </c>
      <c r="E5309" t="str">
        <f>"1-293-26"</f>
        <v>1-293-26</v>
      </c>
      <c r="F5309" t="s">
        <v>15</v>
      </c>
      <c r="G5309" t="s">
        <v>16</v>
      </c>
      <c r="H5309" t="s">
        <v>17</v>
      </c>
      <c r="I5309">
        <v>0</v>
      </c>
      <c r="J5309">
        <v>1</v>
      </c>
      <c r="K5309">
        <v>0</v>
      </c>
    </row>
    <row r="5310" spans="1:11" x14ac:dyDescent="0.25">
      <c r="A5310" t="str">
        <f>"6684"</f>
        <v>6684</v>
      </c>
      <c r="B5310" t="str">
        <f t="shared" si="352"/>
        <v>1</v>
      </c>
      <c r="C5310" t="str">
        <f t="shared" si="351"/>
        <v>293</v>
      </c>
      <c r="D5310" t="str">
        <f>"16"</f>
        <v>16</v>
      </c>
      <c r="E5310" t="str">
        <f>"1-293-16"</f>
        <v>1-293-16</v>
      </c>
      <c r="F5310" t="s">
        <v>15</v>
      </c>
      <c r="G5310" t="s">
        <v>20</v>
      </c>
      <c r="H5310" t="s">
        <v>21</v>
      </c>
      <c r="I5310">
        <v>1</v>
      </c>
      <c r="J5310">
        <v>0</v>
      </c>
      <c r="K5310">
        <v>0</v>
      </c>
    </row>
    <row r="5311" spans="1:11" x14ac:dyDescent="0.25">
      <c r="A5311" t="str">
        <f>"6685"</f>
        <v>6685</v>
      </c>
      <c r="B5311" t="str">
        <f t="shared" si="352"/>
        <v>1</v>
      </c>
      <c r="C5311" t="str">
        <f t="shared" si="351"/>
        <v>293</v>
      </c>
      <c r="D5311" t="str">
        <f>"3"</f>
        <v>3</v>
      </c>
      <c r="E5311" t="str">
        <f>"1-293-3"</f>
        <v>1-293-3</v>
      </c>
      <c r="F5311" t="s">
        <v>15</v>
      </c>
      <c r="G5311" t="s">
        <v>16</v>
      </c>
      <c r="H5311" t="s">
        <v>17</v>
      </c>
      <c r="I5311">
        <v>0</v>
      </c>
      <c r="J5311">
        <v>0</v>
      </c>
      <c r="K5311">
        <v>1</v>
      </c>
    </row>
    <row r="5312" spans="1:11" x14ac:dyDescent="0.25">
      <c r="A5312" t="str">
        <f>"6686"</f>
        <v>6686</v>
      </c>
      <c r="B5312" t="str">
        <f t="shared" si="352"/>
        <v>1</v>
      </c>
      <c r="C5312" t="str">
        <f t="shared" si="351"/>
        <v>293</v>
      </c>
      <c r="D5312" t="str">
        <f>"9"</f>
        <v>9</v>
      </c>
      <c r="E5312" t="str">
        <f>"1-293-9"</f>
        <v>1-293-9</v>
      </c>
      <c r="F5312" t="s">
        <v>15</v>
      </c>
      <c r="G5312" t="s">
        <v>16</v>
      </c>
      <c r="H5312" t="s">
        <v>17</v>
      </c>
      <c r="I5312">
        <v>0</v>
      </c>
      <c r="J5312">
        <v>1</v>
      </c>
      <c r="K5312">
        <v>0</v>
      </c>
    </row>
    <row r="5313" spans="1:11" x14ac:dyDescent="0.25">
      <c r="A5313" t="str">
        <f>"6687"</f>
        <v>6687</v>
      </c>
      <c r="B5313" t="str">
        <f t="shared" si="352"/>
        <v>1</v>
      </c>
      <c r="C5313" t="str">
        <f t="shared" si="351"/>
        <v>293</v>
      </c>
      <c r="D5313" t="str">
        <f>"12"</f>
        <v>12</v>
      </c>
      <c r="E5313" t="str">
        <f>"1-293-12"</f>
        <v>1-293-12</v>
      </c>
      <c r="F5313" t="s">
        <v>15</v>
      </c>
      <c r="G5313" t="s">
        <v>16</v>
      </c>
      <c r="H5313" t="s">
        <v>17</v>
      </c>
      <c r="I5313">
        <v>1</v>
      </c>
      <c r="J5313">
        <v>0</v>
      </c>
      <c r="K5313">
        <v>0</v>
      </c>
    </row>
    <row r="5314" spans="1:11" x14ac:dyDescent="0.25">
      <c r="A5314" t="str">
        <f>"6688"</f>
        <v>6688</v>
      </c>
      <c r="B5314" t="str">
        <f t="shared" si="352"/>
        <v>1</v>
      </c>
      <c r="C5314" t="str">
        <f t="shared" si="351"/>
        <v>293</v>
      </c>
      <c r="D5314" t="str">
        <f>"20"</f>
        <v>20</v>
      </c>
      <c r="E5314" t="str">
        <f>"1-293-20"</f>
        <v>1-293-20</v>
      </c>
      <c r="F5314" t="s">
        <v>15</v>
      </c>
      <c r="G5314" t="s">
        <v>20</v>
      </c>
      <c r="H5314" t="s">
        <v>21</v>
      </c>
      <c r="I5314">
        <v>1</v>
      </c>
      <c r="J5314">
        <v>0</v>
      </c>
      <c r="K5314">
        <v>0</v>
      </c>
    </row>
    <row r="5315" spans="1:11" x14ac:dyDescent="0.25">
      <c r="A5315" t="str">
        <f>"6689"</f>
        <v>6689</v>
      </c>
      <c r="B5315" t="str">
        <f t="shared" si="352"/>
        <v>1</v>
      </c>
      <c r="C5315" t="str">
        <f t="shared" si="351"/>
        <v>293</v>
      </c>
      <c r="D5315" t="str">
        <f>"2"</f>
        <v>2</v>
      </c>
      <c r="E5315" t="str">
        <f>"1-293-2"</f>
        <v>1-293-2</v>
      </c>
      <c r="F5315" t="s">
        <v>15</v>
      </c>
      <c r="G5315" t="s">
        <v>16</v>
      </c>
      <c r="H5315" t="s">
        <v>17</v>
      </c>
      <c r="I5315">
        <v>0</v>
      </c>
      <c r="J5315">
        <v>0</v>
      </c>
      <c r="K5315">
        <v>1</v>
      </c>
    </row>
    <row r="5316" spans="1:11" x14ac:dyDescent="0.25">
      <c r="A5316" t="str">
        <f>"6690"</f>
        <v>6690</v>
      </c>
      <c r="B5316" t="str">
        <f t="shared" si="352"/>
        <v>1</v>
      </c>
      <c r="C5316" t="str">
        <f t="shared" si="351"/>
        <v>293</v>
      </c>
      <c r="D5316" t="str">
        <f>"23"</f>
        <v>23</v>
      </c>
      <c r="E5316" t="str">
        <f>"1-293-23"</f>
        <v>1-293-23</v>
      </c>
      <c r="F5316" t="s">
        <v>15</v>
      </c>
      <c r="G5316" t="s">
        <v>16</v>
      </c>
      <c r="H5316" t="s">
        <v>17</v>
      </c>
      <c r="I5316">
        <v>1</v>
      </c>
      <c r="J5316">
        <v>0</v>
      </c>
      <c r="K5316">
        <v>0</v>
      </c>
    </row>
    <row r="5317" spans="1:11" x14ac:dyDescent="0.25">
      <c r="A5317" t="str">
        <f>"6691"</f>
        <v>6691</v>
      </c>
      <c r="B5317" t="str">
        <f t="shared" si="352"/>
        <v>1</v>
      </c>
      <c r="C5317" t="str">
        <f t="shared" si="351"/>
        <v>293</v>
      </c>
      <c r="D5317" t="str">
        <f>"8"</f>
        <v>8</v>
      </c>
      <c r="E5317" t="str">
        <f>"1-293-8"</f>
        <v>1-293-8</v>
      </c>
      <c r="F5317" t="s">
        <v>15</v>
      </c>
      <c r="G5317" t="s">
        <v>16</v>
      </c>
      <c r="H5317" t="s">
        <v>17</v>
      </c>
      <c r="I5317">
        <v>1</v>
      </c>
      <c r="J5317">
        <v>0</v>
      </c>
      <c r="K5317">
        <v>0</v>
      </c>
    </row>
    <row r="5318" spans="1:11" x14ac:dyDescent="0.25">
      <c r="A5318" t="str">
        <f>"6692"</f>
        <v>6692</v>
      </c>
      <c r="B5318" t="str">
        <f t="shared" si="352"/>
        <v>1</v>
      </c>
      <c r="C5318" t="str">
        <f t="shared" si="351"/>
        <v>293</v>
      </c>
      <c r="D5318" t="str">
        <f>"24"</f>
        <v>24</v>
      </c>
      <c r="E5318" t="str">
        <f>"1-293-24"</f>
        <v>1-293-24</v>
      </c>
      <c r="F5318" t="s">
        <v>15</v>
      </c>
      <c r="G5318" t="s">
        <v>16</v>
      </c>
      <c r="H5318" t="s">
        <v>17</v>
      </c>
      <c r="I5318">
        <v>1</v>
      </c>
      <c r="J5318">
        <v>0</v>
      </c>
      <c r="K5318">
        <v>0</v>
      </c>
    </row>
    <row r="5319" spans="1:11" x14ac:dyDescent="0.25">
      <c r="A5319" t="str">
        <f>"6693"</f>
        <v>6693</v>
      </c>
      <c r="B5319" t="str">
        <f t="shared" si="352"/>
        <v>1</v>
      </c>
      <c r="C5319" t="str">
        <f t="shared" si="351"/>
        <v>293</v>
      </c>
      <c r="D5319" t="str">
        <f>"5"</f>
        <v>5</v>
      </c>
      <c r="E5319" t="str">
        <f>"1-293-5"</f>
        <v>1-293-5</v>
      </c>
      <c r="F5319" t="s">
        <v>15</v>
      </c>
      <c r="G5319" t="s">
        <v>16</v>
      </c>
      <c r="H5319" t="s">
        <v>17</v>
      </c>
      <c r="I5319">
        <v>1</v>
      </c>
      <c r="J5319">
        <v>0</v>
      </c>
      <c r="K5319">
        <v>0</v>
      </c>
    </row>
    <row r="5320" spans="1:11" x14ac:dyDescent="0.25">
      <c r="A5320" t="str">
        <f>"6694"</f>
        <v>6694</v>
      </c>
      <c r="B5320" t="str">
        <f t="shared" si="352"/>
        <v>1</v>
      </c>
      <c r="C5320" t="str">
        <f t="shared" si="351"/>
        <v>293</v>
      </c>
      <c r="D5320" t="str">
        <f>"25"</f>
        <v>25</v>
      </c>
      <c r="E5320" t="str">
        <f>"1-293-25"</f>
        <v>1-293-25</v>
      </c>
      <c r="F5320" t="s">
        <v>15</v>
      </c>
      <c r="G5320" t="s">
        <v>18</v>
      </c>
      <c r="H5320" t="s">
        <v>19</v>
      </c>
      <c r="I5320">
        <v>0</v>
      </c>
      <c r="J5320">
        <v>1</v>
      </c>
      <c r="K5320">
        <v>0</v>
      </c>
    </row>
    <row r="5321" spans="1:11" x14ac:dyDescent="0.25">
      <c r="A5321" t="str">
        <f>"6695"</f>
        <v>6695</v>
      </c>
      <c r="B5321" t="str">
        <f t="shared" si="352"/>
        <v>1</v>
      </c>
      <c r="C5321" t="str">
        <f t="shared" si="351"/>
        <v>293</v>
      </c>
      <c r="D5321" t="str">
        <f>"4"</f>
        <v>4</v>
      </c>
      <c r="E5321" t="str">
        <f>"1-293-4"</f>
        <v>1-293-4</v>
      </c>
      <c r="F5321" t="s">
        <v>15</v>
      </c>
      <c r="G5321" t="s">
        <v>16</v>
      </c>
      <c r="H5321" t="s">
        <v>17</v>
      </c>
      <c r="I5321">
        <v>1</v>
      </c>
      <c r="J5321">
        <v>0</v>
      </c>
      <c r="K5321">
        <v>0</v>
      </c>
    </row>
    <row r="5322" spans="1:11" x14ac:dyDescent="0.25">
      <c r="A5322" t="str">
        <f>"6696"</f>
        <v>6696</v>
      </c>
      <c r="B5322" t="str">
        <f t="shared" si="352"/>
        <v>1</v>
      </c>
      <c r="C5322" t="str">
        <f t="shared" si="351"/>
        <v>293</v>
      </c>
      <c r="D5322" t="str">
        <f>"27"</f>
        <v>27</v>
      </c>
      <c r="E5322" t="str">
        <f>"1-293-27"</f>
        <v>1-293-27</v>
      </c>
      <c r="F5322" t="s">
        <v>15</v>
      </c>
      <c r="G5322" t="s">
        <v>16</v>
      </c>
      <c r="H5322" t="s">
        <v>17</v>
      </c>
      <c r="I5322">
        <v>1</v>
      </c>
      <c r="J5322">
        <v>0</v>
      </c>
      <c r="K5322">
        <v>0</v>
      </c>
    </row>
    <row r="5323" spans="1:11" x14ac:dyDescent="0.25">
      <c r="A5323" t="str">
        <f>"6697"</f>
        <v>6697</v>
      </c>
      <c r="B5323" t="str">
        <f t="shared" si="352"/>
        <v>1</v>
      </c>
      <c r="C5323" t="str">
        <f t="shared" si="351"/>
        <v>293</v>
      </c>
      <c r="D5323" t="str">
        <f>"6"</f>
        <v>6</v>
      </c>
      <c r="E5323" t="str">
        <f>"1-293-6"</f>
        <v>1-293-6</v>
      </c>
      <c r="F5323" t="s">
        <v>15</v>
      </c>
      <c r="G5323" t="s">
        <v>16</v>
      </c>
      <c r="H5323" t="s">
        <v>17</v>
      </c>
      <c r="I5323">
        <v>1</v>
      </c>
      <c r="J5323">
        <v>0</v>
      </c>
      <c r="K5323">
        <v>0</v>
      </c>
    </row>
    <row r="5324" spans="1:11" x14ac:dyDescent="0.25">
      <c r="A5324" t="str">
        <f>"6698"</f>
        <v>6698</v>
      </c>
      <c r="B5324" t="str">
        <f t="shared" si="352"/>
        <v>1</v>
      </c>
      <c r="C5324" t="str">
        <f t="shared" si="351"/>
        <v>293</v>
      </c>
      <c r="D5324" t="str">
        <f>"28"</f>
        <v>28</v>
      </c>
      <c r="E5324" t="str">
        <f>"1-293-28"</f>
        <v>1-293-28</v>
      </c>
      <c r="F5324" t="s">
        <v>15</v>
      </c>
      <c r="G5324" t="s">
        <v>16</v>
      </c>
      <c r="H5324" t="s">
        <v>17</v>
      </c>
      <c r="I5324">
        <v>0</v>
      </c>
      <c r="J5324">
        <v>1</v>
      </c>
      <c r="K5324">
        <v>0</v>
      </c>
    </row>
    <row r="5325" spans="1:11" x14ac:dyDescent="0.25">
      <c r="A5325" t="str">
        <f>"6699"</f>
        <v>6699</v>
      </c>
      <c r="B5325" t="str">
        <f t="shared" si="352"/>
        <v>1</v>
      </c>
      <c r="C5325" t="str">
        <f t="shared" si="351"/>
        <v>293</v>
      </c>
      <c r="D5325" t="str">
        <f>"11"</f>
        <v>11</v>
      </c>
      <c r="E5325" t="str">
        <f>"1-293-11"</f>
        <v>1-293-11</v>
      </c>
      <c r="F5325" t="s">
        <v>15</v>
      </c>
      <c r="G5325" t="s">
        <v>16</v>
      </c>
      <c r="H5325" t="s">
        <v>17</v>
      </c>
      <c r="I5325">
        <v>1</v>
      </c>
      <c r="J5325">
        <v>0</v>
      </c>
      <c r="K5325">
        <v>0</v>
      </c>
    </row>
    <row r="5326" spans="1:11" x14ac:dyDescent="0.25">
      <c r="A5326" t="str">
        <f>"6700"</f>
        <v>6700</v>
      </c>
      <c r="B5326" t="str">
        <f t="shared" si="352"/>
        <v>1</v>
      </c>
      <c r="C5326" t="str">
        <f t="shared" si="351"/>
        <v>293</v>
      </c>
      <c r="D5326" t="str">
        <f>"7"</f>
        <v>7</v>
      </c>
      <c r="E5326" t="str">
        <f>"1-293-7"</f>
        <v>1-293-7</v>
      </c>
      <c r="F5326" t="s">
        <v>15</v>
      </c>
      <c r="G5326" t="s">
        <v>16</v>
      </c>
      <c r="H5326" t="s">
        <v>17</v>
      </c>
      <c r="I5326">
        <v>0</v>
      </c>
      <c r="J5326">
        <v>1</v>
      </c>
      <c r="K5326">
        <v>0</v>
      </c>
    </row>
    <row r="5327" spans="1:11" x14ac:dyDescent="0.25">
      <c r="A5327" t="str">
        <f>"6701"</f>
        <v>6701</v>
      </c>
      <c r="B5327" t="str">
        <f t="shared" si="352"/>
        <v>1</v>
      </c>
      <c r="C5327" t="str">
        <f t="shared" si="351"/>
        <v>293</v>
      </c>
      <c r="D5327" t="str">
        <f>"14"</f>
        <v>14</v>
      </c>
      <c r="E5327" t="str">
        <f>"1-293-14"</f>
        <v>1-293-14</v>
      </c>
      <c r="F5327" t="s">
        <v>15</v>
      </c>
      <c r="G5327" t="s">
        <v>18</v>
      </c>
      <c r="H5327" t="s">
        <v>19</v>
      </c>
      <c r="I5327">
        <v>1</v>
      </c>
      <c r="J5327">
        <v>0</v>
      </c>
      <c r="K5327">
        <v>0</v>
      </c>
    </row>
    <row r="5328" spans="1:11" x14ac:dyDescent="0.25">
      <c r="A5328" t="str">
        <f>"6702"</f>
        <v>6702</v>
      </c>
      <c r="B5328" t="str">
        <f t="shared" si="352"/>
        <v>1</v>
      </c>
      <c r="C5328" t="str">
        <f t="shared" si="351"/>
        <v>293</v>
      </c>
      <c r="D5328" t="str">
        <f>"10"</f>
        <v>10</v>
      </c>
      <c r="E5328" t="str">
        <f>"1-293-10"</f>
        <v>1-293-10</v>
      </c>
      <c r="F5328" t="s">
        <v>15</v>
      </c>
      <c r="G5328" t="s">
        <v>16</v>
      </c>
      <c r="H5328" t="s">
        <v>17</v>
      </c>
      <c r="I5328">
        <v>1</v>
      </c>
      <c r="J5328">
        <v>0</v>
      </c>
      <c r="K5328">
        <v>0</v>
      </c>
    </row>
    <row r="5329" spans="1:11" x14ac:dyDescent="0.25">
      <c r="A5329" t="str">
        <f>"6703"</f>
        <v>6703</v>
      </c>
      <c r="B5329" t="str">
        <f t="shared" si="352"/>
        <v>1</v>
      </c>
      <c r="C5329" t="str">
        <f t="shared" si="351"/>
        <v>293</v>
      </c>
      <c r="D5329" t="str">
        <f>"13"</f>
        <v>13</v>
      </c>
      <c r="E5329" t="str">
        <f>"1-293-13"</f>
        <v>1-293-13</v>
      </c>
      <c r="F5329" t="s">
        <v>15</v>
      </c>
      <c r="G5329" t="s">
        <v>18</v>
      </c>
      <c r="H5329" t="s">
        <v>19</v>
      </c>
      <c r="I5329">
        <v>1</v>
      </c>
      <c r="J5329">
        <v>0</v>
      </c>
      <c r="K5329">
        <v>0</v>
      </c>
    </row>
    <row r="5330" spans="1:11" x14ac:dyDescent="0.25">
      <c r="A5330" t="str">
        <f>"6704"</f>
        <v>6704</v>
      </c>
      <c r="B5330" t="str">
        <f t="shared" si="352"/>
        <v>1</v>
      </c>
      <c r="C5330" t="str">
        <f t="shared" si="351"/>
        <v>293</v>
      </c>
      <c r="D5330" t="str">
        <f>"15"</f>
        <v>15</v>
      </c>
      <c r="E5330" t="str">
        <f>"1-293-15"</f>
        <v>1-293-15</v>
      </c>
      <c r="F5330" t="s">
        <v>15</v>
      </c>
      <c r="G5330" t="s">
        <v>16</v>
      </c>
      <c r="H5330" t="s">
        <v>17</v>
      </c>
      <c r="I5330">
        <v>0</v>
      </c>
      <c r="J5330">
        <v>0</v>
      </c>
      <c r="K5330">
        <v>0</v>
      </c>
    </row>
    <row r="5331" spans="1:11" x14ac:dyDescent="0.25">
      <c r="A5331" t="str">
        <f>"6705"</f>
        <v>6705</v>
      </c>
      <c r="B5331" t="str">
        <f t="shared" si="352"/>
        <v>1</v>
      </c>
      <c r="C5331" t="str">
        <f t="shared" si="351"/>
        <v>293</v>
      </c>
      <c r="D5331" t="str">
        <f>"18"</f>
        <v>18</v>
      </c>
      <c r="E5331" t="str">
        <f>"1-293-18"</f>
        <v>1-293-18</v>
      </c>
      <c r="F5331" t="s">
        <v>15</v>
      </c>
      <c r="G5331" t="s">
        <v>16</v>
      </c>
      <c r="H5331" t="s">
        <v>17</v>
      </c>
      <c r="I5331">
        <v>0</v>
      </c>
      <c r="J5331">
        <v>0</v>
      </c>
      <c r="K5331">
        <v>0</v>
      </c>
    </row>
    <row r="5332" spans="1:11" x14ac:dyDescent="0.25">
      <c r="A5332" t="str">
        <f>"6706"</f>
        <v>6706</v>
      </c>
      <c r="B5332" t="str">
        <f t="shared" si="352"/>
        <v>1</v>
      </c>
      <c r="C5332" t="str">
        <f t="shared" si="351"/>
        <v>293</v>
      </c>
      <c r="D5332" t="str">
        <f>"19"</f>
        <v>19</v>
      </c>
      <c r="E5332" t="str">
        <f>"1-293-19"</f>
        <v>1-293-19</v>
      </c>
      <c r="F5332" t="s">
        <v>15</v>
      </c>
      <c r="G5332" t="s">
        <v>16</v>
      </c>
      <c r="H5332" t="s">
        <v>17</v>
      </c>
      <c r="I5332">
        <v>0</v>
      </c>
      <c r="J5332">
        <v>0</v>
      </c>
      <c r="K5332">
        <v>0</v>
      </c>
    </row>
    <row r="5333" spans="1:11" x14ac:dyDescent="0.25">
      <c r="A5333" t="str">
        <f>"6707"</f>
        <v>6707</v>
      </c>
      <c r="B5333" t="str">
        <f t="shared" si="352"/>
        <v>1</v>
      </c>
      <c r="C5333" t="str">
        <f t="shared" si="351"/>
        <v>293</v>
      </c>
      <c r="D5333" t="str">
        <f>"17"</f>
        <v>17</v>
      </c>
      <c r="E5333" t="str">
        <f>"1-293-17"</f>
        <v>1-293-17</v>
      </c>
      <c r="F5333" t="s">
        <v>15</v>
      </c>
      <c r="G5333" t="s">
        <v>16</v>
      </c>
      <c r="H5333" t="s">
        <v>17</v>
      </c>
      <c r="I5333">
        <v>0</v>
      </c>
      <c r="J5333">
        <v>0</v>
      </c>
      <c r="K5333">
        <v>0</v>
      </c>
    </row>
    <row r="5334" spans="1:11" x14ac:dyDescent="0.25">
      <c r="A5334" t="str">
        <f>"6708"</f>
        <v>6708</v>
      </c>
      <c r="B5334" t="str">
        <f t="shared" si="352"/>
        <v>1</v>
      </c>
      <c r="C5334" t="str">
        <f t="shared" ref="C5334:C5347" si="353">"294"</f>
        <v>294</v>
      </c>
      <c r="D5334" t="str">
        <f>"17"</f>
        <v>17</v>
      </c>
      <c r="E5334" t="str">
        <f>"1-294-17"</f>
        <v>1-294-17</v>
      </c>
      <c r="F5334" t="s">
        <v>15</v>
      </c>
      <c r="G5334" t="s">
        <v>20</v>
      </c>
      <c r="H5334" t="s">
        <v>21</v>
      </c>
      <c r="I5334">
        <v>1</v>
      </c>
      <c r="J5334">
        <v>0</v>
      </c>
      <c r="K5334">
        <v>0</v>
      </c>
    </row>
    <row r="5335" spans="1:11" x14ac:dyDescent="0.25">
      <c r="A5335" t="str">
        <f>"6709"</f>
        <v>6709</v>
      </c>
      <c r="B5335" t="str">
        <f t="shared" si="352"/>
        <v>1</v>
      </c>
      <c r="C5335" t="str">
        <f t="shared" si="353"/>
        <v>294</v>
      </c>
      <c r="D5335" t="str">
        <f>"15"</f>
        <v>15</v>
      </c>
      <c r="E5335" t="str">
        <f>"1-294-15"</f>
        <v>1-294-15</v>
      </c>
      <c r="F5335" t="s">
        <v>15</v>
      </c>
      <c r="G5335" t="s">
        <v>20</v>
      </c>
      <c r="H5335" t="s">
        <v>21</v>
      </c>
      <c r="I5335">
        <v>0</v>
      </c>
      <c r="J5335">
        <v>0</v>
      </c>
      <c r="K5335">
        <v>1</v>
      </c>
    </row>
    <row r="5336" spans="1:11" x14ac:dyDescent="0.25">
      <c r="A5336" t="str">
        <f>"6711"</f>
        <v>6711</v>
      </c>
      <c r="B5336" t="str">
        <f t="shared" si="352"/>
        <v>1</v>
      </c>
      <c r="C5336" t="str">
        <f t="shared" si="353"/>
        <v>294</v>
      </c>
      <c r="D5336" t="str">
        <f>"22"</f>
        <v>22</v>
      </c>
      <c r="E5336" t="str">
        <f>"1-294-22"</f>
        <v>1-294-22</v>
      </c>
      <c r="F5336" t="s">
        <v>15</v>
      </c>
      <c r="G5336" t="s">
        <v>20</v>
      </c>
      <c r="H5336" t="s">
        <v>21</v>
      </c>
      <c r="I5336">
        <v>0</v>
      </c>
      <c r="J5336">
        <v>0</v>
      </c>
      <c r="K5336">
        <v>1</v>
      </c>
    </row>
    <row r="5337" spans="1:11" x14ac:dyDescent="0.25">
      <c r="A5337" t="str">
        <f>"6712"</f>
        <v>6712</v>
      </c>
      <c r="B5337" t="str">
        <f t="shared" si="352"/>
        <v>1</v>
      </c>
      <c r="C5337" t="str">
        <f t="shared" si="353"/>
        <v>294</v>
      </c>
      <c r="D5337" t="str">
        <f>"16"</f>
        <v>16</v>
      </c>
      <c r="E5337" t="str">
        <f>"1-294-16"</f>
        <v>1-294-16</v>
      </c>
      <c r="F5337" t="s">
        <v>15</v>
      </c>
      <c r="G5337" t="s">
        <v>20</v>
      </c>
      <c r="H5337" t="s">
        <v>21</v>
      </c>
      <c r="I5337">
        <v>1</v>
      </c>
      <c r="J5337">
        <v>0</v>
      </c>
      <c r="K5337">
        <v>0</v>
      </c>
    </row>
    <row r="5338" spans="1:11" x14ac:dyDescent="0.25">
      <c r="A5338" t="str">
        <f>"6714"</f>
        <v>6714</v>
      </c>
      <c r="B5338" t="str">
        <f t="shared" si="352"/>
        <v>1</v>
      </c>
      <c r="C5338" t="str">
        <f t="shared" si="353"/>
        <v>294</v>
      </c>
      <c r="D5338" t="str">
        <f>"18"</f>
        <v>18</v>
      </c>
      <c r="E5338" t="str">
        <f>"1-294-18"</f>
        <v>1-294-18</v>
      </c>
      <c r="F5338" t="s">
        <v>15</v>
      </c>
      <c r="G5338" t="s">
        <v>20</v>
      </c>
      <c r="H5338" t="s">
        <v>21</v>
      </c>
      <c r="I5338">
        <v>1</v>
      </c>
      <c r="J5338">
        <v>0</v>
      </c>
      <c r="K5338">
        <v>0</v>
      </c>
    </row>
    <row r="5339" spans="1:11" x14ac:dyDescent="0.25">
      <c r="A5339" t="str">
        <f>"6717"</f>
        <v>6717</v>
      </c>
      <c r="B5339" t="str">
        <f t="shared" si="352"/>
        <v>1</v>
      </c>
      <c r="C5339" t="str">
        <f t="shared" si="353"/>
        <v>294</v>
      </c>
      <c r="D5339" t="str">
        <f>"20"</f>
        <v>20</v>
      </c>
      <c r="E5339" t="str">
        <f>"1-294-20"</f>
        <v>1-294-20</v>
      </c>
      <c r="F5339" t="s">
        <v>15</v>
      </c>
      <c r="G5339" t="s">
        <v>20</v>
      </c>
      <c r="H5339" t="s">
        <v>21</v>
      </c>
      <c r="I5339">
        <v>0</v>
      </c>
      <c r="J5339">
        <v>0</v>
      </c>
      <c r="K5339">
        <v>1</v>
      </c>
    </row>
    <row r="5340" spans="1:11" x14ac:dyDescent="0.25">
      <c r="A5340" t="str">
        <f>"6719"</f>
        <v>6719</v>
      </c>
      <c r="B5340" t="str">
        <f t="shared" si="352"/>
        <v>1</v>
      </c>
      <c r="C5340" t="str">
        <f t="shared" si="353"/>
        <v>294</v>
      </c>
      <c r="D5340" t="str">
        <f>"21"</f>
        <v>21</v>
      </c>
      <c r="E5340" t="str">
        <f>"1-294-21"</f>
        <v>1-294-21</v>
      </c>
      <c r="F5340" t="s">
        <v>15</v>
      </c>
      <c r="G5340" t="s">
        <v>20</v>
      </c>
      <c r="H5340" t="s">
        <v>21</v>
      </c>
      <c r="I5340">
        <v>0</v>
      </c>
      <c r="J5340">
        <v>0</v>
      </c>
      <c r="K5340">
        <v>1</v>
      </c>
    </row>
    <row r="5341" spans="1:11" x14ac:dyDescent="0.25">
      <c r="A5341" t="str">
        <f>"6721"</f>
        <v>6721</v>
      </c>
      <c r="B5341" t="str">
        <f t="shared" si="352"/>
        <v>1</v>
      </c>
      <c r="C5341" t="str">
        <f t="shared" si="353"/>
        <v>294</v>
      </c>
      <c r="D5341" t="str">
        <f>"23"</f>
        <v>23</v>
      </c>
      <c r="E5341" t="str">
        <f>"1-294-23"</f>
        <v>1-294-23</v>
      </c>
      <c r="F5341" t="s">
        <v>15</v>
      </c>
      <c r="G5341" t="s">
        <v>20</v>
      </c>
      <c r="H5341" t="s">
        <v>21</v>
      </c>
      <c r="I5341">
        <v>1</v>
      </c>
      <c r="J5341">
        <v>0</v>
      </c>
      <c r="K5341">
        <v>0</v>
      </c>
    </row>
    <row r="5342" spans="1:11" x14ac:dyDescent="0.25">
      <c r="A5342" t="str">
        <f>"6723"</f>
        <v>6723</v>
      </c>
      <c r="B5342" t="str">
        <f t="shared" si="352"/>
        <v>1</v>
      </c>
      <c r="C5342" t="str">
        <f t="shared" si="353"/>
        <v>294</v>
      </c>
      <c r="D5342" t="str">
        <f>"24"</f>
        <v>24</v>
      </c>
      <c r="E5342" t="str">
        <f>"1-294-24"</f>
        <v>1-294-24</v>
      </c>
      <c r="F5342" t="s">
        <v>15</v>
      </c>
      <c r="G5342" t="s">
        <v>20</v>
      </c>
      <c r="H5342" t="s">
        <v>21</v>
      </c>
      <c r="I5342">
        <v>1</v>
      </c>
      <c r="J5342">
        <v>0</v>
      </c>
      <c r="K5342">
        <v>0</v>
      </c>
    </row>
    <row r="5343" spans="1:11" x14ac:dyDescent="0.25">
      <c r="A5343" t="str">
        <f>"6725"</f>
        <v>6725</v>
      </c>
      <c r="B5343" t="str">
        <f t="shared" si="352"/>
        <v>1</v>
      </c>
      <c r="C5343" t="str">
        <f t="shared" si="353"/>
        <v>294</v>
      </c>
      <c r="D5343" t="str">
        <f>"12"</f>
        <v>12</v>
      </c>
      <c r="E5343" t="str">
        <f>"1-294-12"</f>
        <v>1-294-12</v>
      </c>
      <c r="F5343" t="s">
        <v>15</v>
      </c>
      <c r="G5343" t="s">
        <v>20</v>
      </c>
      <c r="H5343" t="s">
        <v>21</v>
      </c>
      <c r="I5343">
        <v>1</v>
      </c>
      <c r="J5343">
        <v>0</v>
      </c>
      <c r="K5343">
        <v>0</v>
      </c>
    </row>
    <row r="5344" spans="1:11" x14ac:dyDescent="0.25">
      <c r="A5344" t="str">
        <f>"6726"</f>
        <v>6726</v>
      </c>
      <c r="B5344" t="str">
        <f t="shared" si="352"/>
        <v>1</v>
      </c>
      <c r="C5344" t="str">
        <f t="shared" si="353"/>
        <v>294</v>
      </c>
      <c r="D5344" t="str">
        <f>"14"</f>
        <v>14</v>
      </c>
      <c r="E5344" t="str">
        <f>"1-294-14"</f>
        <v>1-294-14</v>
      </c>
      <c r="F5344" t="s">
        <v>15</v>
      </c>
      <c r="G5344" t="s">
        <v>20</v>
      </c>
      <c r="H5344" t="s">
        <v>21</v>
      </c>
      <c r="I5344">
        <v>0</v>
      </c>
      <c r="J5344">
        <v>0</v>
      </c>
      <c r="K5344">
        <v>1</v>
      </c>
    </row>
    <row r="5345" spans="1:11" x14ac:dyDescent="0.25">
      <c r="A5345" t="str">
        <f>"6729"</f>
        <v>6729</v>
      </c>
      <c r="B5345" t="str">
        <f t="shared" si="352"/>
        <v>1</v>
      </c>
      <c r="C5345" t="str">
        <f t="shared" si="353"/>
        <v>294</v>
      </c>
      <c r="D5345" t="str">
        <f>"13"</f>
        <v>13</v>
      </c>
      <c r="E5345" t="str">
        <f>"1-294-13"</f>
        <v>1-294-13</v>
      </c>
      <c r="F5345" t="s">
        <v>15</v>
      </c>
      <c r="G5345" t="s">
        <v>20</v>
      </c>
      <c r="H5345" t="s">
        <v>21</v>
      </c>
      <c r="I5345">
        <v>1</v>
      </c>
      <c r="J5345">
        <v>0</v>
      </c>
      <c r="K5345">
        <v>0</v>
      </c>
    </row>
    <row r="5346" spans="1:11" x14ac:dyDescent="0.25">
      <c r="A5346" t="str">
        <f>"6730"</f>
        <v>6730</v>
      </c>
      <c r="B5346" t="str">
        <f t="shared" si="352"/>
        <v>1</v>
      </c>
      <c r="C5346" t="str">
        <f t="shared" si="353"/>
        <v>294</v>
      </c>
      <c r="D5346" t="str">
        <f>"11"</f>
        <v>11</v>
      </c>
      <c r="E5346" t="str">
        <f>"1-294-11"</f>
        <v>1-294-11</v>
      </c>
      <c r="F5346" t="s">
        <v>15</v>
      </c>
      <c r="G5346" t="s">
        <v>20</v>
      </c>
      <c r="H5346" t="s">
        <v>21</v>
      </c>
      <c r="I5346">
        <v>0</v>
      </c>
      <c r="J5346">
        <v>0</v>
      </c>
      <c r="K5346">
        <v>0</v>
      </c>
    </row>
    <row r="5347" spans="1:11" x14ac:dyDescent="0.25">
      <c r="A5347" t="str">
        <f>"6731"</f>
        <v>6731</v>
      </c>
      <c r="B5347" t="str">
        <f t="shared" si="352"/>
        <v>1</v>
      </c>
      <c r="C5347" t="str">
        <f t="shared" si="353"/>
        <v>294</v>
      </c>
      <c r="D5347" t="str">
        <f>"19"</f>
        <v>19</v>
      </c>
      <c r="E5347" t="str">
        <f>"1-294-19"</f>
        <v>1-294-19</v>
      </c>
      <c r="F5347" t="s">
        <v>15</v>
      </c>
      <c r="G5347" t="s">
        <v>20</v>
      </c>
      <c r="H5347" t="s">
        <v>21</v>
      </c>
      <c r="I5347">
        <v>0</v>
      </c>
      <c r="J5347">
        <v>0</v>
      </c>
      <c r="K5347">
        <v>0</v>
      </c>
    </row>
    <row r="5348" spans="1:11" x14ac:dyDescent="0.25">
      <c r="A5348" t="str">
        <f>"6736"</f>
        <v>6736</v>
      </c>
      <c r="B5348" t="str">
        <f t="shared" si="352"/>
        <v>1</v>
      </c>
      <c r="C5348" t="str">
        <f t="shared" ref="C5348:C5356" si="354">"295"</f>
        <v>295</v>
      </c>
      <c r="D5348" t="str">
        <f>"1"</f>
        <v>1</v>
      </c>
      <c r="E5348" t="str">
        <f>"1-295-1"</f>
        <v>1-295-1</v>
      </c>
      <c r="F5348" t="s">
        <v>15</v>
      </c>
      <c r="G5348" t="s">
        <v>16</v>
      </c>
      <c r="H5348" t="s">
        <v>17</v>
      </c>
      <c r="I5348">
        <v>1</v>
      </c>
      <c r="J5348">
        <v>0</v>
      </c>
      <c r="K5348">
        <v>0</v>
      </c>
    </row>
    <row r="5349" spans="1:11" x14ac:dyDescent="0.25">
      <c r="A5349" t="str">
        <f>"6738"</f>
        <v>6738</v>
      </c>
      <c r="B5349" t="str">
        <f t="shared" si="352"/>
        <v>1</v>
      </c>
      <c r="C5349" t="str">
        <f t="shared" si="354"/>
        <v>295</v>
      </c>
      <c r="D5349" t="str">
        <f>"3"</f>
        <v>3</v>
      </c>
      <c r="E5349" t="str">
        <f>"1-295-3"</f>
        <v>1-295-3</v>
      </c>
      <c r="F5349" t="s">
        <v>15</v>
      </c>
      <c r="G5349" t="s">
        <v>18</v>
      </c>
      <c r="H5349" t="s">
        <v>19</v>
      </c>
      <c r="I5349">
        <v>1</v>
      </c>
      <c r="J5349">
        <v>0</v>
      </c>
      <c r="K5349">
        <v>0</v>
      </c>
    </row>
    <row r="5350" spans="1:11" x14ac:dyDescent="0.25">
      <c r="A5350" t="str">
        <f>"6748"</f>
        <v>6748</v>
      </c>
      <c r="B5350" t="str">
        <f t="shared" ref="B5350:B5401" si="355">"1"</f>
        <v>1</v>
      </c>
      <c r="C5350" t="str">
        <f t="shared" si="354"/>
        <v>295</v>
      </c>
      <c r="D5350" t="str">
        <f>"7"</f>
        <v>7</v>
      </c>
      <c r="E5350" t="str">
        <f>"1-295-7"</f>
        <v>1-295-7</v>
      </c>
      <c r="F5350" t="s">
        <v>15</v>
      </c>
      <c r="G5350" t="s">
        <v>18</v>
      </c>
      <c r="H5350" t="s">
        <v>19</v>
      </c>
      <c r="I5350">
        <v>1</v>
      </c>
      <c r="J5350">
        <v>0</v>
      </c>
      <c r="K5350">
        <v>0</v>
      </c>
    </row>
    <row r="5351" spans="1:11" x14ac:dyDescent="0.25">
      <c r="A5351" t="str">
        <f>"6750"</f>
        <v>6750</v>
      </c>
      <c r="B5351" t="str">
        <f t="shared" si="355"/>
        <v>1</v>
      </c>
      <c r="C5351" t="str">
        <f t="shared" si="354"/>
        <v>295</v>
      </c>
      <c r="D5351" t="str">
        <f>"2"</f>
        <v>2</v>
      </c>
      <c r="E5351" t="str">
        <f>"1-295-2"</f>
        <v>1-295-2</v>
      </c>
      <c r="F5351" t="s">
        <v>15</v>
      </c>
      <c r="G5351" t="s">
        <v>20</v>
      </c>
      <c r="H5351" t="s">
        <v>21</v>
      </c>
      <c r="I5351">
        <v>1</v>
      </c>
      <c r="J5351">
        <v>0</v>
      </c>
      <c r="K5351">
        <v>0</v>
      </c>
    </row>
    <row r="5352" spans="1:11" x14ac:dyDescent="0.25">
      <c r="A5352" t="str">
        <f>"6752"</f>
        <v>6752</v>
      </c>
      <c r="B5352" t="str">
        <f t="shared" si="355"/>
        <v>1</v>
      </c>
      <c r="C5352" t="str">
        <f t="shared" si="354"/>
        <v>295</v>
      </c>
      <c r="D5352" t="str">
        <f>"6"</f>
        <v>6</v>
      </c>
      <c r="E5352" t="str">
        <f>"1-295-6"</f>
        <v>1-295-6</v>
      </c>
      <c r="F5352" t="s">
        <v>15</v>
      </c>
      <c r="G5352" t="s">
        <v>16</v>
      </c>
      <c r="H5352" t="s">
        <v>17</v>
      </c>
      <c r="I5352">
        <v>1</v>
      </c>
      <c r="J5352">
        <v>0</v>
      </c>
      <c r="K5352">
        <v>0</v>
      </c>
    </row>
    <row r="5353" spans="1:11" x14ac:dyDescent="0.25">
      <c r="A5353" t="str">
        <f>"6756"</f>
        <v>6756</v>
      </c>
      <c r="B5353" t="str">
        <f t="shared" si="355"/>
        <v>1</v>
      </c>
      <c r="C5353" t="str">
        <f t="shared" si="354"/>
        <v>295</v>
      </c>
      <c r="D5353" t="str">
        <f>"5"</f>
        <v>5</v>
      </c>
      <c r="E5353" t="str">
        <f>"1-295-5"</f>
        <v>1-295-5</v>
      </c>
      <c r="F5353" t="s">
        <v>15</v>
      </c>
      <c r="G5353" t="s">
        <v>16</v>
      </c>
      <c r="H5353" t="s">
        <v>17</v>
      </c>
      <c r="I5353">
        <v>1</v>
      </c>
      <c r="J5353">
        <v>0</v>
      </c>
      <c r="K5353">
        <v>0</v>
      </c>
    </row>
    <row r="5354" spans="1:11" x14ac:dyDescent="0.25">
      <c r="A5354" t="str">
        <f>"6758"</f>
        <v>6758</v>
      </c>
      <c r="B5354" t="str">
        <f t="shared" si="355"/>
        <v>1</v>
      </c>
      <c r="C5354" t="str">
        <f t="shared" si="354"/>
        <v>295</v>
      </c>
      <c r="D5354" t="str">
        <f>"8"</f>
        <v>8</v>
      </c>
      <c r="E5354" t="str">
        <f>"1-295-8"</f>
        <v>1-295-8</v>
      </c>
      <c r="F5354" t="s">
        <v>15</v>
      </c>
      <c r="G5354" t="s">
        <v>18</v>
      </c>
      <c r="H5354" t="s">
        <v>19</v>
      </c>
      <c r="I5354">
        <v>1</v>
      </c>
      <c r="J5354">
        <v>0</v>
      </c>
      <c r="K5354">
        <v>0</v>
      </c>
    </row>
    <row r="5355" spans="1:11" x14ac:dyDescent="0.25">
      <c r="A5355" t="str">
        <f>"6759"</f>
        <v>6759</v>
      </c>
      <c r="B5355" t="str">
        <f t="shared" si="355"/>
        <v>1</v>
      </c>
      <c r="C5355" t="str">
        <f t="shared" si="354"/>
        <v>295</v>
      </c>
      <c r="D5355" t="str">
        <f>"9"</f>
        <v>9</v>
      </c>
      <c r="E5355" t="str">
        <f>"1-295-9"</f>
        <v>1-295-9</v>
      </c>
      <c r="F5355" t="s">
        <v>15</v>
      </c>
      <c r="G5355" t="s">
        <v>18</v>
      </c>
      <c r="H5355" t="s">
        <v>19</v>
      </c>
      <c r="I5355">
        <v>1</v>
      </c>
      <c r="J5355">
        <v>0</v>
      </c>
      <c r="K5355">
        <v>0</v>
      </c>
    </row>
    <row r="5356" spans="1:11" x14ac:dyDescent="0.25">
      <c r="A5356" t="str">
        <f>"6760"</f>
        <v>6760</v>
      </c>
      <c r="B5356" t="str">
        <f t="shared" si="355"/>
        <v>1</v>
      </c>
      <c r="C5356" t="str">
        <f t="shared" si="354"/>
        <v>295</v>
      </c>
      <c r="D5356" t="str">
        <f>"4"</f>
        <v>4</v>
      </c>
      <c r="E5356" t="str">
        <f>"1-295-4"</f>
        <v>1-295-4</v>
      </c>
      <c r="F5356" t="s">
        <v>15</v>
      </c>
      <c r="G5356" t="s">
        <v>16</v>
      </c>
      <c r="H5356" t="s">
        <v>17</v>
      </c>
      <c r="I5356">
        <v>0</v>
      </c>
      <c r="J5356">
        <v>0</v>
      </c>
      <c r="K5356">
        <v>1</v>
      </c>
    </row>
    <row r="5357" spans="1:11" x14ac:dyDescent="0.25">
      <c r="A5357" t="str">
        <f>"6761"</f>
        <v>6761</v>
      </c>
      <c r="B5357" t="str">
        <f t="shared" si="355"/>
        <v>1</v>
      </c>
      <c r="C5357" t="str">
        <f t="shared" ref="C5357:C5374" si="356">"296"</f>
        <v>296</v>
      </c>
      <c r="D5357" t="str">
        <f>"15"</f>
        <v>15</v>
      </c>
      <c r="E5357" t="str">
        <f>"1-296-15"</f>
        <v>1-296-15</v>
      </c>
      <c r="F5357" t="s">
        <v>15</v>
      </c>
      <c r="G5357" t="s">
        <v>18</v>
      </c>
      <c r="H5357" t="s">
        <v>19</v>
      </c>
      <c r="I5357">
        <v>1</v>
      </c>
      <c r="J5357">
        <v>0</v>
      </c>
      <c r="K5357">
        <v>0</v>
      </c>
    </row>
    <row r="5358" spans="1:11" x14ac:dyDescent="0.25">
      <c r="A5358" t="str">
        <f>"6762"</f>
        <v>6762</v>
      </c>
      <c r="B5358" t="str">
        <f t="shared" si="355"/>
        <v>1</v>
      </c>
      <c r="C5358" t="str">
        <f t="shared" si="356"/>
        <v>296</v>
      </c>
      <c r="D5358" t="str">
        <f>"5"</f>
        <v>5</v>
      </c>
      <c r="E5358" t="str">
        <f>"1-296-5"</f>
        <v>1-296-5</v>
      </c>
      <c r="F5358" t="s">
        <v>15</v>
      </c>
      <c r="G5358" t="s">
        <v>16</v>
      </c>
      <c r="H5358" t="s">
        <v>17</v>
      </c>
      <c r="I5358">
        <v>0</v>
      </c>
      <c r="J5358">
        <v>1</v>
      </c>
      <c r="K5358">
        <v>0</v>
      </c>
    </row>
    <row r="5359" spans="1:11" x14ac:dyDescent="0.25">
      <c r="A5359" t="str">
        <f>"6763"</f>
        <v>6763</v>
      </c>
      <c r="B5359" t="str">
        <f t="shared" si="355"/>
        <v>1</v>
      </c>
      <c r="C5359" t="str">
        <f t="shared" si="356"/>
        <v>296</v>
      </c>
      <c r="D5359" t="str">
        <f>"16"</f>
        <v>16</v>
      </c>
      <c r="E5359" t="str">
        <f>"1-296-16"</f>
        <v>1-296-16</v>
      </c>
      <c r="F5359" t="s">
        <v>15</v>
      </c>
      <c r="G5359" t="s">
        <v>18</v>
      </c>
      <c r="H5359" t="s">
        <v>19</v>
      </c>
      <c r="I5359">
        <v>1</v>
      </c>
      <c r="J5359">
        <v>0</v>
      </c>
      <c r="K5359">
        <v>0</v>
      </c>
    </row>
    <row r="5360" spans="1:11" x14ac:dyDescent="0.25">
      <c r="A5360" t="str">
        <f>"6764"</f>
        <v>6764</v>
      </c>
      <c r="B5360" t="str">
        <f t="shared" si="355"/>
        <v>1</v>
      </c>
      <c r="C5360" t="str">
        <f t="shared" si="356"/>
        <v>296</v>
      </c>
      <c r="D5360" t="str">
        <f>"3"</f>
        <v>3</v>
      </c>
      <c r="E5360" t="str">
        <f>"1-296-3"</f>
        <v>1-296-3</v>
      </c>
      <c r="F5360" t="s">
        <v>15</v>
      </c>
      <c r="G5360" t="s">
        <v>18</v>
      </c>
      <c r="H5360" t="s">
        <v>19</v>
      </c>
      <c r="I5360">
        <v>0</v>
      </c>
      <c r="J5360">
        <v>1</v>
      </c>
      <c r="K5360">
        <v>0</v>
      </c>
    </row>
    <row r="5361" spans="1:11" x14ac:dyDescent="0.25">
      <c r="A5361" t="str">
        <f>"6765"</f>
        <v>6765</v>
      </c>
      <c r="B5361" t="str">
        <f t="shared" si="355"/>
        <v>1</v>
      </c>
      <c r="C5361" t="str">
        <f t="shared" si="356"/>
        <v>296</v>
      </c>
      <c r="D5361" t="str">
        <f>"17"</f>
        <v>17</v>
      </c>
      <c r="E5361" t="str">
        <f>"1-296-17"</f>
        <v>1-296-17</v>
      </c>
      <c r="F5361" t="s">
        <v>15</v>
      </c>
      <c r="G5361" t="s">
        <v>16</v>
      </c>
      <c r="H5361" t="s">
        <v>17</v>
      </c>
      <c r="I5361">
        <v>1</v>
      </c>
      <c r="J5361">
        <v>0</v>
      </c>
      <c r="K5361">
        <v>0</v>
      </c>
    </row>
    <row r="5362" spans="1:11" x14ac:dyDescent="0.25">
      <c r="A5362" t="str">
        <f>"6766"</f>
        <v>6766</v>
      </c>
      <c r="B5362" t="str">
        <f t="shared" si="355"/>
        <v>1</v>
      </c>
      <c r="C5362" t="str">
        <f t="shared" si="356"/>
        <v>296</v>
      </c>
      <c r="D5362" t="str">
        <f>"1"</f>
        <v>1</v>
      </c>
      <c r="E5362" t="str">
        <f>"1-296-1"</f>
        <v>1-296-1</v>
      </c>
      <c r="F5362" t="s">
        <v>15</v>
      </c>
      <c r="G5362" t="s">
        <v>16</v>
      </c>
      <c r="H5362" t="s">
        <v>17</v>
      </c>
      <c r="I5362">
        <v>0</v>
      </c>
      <c r="J5362">
        <v>1</v>
      </c>
      <c r="K5362">
        <v>0</v>
      </c>
    </row>
    <row r="5363" spans="1:11" x14ac:dyDescent="0.25">
      <c r="A5363" t="str">
        <f>"6767"</f>
        <v>6767</v>
      </c>
      <c r="B5363" t="str">
        <f t="shared" si="355"/>
        <v>1</v>
      </c>
      <c r="C5363" t="str">
        <f t="shared" si="356"/>
        <v>296</v>
      </c>
      <c r="D5363" t="str">
        <f>"18"</f>
        <v>18</v>
      </c>
      <c r="E5363" t="str">
        <f>"1-296-18"</f>
        <v>1-296-18</v>
      </c>
      <c r="F5363" t="s">
        <v>15</v>
      </c>
      <c r="G5363" t="s">
        <v>18</v>
      </c>
      <c r="H5363" t="s">
        <v>19</v>
      </c>
      <c r="I5363">
        <v>0</v>
      </c>
      <c r="J5363">
        <v>1</v>
      </c>
      <c r="K5363">
        <v>0</v>
      </c>
    </row>
    <row r="5364" spans="1:11" x14ac:dyDescent="0.25">
      <c r="A5364" t="str">
        <f>"6768"</f>
        <v>6768</v>
      </c>
      <c r="B5364" t="str">
        <f t="shared" si="355"/>
        <v>1</v>
      </c>
      <c r="C5364" t="str">
        <f t="shared" si="356"/>
        <v>296</v>
      </c>
      <c r="D5364" t="str">
        <f>"9"</f>
        <v>9</v>
      </c>
      <c r="E5364" t="str">
        <f>"1-296-9"</f>
        <v>1-296-9</v>
      </c>
      <c r="F5364" t="s">
        <v>15</v>
      </c>
      <c r="G5364" t="s">
        <v>16</v>
      </c>
      <c r="H5364" t="s">
        <v>17</v>
      </c>
      <c r="I5364">
        <v>0</v>
      </c>
      <c r="J5364">
        <v>0</v>
      </c>
      <c r="K5364">
        <v>1</v>
      </c>
    </row>
    <row r="5365" spans="1:11" x14ac:dyDescent="0.25">
      <c r="A5365" t="str">
        <f>"6769"</f>
        <v>6769</v>
      </c>
      <c r="B5365" t="str">
        <f t="shared" si="355"/>
        <v>1</v>
      </c>
      <c r="C5365" t="str">
        <f t="shared" si="356"/>
        <v>296</v>
      </c>
      <c r="D5365" t="str">
        <f>"8"</f>
        <v>8</v>
      </c>
      <c r="E5365" t="str">
        <f>"1-296-8"</f>
        <v>1-296-8</v>
      </c>
      <c r="F5365" t="s">
        <v>15</v>
      </c>
      <c r="G5365" t="s">
        <v>16</v>
      </c>
      <c r="H5365" t="s">
        <v>17</v>
      </c>
      <c r="I5365">
        <v>1</v>
      </c>
      <c r="J5365">
        <v>0</v>
      </c>
      <c r="K5365">
        <v>0</v>
      </c>
    </row>
    <row r="5366" spans="1:11" x14ac:dyDescent="0.25">
      <c r="A5366" t="str">
        <f>"6770"</f>
        <v>6770</v>
      </c>
      <c r="B5366" t="str">
        <f t="shared" si="355"/>
        <v>1</v>
      </c>
      <c r="C5366" t="str">
        <f t="shared" si="356"/>
        <v>296</v>
      </c>
      <c r="D5366" t="str">
        <f>"12"</f>
        <v>12</v>
      </c>
      <c r="E5366" t="str">
        <f>"1-296-12"</f>
        <v>1-296-12</v>
      </c>
      <c r="F5366" t="s">
        <v>15</v>
      </c>
      <c r="G5366" t="s">
        <v>16</v>
      </c>
      <c r="H5366" t="s">
        <v>17</v>
      </c>
      <c r="I5366">
        <v>0</v>
      </c>
      <c r="J5366">
        <v>0</v>
      </c>
      <c r="K5366">
        <v>1</v>
      </c>
    </row>
    <row r="5367" spans="1:11" x14ac:dyDescent="0.25">
      <c r="A5367" t="str">
        <f>"6771"</f>
        <v>6771</v>
      </c>
      <c r="B5367" t="str">
        <f t="shared" si="355"/>
        <v>1</v>
      </c>
      <c r="C5367" t="str">
        <f t="shared" si="356"/>
        <v>296</v>
      </c>
      <c r="D5367" t="str">
        <f>"6"</f>
        <v>6</v>
      </c>
      <c r="E5367" t="str">
        <f>"1-296-6"</f>
        <v>1-296-6</v>
      </c>
      <c r="F5367" t="s">
        <v>15</v>
      </c>
      <c r="G5367" t="s">
        <v>16</v>
      </c>
      <c r="H5367" t="s">
        <v>17</v>
      </c>
      <c r="I5367">
        <v>0</v>
      </c>
      <c r="J5367">
        <v>1</v>
      </c>
      <c r="K5367">
        <v>0</v>
      </c>
    </row>
    <row r="5368" spans="1:11" x14ac:dyDescent="0.25">
      <c r="A5368" t="str">
        <f>"6772"</f>
        <v>6772</v>
      </c>
      <c r="B5368" t="str">
        <f t="shared" si="355"/>
        <v>1</v>
      </c>
      <c r="C5368" t="str">
        <f t="shared" si="356"/>
        <v>296</v>
      </c>
      <c r="D5368" t="str">
        <f>"14"</f>
        <v>14</v>
      </c>
      <c r="E5368" t="str">
        <f>"1-296-14"</f>
        <v>1-296-14</v>
      </c>
      <c r="F5368" t="s">
        <v>15</v>
      </c>
      <c r="G5368" t="s">
        <v>16</v>
      </c>
      <c r="H5368" t="s">
        <v>17</v>
      </c>
      <c r="I5368">
        <v>0</v>
      </c>
      <c r="J5368">
        <v>0</v>
      </c>
      <c r="K5368">
        <v>1</v>
      </c>
    </row>
    <row r="5369" spans="1:11" x14ac:dyDescent="0.25">
      <c r="A5369" t="str">
        <f>"6773"</f>
        <v>6773</v>
      </c>
      <c r="B5369" t="str">
        <f t="shared" si="355"/>
        <v>1</v>
      </c>
      <c r="C5369" t="str">
        <f t="shared" si="356"/>
        <v>296</v>
      </c>
      <c r="D5369" t="str">
        <f>"10"</f>
        <v>10</v>
      </c>
      <c r="E5369" t="str">
        <f>"1-296-10"</f>
        <v>1-296-10</v>
      </c>
      <c r="F5369" t="s">
        <v>15</v>
      </c>
      <c r="G5369" t="s">
        <v>18</v>
      </c>
      <c r="H5369" t="s">
        <v>19</v>
      </c>
      <c r="I5369">
        <v>0</v>
      </c>
      <c r="J5369">
        <v>1</v>
      </c>
      <c r="K5369">
        <v>0</v>
      </c>
    </row>
    <row r="5370" spans="1:11" x14ac:dyDescent="0.25">
      <c r="A5370" t="str">
        <f>"6774"</f>
        <v>6774</v>
      </c>
      <c r="B5370" t="str">
        <f t="shared" si="355"/>
        <v>1</v>
      </c>
      <c r="C5370" t="str">
        <f t="shared" si="356"/>
        <v>296</v>
      </c>
      <c r="D5370" t="str">
        <f>"2"</f>
        <v>2</v>
      </c>
      <c r="E5370" t="str">
        <f>"1-296-2"</f>
        <v>1-296-2</v>
      </c>
      <c r="F5370" t="s">
        <v>15</v>
      </c>
      <c r="G5370" t="s">
        <v>16</v>
      </c>
      <c r="H5370" t="s">
        <v>17</v>
      </c>
      <c r="I5370">
        <v>0</v>
      </c>
      <c r="J5370">
        <v>1</v>
      </c>
      <c r="K5370">
        <v>0</v>
      </c>
    </row>
    <row r="5371" spans="1:11" x14ac:dyDescent="0.25">
      <c r="A5371" t="str">
        <f>"6775"</f>
        <v>6775</v>
      </c>
      <c r="B5371" t="str">
        <f t="shared" si="355"/>
        <v>1</v>
      </c>
      <c r="C5371" t="str">
        <f t="shared" si="356"/>
        <v>296</v>
      </c>
      <c r="D5371" t="str">
        <f>"11"</f>
        <v>11</v>
      </c>
      <c r="E5371" t="str">
        <f>"1-296-11"</f>
        <v>1-296-11</v>
      </c>
      <c r="F5371" t="s">
        <v>15</v>
      </c>
      <c r="G5371" t="s">
        <v>16</v>
      </c>
      <c r="H5371" t="s">
        <v>17</v>
      </c>
      <c r="I5371">
        <v>0</v>
      </c>
      <c r="J5371">
        <v>0</v>
      </c>
      <c r="K5371">
        <v>1</v>
      </c>
    </row>
    <row r="5372" spans="1:11" x14ac:dyDescent="0.25">
      <c r="A5372" t="str">
        <f>"6776"</f>
        <v>6776</v>
      </c>
      <c r="B5372" t="str">
        <f t="shared" si="355"/>
        <v>1</v>
      </c>
      <c r="C5372" t="str">
        <f t="shared" si="356"/>
        <v>296</v>
      </c>
      <c r="D5372" t="str">
        <f>"4"</f>
        <v>4</v>
      </c>
      <c r="E5372" t="str">
        <f>"1-296-4"</f>
        <v>1-296-4</v>
      </c>
      <c r="F5372" t="s">
        <v>15</v>
      </c>
      <c r="G5372" t="s">
        <v>16</v>
      </c>
      <c r="H5372" t="s">
        <v>17</v>
      </c>
      <c r="I5372">
        <v>0</v>
      </c>
      <c r="J5372">
        <v>1</v>
      </c>
      <c r="K5372">
        <v>0</v>
      </c>
    </row>
    <row r="5373" spans="1:11" x14ac:dyDescent="0.25">
      <c r="A5373" t="str">
        <f>"6777"</f>
        <v>6777</v>
      </c>
      <c r="B5373" t="str">
        <f t="shared" si="355"/>
        <v>1</v>
      </c>
      <c r="C5373" t="str">
        <f t="shared" si="356"/>
        <v>296</v>
      </c>
      <c r="D5373" t="str">
        <f>"13"</f>
        <v>13</v>
      </c>
      <c r="E5373" t="str">
        <f>"1-296-13"</f>
        <v>1-296-13</v>
      </c>
      <c r="F5373" t="s">
        <v>15</v>
      </c>
      <c r="G5373" t="s">
        <v>16</v>
      </c>
      <c r="H5373" t="s">
        <v>17</v>
      </c>
      <c r="I5373">
        <v>0</v>
      </c>
      <c r="J5373">
        <v>0</v>
      </c>
      <c r="K5373">
        <v>1</v>
      </c>
    </row>
    <row r="5374" spans="1:11" x14ac:dyDescent="0.25">
      <c r="A5374" t="str">
        <f>"6778"</f>
        <v>6778</v>
      </c>
      <c r="B5374" t="str">
        <f t="shared" si="355"/>
        <v>1</v>
      </c>
      <c r="C5374" t="str">
        <f t="shared" si="356"/>
        <v>296</v>
      </c>
      <c r="D5374" t="str">
        <f>"7"</f>
        <v>7</v>
      </c>
      <c r="E5374" t="str">
        <f>"1-296-7"</f>
        <v>1-296-7</v>
      </c>
      <c r="F5374" t="s">
        <v>15</v>
      </c>
      <c r="G5374" t="s">
        <v>16</v>
      </c>
      <c r="H5374" t="s">
        <v>17</v>
      </c>
      <c r="I5374">
        <v>1</v>
      </c>
      <c r="J5374">
        <v>0</v>
      </c>
      <c r="K5374">
        <v>0</v>
      </c>
    </row>
    <row r="5375" spans="1:11" x14ac:dyDescent="0.25">
      <c r="A5375" t="str">
        <f>"6779"</f>
        <v>6779</v>
      </c>
      <c r="B5375" t="str">
        <f t="shared" si="355"/>
        <v>1</v>
      </c>
      <c r="C5375" t="str">
        <f t="shared" ref="C5375:C5401" si="357">"297"</f>
        <v>297</v>
      </c>
      <c r="D5375" t="str">
        <f>"23"</f>
        <v>23</v>
      </c>
      <c r="E5375" t="str">
        <f>"1-297-23"</f>
        <v>1-297-23</v>
      </c>
      <c r="F5375" t="s">
        <v>15</v>
      </c>
      <c r="G5375" t="s">
        <v>16</v>
      </c>
      <c r="H5375" t="s">
        <v>17</v>
      </c>
      <c r="I5375">
        <v>0</v>
      </c>
      <c r="J5375">
        <v>1</v>
      </c>
      <c r="K5375">
        <v>0</v>
      </c>
    </row>
    <row r="5376" spans="1:11" x14ac:dyDescent="0.25">
      <c r="A5376" t="str">
        <f>"6780"</f>
        <v>6780</v>
      </c>
      <c r="B5376" t="str">
        <f t="shared" si="355"/>
        <v>1</v>
      </c>
      <c r="C5376" t="str">
        <f t="shared" si="357"/>
        <v>297</v>
      </c>
      <c r="D5376" t="str">
        <f>"22"</f>
        <v>22</v>
      </c>
      <c r="E5376" t="str">
        <f>"1-297-22"</f>
        <v>1-297-22</v>
      </c>
      <c r="F5376" t="s">
        <v>15</v>
      </c>
      <c r="G5376" t="s">
        <v>16</v>
      </c>
      <c r="H5376" t="s">
        <v>17</v>
      </c>
      <c r="I5376">
        <v>0</v>
      </c>
      <c r="J5376">
        <v>1</v>
      </c>
      <c r="K5376">
        <v>0</v>
      </c>
    </row>
    <row r="5377" spans="1:11" x14ac:dyDescent="0.25">
      <c r="A5377" t="str">
        <f>"6781"</f>
        <v>6781</v>
      </c>
      <c r="B5377" t="str">
        <f t="shared" si="355"/>
        <v>1</v>
      </c>
      <c r="C5377" t="str">
        <f t="shared" si="357"/>
        <v>297</v>
      </c>
      <c r="D5377" t="str">
        <f>"17"</f>
        <v>17</v>
      </c>
      <c r="E5377" t="str">
        <f>"1-297-17"</f>
        <v>1-297-17</v>
      </c>
      <c r="F5377" t="s">
        <v>15</v>
      </c>
      <c r="G5377" t="s">
        <v>16</v>
      </c>
      <c r="H5377" t="s">
        <v>17</v>
      </c>
      <c r="I5377">
        <v>0</v>
      </c>
      <c r="J5377">
        <v>0</v>
      </c>
      <c r="K5377">
        <v>1</v>
      </c>
    </row>
    <row r="5378" spans="1:11" x14ac:dyDescent="0.25">
      <c r="A5378" t="str">
        <f>"6782"</f>
        <v>6782</v>
      </c>
      <c r="B5378" t="str">
        <f t="shared" si="355"/>
        <v>1</v>
      </c>
      <c r="C5378" t="str">
        <f t="shared" si="357"/>
        <v>297</v>
      </c>
      <c r="D5378" t="str">
        <f>"15"</f>
        <v>15</v>
      </c>
      <c r="E5378" t="str">
        <f>"1-297-15"</f>
        <v>1-297-15</v>
      </c>
      <c r="F5378" t="s">
        <v>15</v>
      </c>
      <c r="G5378" t="s">
        <v>18</v>
      </c>
      <c r="H5378" t="s">
        <v>19</v>
      </c>
      <c r="I5378">
        <v>1</v>
      </c>
      <c r="J5378">
        <v>0</v>
      </c>
      <c r="K5378">
        <v>0</v>
      </c>
    </row>
    <row r="5379" spans="1:11" x14ac:dyDescent="0.25">
      <c r="A5379" t="str">
        <f>"6783"</f>
        <v>6783</v>
      </c>
      <c r="B5379" t="str">
        <f t="shared" si="355"/>
        <v>1</v>
      </c>
      <c r="C5379" t="str">
        <f t="shared" si="357"/>
        <v>297</v>
      </c>
      <c r="D5379" t="str">
        <f>"5"</f>
        <v>5</v>
      </c>
      <c r="E5379" t="str">
        <f>"1-297-5"</f>
        <v>1-297-5</v>
      </c>
      <c r="F5379" t="s">
        <v>15</v>
      </c>
      <c r="G5379" t="s">
        <v>16</v>
      </c>
      <c r="H5379" t="s">
        <v>17</v>
      </c>
      <c r="I5379">
        <v>1</v>
      </c>
      <c r="J5379">
        <v>0</v>
      </c>
      <c r="K5379">
        <v>0</v>
      </c>
    </row>
    <row r="5380" spans="1:11" x14ac:dyDescent="0.25">
      <c r="A5380" t="str">
        <f>"6784"</f>
        <v>6784</v>
      </c>
      <c r="B5380" t="str">
        <f t="shared" si="355"/>
        <v>1</v>
      </c>
      <c r="C5380" t="str">
        <f t="shared" si="357"/>
        <v>297</v>
      </c>
      <c r="D5380" t="str">
        <f>"16"</f>
        <v>16</v>
      </c>
      <c r="E5380" t="str">
        <f>"1-297-16"</f>
        <v>1-297-16</v>
      </c>
      <c r="F5380" t="s">
        <v>15</v>
      </c>
      <c r="G5380" t="s">
        <v>16</v>
      </c>
      <c r="H5380" t="s">
        <v>17</v>
      </c>
      <c r="I5380">
        <v>0</v>
      </c>
      <c r="J5380">
        <v>1</v>
      </c>
      <c r="K5380">
        <v>0</v>
      </c>
    </row>
    <row r="5381" spans="1:11" x14ac:dyDescent="0.25">
      <c r="A5381" t="str">
        <f>"6785"</f>
        <v>6785</v>
      </c>
      <c r="B5381" t="str">
        <f t="shared" si="355"/>
        <v>1</v>
      </c>
      <c r="C5381" t="str">
        <f t="shared" si="357"/>
        <v>297</v>
      </c>
      <c r="D5381" t="str">
        <f>"6"</f>
        <v>6</v>
      </c>
      <c r="E5381" t="str">
        <f>"1-297-6"</f>
        <v>1-297-6</v>
      </c>
      <c r="F5381" t="s">
        <v>15</v>
      </c>
      <c r="G5381" t="s">
        <v>16</v>
      </c>
      <c r="H5381" t="s">
        <v>17</v>
      </c>
      <c r="I5381">
        <v>1</v>
      </c>
      <c r="J5381">
        <v>0</v>
      </c>
      <c r="K5381">
        <v>0</v>
      </c>
    </row>
    <row r="5382" spans="1:11" x14ac:dyDescent="0.25">
      <c r="A5382" t="str">
        <f>"6786"</f>
        <v>6786</v>
      </c>
      <c r="B5382" t="str">
        <f t="shared" si="355"/>
        <v>1</v>
      </c>
      <c r="C5382" t="str">
        <f t="shared" si="357"/>
        <v>297</v>
      </c>
      <c r="D5382" t="str">
        <f>"18"</f>
        <v>18</v>
      </c>
      <c r="E5382" t="str">
        <f>"1-297-18"</f>
        <v>1-297-18</v>
      </c>
      <c r="F5382" t="s">
        <v>15</v>
      </c>
      <c r="G5382" t="s">
        <v>18</v>
      </c>
      <c r="H5382" t="s">
        <v>19</v>
      </c>
      <c r="I5382">
        <v>1</v>
      </c>
      <c r="J5382">
        <v>0</v>
      </c>
      <c r="K5382">
        <v>0</v>
      </c>
    </row>
    <row r="5383" spans="1:11" x14ac:dyDescent="0.25">
      <c r="A5383" t="str">
        <f>"6787"</f>
        <v>6787</v>
      </c>
      <c r="B5383" t="str">
        <f t="shared" si="355"/>
        <v>1</v>
      </c>
      <c r="C5383" t="str">
        <f t="shared" si="357"/>
        <v>297</v>
      </c>
      <c r="D5383" t="str">
        <f>"10"</f>
        <v>10</v>
      </c>
      <c r="E5383" t="str">
        <f>"1-297-10"</f>
        <v>1-297-10</v>
      </c>
      <c r="F5383" t="s">
        <v>15</v>
      </c>
      <c r="G5383" t="s">
        <v>20</v>
      </c>
      <c r="H5383" t="s">
        <v>21</v>
      </c>
      <c r="I5383">
        <v>0</v>
      </c>
      <c r="J5383">
        <v>0</v>
      </c>
      <c r="K5383">
        <v>1</v>
      </c>
    </row>
    <row r="5384" spans="1:11" x14ac:dyDescent="0.25">
      <c r="A5384" t="str">
        <f>"6788"</f>
        <v>6788</v>
      </c>
      <c r="B5384" t="str">
        <f t="shared" si="355"/>
        <v>1</v>
      </c>
      <c r="C5384" t="str">
        <f t="shared" si="357"/>
        <v>297</v>
      </c>
      <c r="D5384" t="str">
        <f>"19"</f>
        <v>19</v>
      </c>
      <c r="E5384" t="str">
        <f>"1-297-19"</f>
        <v>1-297-19</v>
      </c>
      <c r="F5384" t="s">
        <v>15</v>
      </c>
      <c r="G5384" t="s">
        <v>18</v>
      </c>
      <c r="H5384" t="s">
        <v>19</v>
      </c>
      <c r="I5384">
        <v>1</v>
      </c>
      <c r="J5384">
        <v>0</v>
      </c>
      <c r="K5384">
        <v>0</v>
      </c>
    </row>
    <row r="5385" spans="1:11" x14ac:dyDescent="0.25">
      <c r="A5385" t="str">
        <f>"6789"</f>
        <v>6789</v>
      </c>
      <c r="B5385" t="str">
        <f t="shared" si="355"/>
        <v>1</v>
      </c>
      <c r="C5385" t="str">
        <f t="shared" si="357"/>
        <v>297</v>
      </c>
      <c r="D5385" t="str">
        <f>"14"</f>
        <v>14</v>
      </c>
      <c r="E5385" t="str">
        <f>"1-297-14"</f>
        <v>1-297-14</v>
      </c>
      <c r="F5385" t="s">
        <v>15</v>
      </c>
      <c r="G5385" t="s">
        <v>16</v>
      </c>
      <c r="H5385" t="s">
        <v>17</v>
      </c>
      <c r="I5385">
        <v>1</v>
      </c>
      <c r="J5385">
        <v>0</v>
      </c>
      <c r="K5385">
        <v>0</v>
      </c>
    </row>
    <row r="5386" spans="1:11" x14ac:dyDescent="0.25">
      <c r="A5386" t="str">
        <f>"6790"</f>
        <v>6790</v>
      </c>
      <c r="B5386" t="str">
        <f t="shared" si="355"/>
        <v>1</v>
      </c>
      <c r="C5386" t="str">
        <f t="shared" si="357"/>
        <v>297</v>
      </c>
      <c r="D5386" t="str">
        <f>"20"</f>
        <v>20</v>
      </c>
      <c r="E5386" t="str">
        <f>"1-297-20"</f>
        <v>1-297-20</v>
      </c>
      <c r="F5386" t="s">
        <v>15</v>
      </c>
      <c r="G5386" t="s">
        <v>16</v>
      </c>
      <c r="H5386" t="s">
        <v>17</v>
      </c>
      <c r="I5386">
        <v>0</v>
      </c>
      <c r="J5386">
        <v>1</v>
      </c>
      <c r="K5386">
        <v>0</v>
      </c>
    </row>
    <row r="5387" spans="1:11" x14ac:dyDescent="0.25">
      <c r="A5387" t="str">
        <f>"6791"</f>
        <v>6791</v>
      </c>
      <c r="B5387" t="str">
        <f t="shared" si="355"/>
        <v>1</v>
      </c>
      <c r="C5387" t="str">
        <f t="shared" si="357"/>
        <v>297</v>
      </c>
      <c r="D5387" t="str">
        <f>"3"</f>
        <v>3</v>
      </c>
      <c r="E5387" t="str">
        <f>"1-297-3"</f>
        <v>1-297-3</v>
      </c>
      <c r="F5387" t="s">
        <v>15</v>
      </c>
      <c r="G5387" t="s">
        <v>16</v>
      </c>
      <c r="H5387" t="s">
        <v>17</v>
      </c>
      <c r="I5387">
        <v>1</v>
      </c>
      <c r="J5387">
        <v>0</v>
      </c>
      <c r="K5387">
        <v>0</v>
      </c>
    </row>
    <row r="5388" spans="1:11" x14ac:dyDescent="0.25">
      <c r="A5388" t="str">
        <f>"6792"</f>
        <v>6792</v>
      </c>
      <c r="B5388" t="str">
        <f t="shared" si="355"/>
        <v>1</v>
      </c>
      <c r="C5388" t="str">
        <f t="shared" si="357"/>
        <v>297</v>
      </c>
      <c r="D5388" t="str">
        <f>"21"</f>
        <v>21</v>
      </c>
      <c r="E5388" t="str">
        <f>"1-297-21"</f>
        <v>1-297-21</v>
      </c>
      <c r="F5388" t="s">
        <v>15</v>
      </c>
      <c r="G5388" t="s">
        <v>16</v>
      </c>
      <c r="H5388" t="s">
        <v>17</v>
      </c>
      <c r="I5388">
        <v>0</v>
      </c>
      <c r="J5388">
        <v>1</v>
      </c>
      <c r="K5388">
        <v>0</v>
      </c>
    </row>
    <row r="5389" spans="1:11" x14ac:dyDescent="0.25">
      <c r="A5389" t="str">
        <f>"6793"</f>
        <v>6793</v>
      </c>
      <c r="B5389" t="str">
        <f t="shared" si="355"/>
        <v>1</v>
      </c>
      <c r="C5389" t="str">
        <f t="shared" si="357"/>
        <v>297</v>
      </c>
      <c r="D5389" t="str">
        <f>"12"</f>
        <v>12</v>
      </c>
      <c r="E5389" t="str">
        <f>"1-297-12"</f>
        <v>1-297-12</v>
      </c>
      <c r="F5389" t="s">
        <v>15</v>
      </c>
      <c r="G5389" t="s">
        <v>16</v>
      </c>
      <c r="H5389" t="s">
        <v>17</v>
      </c>
      <c r="I5389">
        <v>0</v>
      </c>
      <c r="J5389">
        <v>1</v>
      </c>
      <c r="K5389">
        <v>0</v>
      </c>
    </row>
    <row r="5390" spans="1:11" x14ac:dyDescent="0.25">
      <c r="A5390" t="str">
        <f>"6794"</f>
        <v>6794</v>
      </c>
      <c r="B5390" t="str">
        <f t="shared" si="355"/>
        <v>1</v>
      </c>
      <c r="C5390" t="str">
        <f t="shared" si="357"/>
        <v>297</v>
      </c>
      <c r="D5390" t="str">
        <f>"24"</f>
        <v>24</v>
      </c>
      <c r="E5390" t="str">
        <f>"1-297-24"</f>
        <v>1-297-24</v>
      </c>
      <c r="F5390" t="s">
        <v>15</v>
      </c>
      <c r="G5390" t="s">
        <v>16</v>
      </c>
      <c r="H5390" t="s">
        <v>17</v>
      </c>
      <c r="I5390">
        <v>0</v>
      </c>
      <c r="J5390">
        <v>0</v>
      </c>
      <c r="K5390">
        <v>1</v>
      </c>
    </row>
    <row r="5391" spans="1:11" x14ac:dyDescent="0.25">
      <c r="A5391" t="str">
        <f>"6795"</f>
        <v>6795</v>
      </c>
      <c r="B5391" t="str">
        <f t="shared" si="355"/>
        <v>1</v>
      </c>
      <c r="C5391" t="str">
        <f t="shared" si="357"/>
        <v>297</v>
      </c>
      <c r="D5391" t="str">
        <f>"8"</f>
        <v>8</v>
      </c>
      <c r="E5391" t="str">
        <f>"1-297-8"</f>
        <v>1-297-8</v>
      </c>
      <c r="F5391" t="s">
        <v>15</v>
      </c>
      <c r="G5391" t="s">
        <v>16</v>
      </c>
      <c r="H5391" t="s">
        <v>17</v>
      </c>
      <c r="I5391">
        <v>0</v>
      </c>
      <c r="J5391">
        <v>1</v>
      </c>
      <c r="K5391">
        <v>0</v>
      </c>
    </row>
    <row r="5392" spans="1:11" x14ac:dyDescent="0.25">
      <c r="A5392" t="str">
        <f>"6796"</f>
        <v>6796</v>
      </c>
      <c r="B5392" t="str">
        <f t="shared" si="355"/>
        <v>1</v>
      </c>
      <c r="C5392" t="str">
        <f t="shared" si="357"/>
        <v>297</v>
      </c>
      <c r="D5392" t="str">
        <f>"25"</f>
        <v>25</v>
      </c>
      <c r="E5392" t="str">
        <f>"1-297-25"</f>
        <v>1-297-25</v>
      </c>
      <c r="F5392" t="s">
        <v>15</v>
      </c>
      <c r="G5392" t="s">
        <v>16</v>
      </c>
      <c r="H5392" t="s">
        <v>17</v>
      </c>
      <c r="I5392">
        <v>1</v>
      </c>
      <c r="J5392">
        <v>0</v>
      </c>
      <c r="K5392">
        <v>0</v>
      </c>
    </row>
    <row r="5393" spans="1:11" x14ac:dyDescent="0.25">
      <c r="A5393" t="str">
        <f>"6797"</f>
        <v>6797</v>
      </c>
      <c r="B5393" t="str">
        <f t="shared" si="355"/>
        <v>1</v>
      </c>
      <c r="C5393" t="str">
        <f t="shared" si="357"/>
        <v>297</v>
      </c>
      <c r="D5393" t="str">
        <f>"1"</f>
        <v>1</v>
      </c>
      <c r="E5393" t="str">
        <f>"1-297-1"</f>
        <v>1-297-1</v>
      </c>
      <c r="F5393" t="s">
        <v>15</v>
      </c>
      <c r="G5393" t="s">
        <v>16</v>
      </c>
      <c r="H5393" t="s">
        <v>17</v>
      </c>
      <c r="I5393">
        <v>0</v>
      </c>
      <c r="J5393">
        <v>1</v>
      </c>
      <c r="K5393">
        <v>0</v>
      </c>
    </row>
    <row r="5394" spans="1:11" x14ac:dyDescent="0.25">
      <c r="A5394" t="str">
        <f>"6798"</f>
        <v>6798</v>
      </c>
      <c r="B5394" t="str">
        <f t="shared" si="355"/>
        <v>1</v>
      </c>
      <c r="C5394" t="str">
        <f t="shared" si="357"/>
        <v>297</v>
      </c>
      <c r="D5394" t="str">
        <f>"26"</f>
        <v>26</v>
      </c>
      <c r="E5394" t="str">
        <f>"1-297-26"</f>
        <v>1-297-26</v>
      </c>
      <c r="F5394" t="s">
        <v>15</v>
      </c>
      <c r="G5394" t="s">
        <v>16</v>
      </c>
      <c r="H5394" t="s">
        <v>17</v>
      </c>
      <c r="I5394">
        <v>0</v>
      </c>
      <c r="J5394">
        <v>0</v>
      </c>
      <c r="K5394">
        <v>1</v>
      </c>
    </row>
    <row r="5395" spans="1:11" x14ac:dyDescent="0.25">
      <c r="A5395" t="str">
        <f>"6799"</f>
        <v>6799</v>
      </c>
      <c r="B5395" t="str">
        <f t="shared" si="355"/>
        <v>1</v>
      </c>
      <c r="C5395" t="str">
        <f t="shared" si="357"/>
        <v>297</v>
      </c>
      <c r="D5395" t="str">
        <f>"2"</f>
        <v>2</v>
      </c>
      <c r="E5395" t="str">
        <f>"1-297-2"</f>
        <v>1-297-2</v>
      </c>
      <c r="F5395" t="s">
        <v>15</v>
      </c>
      <c r="G5395" t="s">
        <v>16</v>
      </c>
      <c r="H5395" t="s">
        <v>17</v>
      </c>
      <c r="I5395">
        <v>0</v>
      </c>
      <c r="J5395">
        <v>1</v>
      </c>
      <c r="K5395">
        <v>0</v>
      </c>
    </row>
    <row r="5396" spans="1:11" x14ac:dyDescent="0.25">
      <c r="A5396" t="str">
        <f>"6800"</f>
        <v>6800</v>
      </c>
      <c r="B5396" t="str">
        <f t="shared" si="355"/>
        <v>1</v>
      </c>
      <c r="C5396" t="str">
        <f t="shared" si="357"/>
        <v>297</v>
      </c>
      <c r="D5396" t="str">
        <f>"27"</f>
        <v>27</v>
      </c>
      <c r="E5396" t="str">
        <f>"1-297-27"</f>
        <v>1-297-27</v>
      </c>
      <c r="F5396" t="s">
        <v>15</v>
      </c>
      <c r="G5396" t="s">
        <v>16</v>
      </c>
      <c r="H5396" t="s">
        <v>17</v>
      </c>
      <c r="I5396">
        <v>1</v>
      </c>
      <c r="J5396">
        <v>0</v>
      </c>
      <c r="K5396">
        <v>0</v>
      </c>
    </row>
    <row r="5397" spans="1:11" x14ac:dyDescent="0.25">
      <c r="A5397" t="str">
        <f>"6801"</f>
        <v>6801</v>
      </c>
      <c r="B5397" t="str">
        <f t="shared" si="355"/>
        <v>1</v>
      </c>
      <c r="C5397" t="str">
        <f t="shared" si="357"/>
        <v>297</v>
      </c>
      <c r="D5397" t="str">
        <f>"4"</f>
        <v>4</v>
      </c>
      <c r="E5397" t="str">
        <f>"1-297-4"</f>
        <v>1-297-4</v>
      </c>
      <c r="F5397" t="s">
        <v>15</v>
      </c>
      <c r="G5397" t="s">
        <v>16</v>
      </c>
      <c r="H5397" t="s">
        <v>17</v>
      </c>
      <c r="I5397">
        <v>0</v>
      </c>
      <c r="J5397">
        <v>0</v>
      </c>
      <c r="K5397">
        <v>1</v>
      </c>
    </row>
    <row r="5398" spans="1:11" x14ac:dyDescent="0.25">
      <c r="A5398" t="str">
        <f>"6802"</f>
        <v>6802</v>
      </c>
      <c r="B5398" t="str">
        <f t="shared" si="355"/>
        <v>1</v>
      </c>
      <c r="C5398" t="str">
        <f t="shared" si="357"/>
        <v>297</v>
      </c>
      <c r="D5398" t="str">
        <f>"7"</f>
        <v>7</v>
      </c>
      <c r="E5398" t="str">
        <f>"1-297-7"</f>
        <v>1-297-7</v>
      </c>
      <c r="F5398" t="s">
        <v>15</v>
      </c>
      <c r="G5398" t="s">
        <v>16</v>
      </c>
      <c r="H5398" t="s">
        <v>17</v>
      </c>
      <c r="I5398">
        <v>1</v>
      </c>
      <c r="J5398">
        <v>0</v>
      </c>
      <c r="K5398">
        <v>0</v>
      </c>
    </row>
    <row r="5399" spans="1:11" x14ac:dyDescent="0.25">
      <c r="A5399" t="str">
        <f>"6803"</f>
        <v>6803</v>
      </c>
      <c r="B5399" t="str">
        <f t="shared" si="355"/>
        <v>1</v>
      </c>
      <c r="C5399" t="str">
        <f t="shared" si="357"/>
        <v>297</v>
      </c>
      <c r="D5399" t="str">
        <f>"13"</f>
        <v>13</v>
      </c>
      <c r="E5399" t="str">
        <f>"1-297-13"</f>
        <v>1-297-13</v>
      </c>
      <c r="F5399" t="s">
        <v>15</v>
      </c>
      <c r="G5399" t="s">
        <v>16</v>
      </c>
      <c r="H5399" t="s">
        <v>17</v>
      </c>
      <c r="I5399">
        <v>1</v>
      </c>
      <c r="J5399">
        <v>0</v>
      </c>
      <c r="K5399">
        <v>0</v>
      </c>
    </row>
    <row r="5400" spans="1:11" x14ac:dyDescent="0.25">
      <c r="A5400" t="str">
        <f>"6804"</f>
        <v>6804</v>
      </c>
      <c r="B5400" t="str">
        <f t="shared" si="355"/>
        <v>1</v>
      </c>
      <c r="C5400" t="str">
        <f t="shared" si="357"/>
        <v>297</v>
      </c>
      <c r="D5400" t="str">
        <f>"11"</f>
        <v>11</v>
      </c>
      <c r="E5400" t="str">
        <f>"1-297-11"</f>
        <v>1-297-11</v>
      </c>
      <c r="F5400" t="s">
        <v>15</v>
      </c>
      <c r="G5400" t="s">
        <v>18</v>
      </c>
      <c r="H5400" t="s">
        <v>19</v>
      </c>
      <c r="I5400">
        <v>1</v>
      </c>
      <c r="J5400">
        <v>0</v>
      </c>
      <c r="K5400">
        <v>0</v>
      </c>
    </row>
    <row r="5401" spans="1:11" x14ac:dyDescent="0.25">
      <c r="A5401" t="str">
        <f>"6805"</f>
        <v>6805</v>
      </c>
      <c r="B5401" t="str">
        <f t="shared" si="355"/>
        <v>1</v>
      </c>
      <c r="C5401" t="str">
        <f t="shared" si="357"/>
        <v>297</v>
      </c>
      <c r="D5401" t="str">
        <f>"9"</f>
        <v>9</v>
      </c>
      <c r="E5401" t="str">
        <f>"1-297-9"</f>
        <v>1-297-9</v>
      </c>
      <c r="F5401" t="s">
        <v>15</v>
      </c>
      <c r="G5401" t="s">
        <v>20</v>
      </c>
      <c r="H5401" t="s">
        <v>21</v>
      </c>
      <c r="I5401">
        <v>0</v>
      </c>
      <c r="J5401">
        <v>0</v>
      </c>
      <c r="K5401">
        <v>1</v>
      </c>
    </row>
    <row r="5402" spans="1:11" x14ac:dyDescent="0.25">
      <c r="A5402" t="str">
        <f>"6829"</f>
        <v>6829</v>
      </c>
      <c r="B5402" t="str">
        <f t="shared" ref="B5402:B5442" si="358">"1"</f>
        <v>1</v>
      </c>
      <c r="C5402" t="str">
        <f t="shared" ref="C5402:C5428" si="359">"299"</f>
        <v>299</v>
      </c>
      <c r="D5402" t="str">
        <f>"19"</f>
        <v>19</v>
      </c>
      <c r="E5402" t="str">
        <f>"1-299-19"</f>
        <v>1-299-19</v>
      </c>
      <c r="F5402" t="s">
        <v>15</v>
      </c>
      <c r="G5402" t="s">
        <v>16</v>
      </c>
      <c r="H5402" t="s">
        <v>17</v>
      </c>
      <c r="I5402">
        <v>0</v>
      </c>
      <c r="J5402">
        <v>1</v>
      </c>
      <c r="K5402">
        <v>0</v>
      </c>
    </row>
    <row r="5403" spans="1:11" x14ac:dyDescent="0.25">
      <c r="A5403" t="str">
        <f>"6830"</f>
        <v>6830</v>
      </c>
      <c r="B5403" t="str">
        <f t="shared" si="358"/>
        <v>1</v>
      </c>
      <c r="C5403" t="str">
        <f t="shared" si="359"/>
        <v>299</v>
      </c>
      <c r="D5403" t="str">
        <f>"6"</f>
        <v>6</v>
      </c>
      <c r="E5403" t="str">
        <f>"1-299-6"</f>
        <v>1-299-6</v>
      </c>
      <c r="F5403" t="s">
        <v>15</v>
      </c>
      <c r="G5403" t="s">
        <v>16</v>
      </c>
      <c r="H5403" t="s">
        <v>17</v>
      </c>
      <c r="I5403">
        <v>0</v>
      </c>
      <c r="J5403">
        <v>0</v>
      </c>
      <c r="K5403">
        <v>1</v>
      </c>
    </row>
    <row r="5404" spans="1:11" x14ac:dyDescent="0.25">
      <c r="A5404" t="str">
        <f>"6831"</f>
        <v>6831</v>
      </c>
      <c r="B5404" t="str">
        <f t="shared" si="358"/>
        <v>1</v>
      </c>
      <c r="C5404" t="str">
        <f t="shared" si="359"/>
        <v>299</v>
      </c>
      <c r="D5404" t="str">
        <f>"16"</f>
        <v>16</v>
      </c>
      <c r="E5404" t="str">
        <f>"1-299-16"</f>
        <v>1-299-16</v>
      </c>
      <c r="F5404" t="s">
        <v>15</v>
      </c>
      <c r="G5404" t="s">
        <v>16</v>
      </c>
      <c r="H5404" t="s">
        <v>17</v>
      </c>
      <c r="I5404">
        <v>1</v>
      </c>
      <c r="J5404">
        <v>0</v>
      </c>
      <c r="K5404">
        <v>0</v>
      </c>
    </row>
    <row r="5405" spans="1:11" x14ac:dyDescent="0.25">
      <c r="A5405" t="str">
        <f>"6832"</f>
        <v>6832</v>
      </c>
      <c r="B5405" t="str">
        <f t="shared" si="358"/>
        <v>1</v>
      </c>
      <c r="C5405" t="str">
        <f t="shared" si="359"/>
        <v>299</v>
      </c>
      <c r="D5405" t="str">
        <f>"10"</f>
        <v>10</v>
      </c>
      <c r="E5405" t="str">
        <f>"1-299-10"</f>
        <v>1-299-10</v>
      </c>
      <c r="F5405" t="s">
        <v>15</v>
      </c>
      <c r="G5405" t="s">
        <v>16</v>
      </c>
      <c r="H5405" t="s">
        <v>17</v>
      </c>
      <c r="I5405">
        <v>0</v>
      </c>
      <c r="J5405">
        <v>1</v>
      </c>
      <c r="K5405">
        <v>0</v>
      </c>
    </row>
    <row r="5406" spans="1:11" x14ac:dyDescent="0.25">
      <c r="A5406" t="str">
        <f>"6833"</f>
        <v>6833</v>
      </c>
      <c r="B5406" t="str">
        <f t="shared" si="358"/>
        <v>1</v>
      </c>
      <c r="C5406" t="str">
        <f t="shared" si="359"/>
        <v>299</v>
      </c>
      <c r="D5406" t="str">
        <f>"8"</f>
        <v>8</v>
      </c>
      <c r="E5406" t="str">
        <f>"1-299-8"</f>
        <v>1-299-8</v>
      </c>
      <c r="F5406" t="s">
        <v>15</v>
      </c>
      <c r="G5406" t="s">
        <v>20</v>
      </c>
      <c r="H5406" t="s">
        <v>21</v>
      </c>
      <c r="I5406">
        <v>0</v>
      </c>
      <c r="J5406">
        <v>1</v>
      </c>
      <c r="K5406">
        <v>0</v>
      </c>
    </row>
    <row r="5407" spans="1:11" x14ac:dyDescent="0.25">
      <c r="A5407" t="str">
        <f>"6834"</f>
        <v>6834</v>
      </c>
      <c r="B5407" t="str">
        <f t="shared" si="358"/>
        <v>1</v>
      </c>
      <c r="C5407" t="str">
        <f t="shared" si="359"/>
        <v>299</v>
      </c>
      <c r="D5407" t="str">
        <f>"18"</f>
        <v>18</v>
      </c>
      <c r="E5407" t="str">
        <f>"1-299-18"</f>
        <v>1-299-18</v>
      </c>
      <c r="F5407" t="s">
        <v>15</v>
      </c>
      <c r="G5407" t="s">
        <v>16</v>
      </c>
      <c r="H5407" t="s">
        <v>17</v>
      </c>
      <c r="I5407">
        <v>1</v>
      </c>
      <c r="J5407">
        <v>0</v>
      </c>
      <c r="K5407">
        <v>0</v>
      </c>
    </row>
    <row r="5408" spans="1:11" x14ac:dyDescent="0.25">
      <c r="A5408" t="str">
        <f>"6835"</f>
        <v>6835</v>
      </c>
      <c r="B5408" t="str">
        <f t="shared" si="358"/>
        <v>1</v>
      </c>
      <c r="C5408" t="str">
        <f t="shared" si="359"/>
        <v>299</v>
      </c>
      <c r="D5408" t="str">
        <f>"5"</f>
        <v>5</v>
      </c>
      <c r="E5408" t="str">
        <f>"1-299-5"</f>
        <v>1-299-5</v>
      </c>
      <c r="F5408" t="s">
        <v>15</v>
      </c>
      <c r="G5408" t="s">
        <v>18</v>
      </c>
      <c r="H5408" t="s">
        <v>19</v>
      </c>
      <c r="I5408">
        <v>1</v>
      </c>
      <c r="J5408">
        <v>0</v>
      </c>
      <c r="K5408">
        <v>0</v>
      </c>
    </row>
    <row r="5409" spans="1:11" x14ac:dyDescent="0.25">
      <c r="A5409" t="str">
        <f>"6836"</f>
        <v>6836</v>
      </c>
      <c r="B5409" t="str">
        <f t="shared" si="358"/>
        <v>1</v>
      </c>
      <c r="C5409" t="str">
        <f t="shared" si="359"/>
        <v>299</v>
      </c>
      <c r="D5409" t="str">
        <f>"20"</f>
        <v>20</v>
      </c>
      <c r="E5409" t="str">
        <f>"1-299-20"</f>
        <v>1-299-20</v>
      </c>
      <c r="F5409" t="s">
        <v>15</v>
      </c>
      <c r="G5409" t="s">
        <v>20</v>
      </c>
      <c r="H5409" t="s">
        <v>21</v>
      </c>
      <c r="I5409">
        <v>1</v>
      </c>
      <c r="J5409">
        <v>0</v>
      </c>
      <c r="K5409">
        <v>0</v>
      </c>
    </row>
    <row r="5410" spans="1:11" x14ac:dyDescent="0.25">
      <c r="A5410" t="str">
        <f>"6837"</f>
        <v>6837</v>
      </c>
      <c r="B5410" t="str">
        <f t="shared" si="358"/>
        <v>1</v>
      </c>
      <c r="C5410" t="str">
        <f t="shared" si="359"/>
        <v>299</v>
      </c>
      <c r="D5410" t="str">
        <f>"14"</f>
        <v>14</v>
      </c>
      <c r="E5410" t="str">
        <f>"1-299-14"</f>
        <v>1-299-14</v>
      </c>
      <c r="F5410" t="s">
        <v>15</v>
      </c>
      <c r="G5410" t="s">
        <v>16</v>
      </c>
      <c r="H5410" t="s">
        <v>17</v>
      </c>
      <c r="I5410">
        <v>1</v>
      </c>
      <c r="J5410">
        <v>0</v>
      </c>
      <c r="K5410">
        <v>0</v>
      </c>
    </row>
    <row r="5411" spans="1:11" x14ac:dyDescent="0.25">
      <c r="A5411" t="str">
        <f>"6838"</f>
        <v>6838</v>
      </c>
      <c r="B5411" t="str">
        <f t="shared" si="358"/>
        <v>1</v>
      </c>
      <c r="C5411" t="str">
        <f t="shared" si="359"/>
        <v>299</v>
      </c>
      <c r="D5411" t="str">
        <f>"9"</f>
        <v>9</v>
      </c>
      <c r="E5411" t="str">
        <f>"1-299-9"</f>
        <v>1-299-9</v>
      </c>
      <c r="F5411" t="s">
        <v>15</v>
      </c>
      <c r="G5411" t="s">
        <v>16</v>
      </c>
      <c r="H5411" t="s">
        <v>17</v>
      </c>
      <c r="I5411">
        <v>0</v>
      </c>
      <c r="J5411">
        <v>1</v>
      </c>
      <c r="K5411">
        <v>0</v>
      </c>
    </row>
    <row r="5412" spans="1:11" x14ac:dyDescent="0.25">
      <c r="A5412" t="str">
        <f>"6839"</f>
        <v>6839</v>
      </c>
      <c r="B5412" t="str">
        <f t="shared" si="358"/>
        <v>1</v>
      </c>
      <c r="C5412" t="str">
        <f t="shared" si="359"/>
        <v>299</v>
      </c>
      <c r="D5412" t="str">
        <f>"4"</f>
        <v>4</v>
      </c>
      <c r="E5412" t="str">
        <f>"1-299-4"</f>
        <v>1-299-4</v>
      </c>
      <c r="F5412" t="s">
        <v>15</v>
      </c>
      <c r="G5412" t="s">
        <v>18</v>
      </c>
      <c r="H5412" t="s">
        <v>19</v>
      </c>
      <c r="I5412">
        <v>1</v>
      </c>
      <c r="J5412">
        <v>0</v>
      </c>
      <c r="K5412">
        <v>0</v>
      </c>
    </row>
    <row r="5413" spans="1:11" x14ac:dyDescent="0.25">
      <c r="A5413" t="str">
        <f>"6840"</f>
        <v>6840</v>
      </c>
      <c r="B5413" t="str">
        <f t="shared" si="358"/>
        <v>1</v>
      </c>
      <c r="C5413" t="str">
        <f t="shared" si="359"/>
        <v>299</v>
      </c>
      <c r="D5413" t="str">
        <f>"24"</f>
        <v>24</v>
      </c>
      <c r="E5413" t="str">
        <f>"1-299-24"</f>
        <v>1-299-24</v>
      </c>
      <c r="F5413" t="s">
        <v>15</v>
      </c>
      <c r="G5413" t="s">
        <v>16</v>
      </c>
      <c r="H5413" t="s">
        <v>17</v>
      </c>
      <c r="I5413">
        <v>0</v>
      </c>
      <c r="J5413">
        <v>0</v>
      </c>
      <c r="K5413">
        <v>1</v>
      </c>
    </row>
    <row r="5414" spans="1:11" x14ac:dyDescent="0.25">
      <c r="A5414" t="str">
        <f>"6841"</f>
        <v>6841</v>
      </c>
      <c r="B5414" t="str">
        <f t="shared" si="358"/>
        <v>1</v>
      </c>
      <c r="C5414" t="str">
        <f t="shared" si="359"/>
        <v>299</v>
      </c>
      <c r="D5414" t="str">
        <f>"2"</f>
        <v>2</v>
      </c>
      <c r="E5414" t="str">
        <f>"1-299-2"</f>
        <v>1-299-2</v>
      </c>
      <c r="F5414" t="s">
        <v>15</v>
      </c>
      <c r="G5414" t="s">
        <v>18</v>
      </c>
      <c r="H5414" t="s">
        <v>19</v>
      </c>
      <c r="I5414">
        <v>0</v>
      </c>
      <c r="J5414">
        <v>1</v>
      </c>
      <c r="K5414">
        <v>0</v>
      </c>
    </row>
    <row r="5415" spans="1:11" x14ac:dyDescent="0.25">
      <c r="A5415" t="str">
        <f>"6842"</f>
        <v>6842</v>
      </c>
      <c r="B5415" t="str">
        <f t="shared" si="358"/>
        <v>1</v>
      </c>
      <c r="C5415" t="str">
        <f t="shared" si="359"/>
        <v>299</v>
      </c>
      <c r="D5415" t="str">
        <f>"25"</f>
        <v>25</v>
      </c>
      <c r="E5415" t="str">
        <f>"1-299-25"</f>
        <v>1-299-25</v>
      </c>
      <c r="F5415" t="s">
        <v>15</v>
      </c>
      <c r="G5415" t="s">
        <v>16</v>
      </c>
      <c r="H5415" t="s">
        <v>17</v>
      </c>
      <c r="I5415">
        <v>0</v>
      </c>
      <c r="J5415">
        <v>0</v>
      </c>
      <c r="K5415">
        <v>1</v>
      </c>
    </row>
    <row r="5416" spans="1:11" x14ac:dyDescent="0.25">
      <c r="A5416" t="str">
        <f>"6843"</f>
        <v>6843</v>
      </c>
      <c r="B5416" t="str">
        <f t="shared" si="358"/>
        <v>1</v>
      </c>
      <c r="C5416" t="str">
        <f t="shared" si="359"/>
        <v>299</v>
      </c>
      <c r="D5416" t="str">
        <f>"11"</f>
        <v>11</v>
      </c>
      <c r="E5416" t="str">
        <f>"1-299-11"</f>
        <v>1-299-11</v>
      </c>
      <c r="F5416" t="s">
        <v>15</v>
      </c>
      <c r="G5416" t="s">
        <v>16</v>
      </c>
      <c r="H5416" t="s">
        <v>17</v>
      </c>
      <c r="I5416">
        <v>1</v>
      </c>
      <c r="J5416">
        <v>0</v>
      </c>
      <c r="K5416">
        <v>0</v>
      </c>
    </row>
    <row r="5417" spans="1:11" x14ac:dyDescent="0.25">
      <c r="A5417" t="str">
        <f>"6844"</f>
        <v>6844</v>
      </c>
      <c r="B5417" t="str">
        <f t="shared" si="358"/>
        <v>1</v>
      </c>
      <c r="C5417" t="str">
        <f t="shared" si="359"/>
        <v>299</v>
      </c>
      <c r="D5417" t="str">
        <f>"26"</f>
        <v>26</v>
      </c>
      <c r="E5417" t="str">
        <f>"1-299-26"</f>
        <v>1-299-26</v>
      </c>
      <c r="F5417" t="s">
        <v>15</v>
      </c>
      <c r="G5417" t="s">
        <v>18</v>
      </c>
      <c r="H5417" t="s">
        <v>19</v>
      </c>
      <c r="I5417">
        <v>0</v>
      </c>
      <c r="J5417">
        <v>0</v>
      </c>
      <c r="K5417">
        <v>1</v>
      </c>
    </row>
    <row r="5418" spans="1:11" x14ac:dyDescent="0.25">
      <c r="A5418" t="str">
        <f>"6845"</f>
        <v>6845</v>
      </c>
      <c r="B5418" t="str">
        <f t="shared" si="358"/>
        <v>1</v>
      </c>
      <c r="C5418" t="str">
        <f t="shared" si="359"/>
        <v>299</v>
      </c>
      <c r="D5418" t="str">
        <f>"1"</f>
        <v>1</v>
      </c>
      <c r="E5418" t="str">
        <f>"1-299-1"</f>
        <v>1-299-1</v>
      </c>
      <c r="F5418" t="s">
        <v>15</v>
      </c>
      <c r="G5418" t="s">
        <v>18</v>
      </c>
      <c r="H5418" t="s">
        <v>19</v>
      </c>
      <c r="I5418">
        <v>0</v>
      </c>
      <c r="J5418">
        <v>1</v>
      </c>
      <c r="K5418">
        <v>0</v>
      </c>
    </row>
    <row r="5419" spans="1:11" x14ac:dyDescent="0.25">
      <c r="A5419" t="str">
        <f>"6846"</f>
        <v>6846</v>
      </c>
      <c r="B5419" t="str">
        <f t="shared" si="358"/>
        <v>1</v>
      </c>
      <c r="C5419" t="str">
        <f t="shared" si="359"/>
        <v>299</v>
      </c>
      <c r="D5419" t="str">
        <f>"27"</f>
        <v>27</v>
      </c>
      <c r="E5419" t="str">
        <f>"1-299-27"</f>
        <v>1-299-27</v>
      </c>
      <c r="F5419" t="s">
        <v>15</v>
      </c>
      <c r="G5419" t="s">
        <v>16</v>
      </c>
      <c r="H5419" t="s">
        <v>17</v>
      </c>
      <c r="I5419">
        <v>0</v>
      </c>
      <c r="J5419">
        <v>1</v>
      </c>
      <c r="K5419">
        <v>0</v>
      </c>
    </row>
    <row r="5420" spans="1:11" x14ac:dyDescent="0.25">
      <c r="A5420" t="str">
        <f>"6847"</f>
        <v>6847</v>
      </c>
      <c r="B5420" t="str">
        <f t="shared" si="358"/>
        <v>1</v>
      </c>
      <c r="C5420" t="str">
        <f t="shared" si="359"/>
        <v>299</v>
      </c>
      <c r="D5420" t="str">
        <f>"3"</f>
        <v>3</v>
      </c>
      <c r="E5420" t="str">
        <f>"1-299-3"</f>
        <v>1-299-3</v>
      </c>
      <c r="F5420" t="s">
        <v>15</v>
      </c>
      <c r="G5420" t="s">
        <v>16</v>
      </c>
      <c r="H5420" t="s">
        <v>17</v>
      </c>
      <c r="I5420">
        <v>1</v>
      </c>
      <c r="J5420">
        <v>0</v>
      </c>
      <c r="K5420">
        <v>0</v>
      </c>
    </row>
    <row r="5421" spans="1:11" x14ac:dyDescent="0.25">
      <c r="A5421" t="str">
        <f>"6848"</f>
        <v>6848</v>
      </c>
      <c r="B5421" t="str">
        <f t="shared" si="358"/>
        <v>1</v>
      </c>
      <c r="C5421" t="str">
        <f t="shared" si="359"/>
        <v>299</v>
      </c>
      <c r="D5421" t="str">
        <f>"13"</f>
        <v>13</v>
      </c>
      <c r="E5421" t="str">
        <f>"1-299-13"</f>
        <v>1-299-13</v>
      </c>
      <c r="F5421" t="s">
        <v>15</v>
      </c>
      <c r="G5421" t="s">
        <v>16</v>
      </c>
      <c r="H5421" t="s">
        <v>17</v>
      </c>
      <c r="I5421">
        <v>1</v>
      </c>
      <c r="J5421">
        <v>0</v>
      </c>
      <c r="K5421">
        <v>0</v>
      </c>
    </row>
    <row r="5422" spans="1:11" x14ac:dyDescent="0.25">
      <c r="A5422" t="str">
        <f>"6849"</f>
        <v>6849</v>
      </c>
      <c r="B5422" t="str">
        <f t="shared" si="358"/>
        <v>1</v>
      </c>
      <c r="C5422" t="str">
        <f t="shared" si="359"/>
        <v>299</v>
      </c>
      <c r="D5422" t="str">
        <f>"12"</f>
        <v>12</v>
      </c>
      <c r="E5422" t="str">
        <f>"1-299-12"</f>
        <v>1-299-12</v>
      </c>
      <c r="F5422" t="s">
        <v>15</v>
      </c>
      <c r="G5422" t="s">
        <v>16</v>
      </c>
      <c r="H5422" t="s">
        <v>17</v>
      </c>
      <c r="I5422">
        <v>1</v>
      </c>
      <c r="J5422">
        <v>0</v>
      </c>
      <c r="K5422">
        <v>0</v>
      </c>
    </row>
    <row r="5423" spans="1:11" x14ac:dyDescent="0.25">
      <c r="A5423" t="str">
        <f>"6850"</f>
        <v>6850</v>
      </c>
      <c r="B5423" t="str">
        <f t="shared" si="358"/>
        <v>1</v>
      </c>
      <c r="C5423" t="str">
        <f t="shared" si="359"/>
        <v>299</v>
      </c>
      <c r="D5423" t="str">
        <f>"7"</f>
        <v>7</v>
      </c>
      <c r="E5423" t="str">
        <f>"1-299-7"</f>
        <v>1-299-7</v>
      </c>
      <c r="F5423" t="s">
        <v>15</v>
      </c>
      <c r="G5423" t="s">
        <v>20</v>
      </c>
      <c r="H5423" t="s">
        <v>21</v>
      </c>
      <c r="I5423">
        <v>0</v>
      </c>
      <c r="J5423">
        <v>1</v>
      </c>
      <c r="K5423">
        <v>0</v>
      </c>
    </row>
    <row r="5424" spans="1:11" x14ac:dyDescent="0.25">
      <c r="A5424" t="str">
        <f>"6851"</f>
        <v>6851</v>
      </c>
      <c r="B5424" t="str">
        <f t="shared" si="358"/>
        <v>1</v>
      </c>
      <c r="C5424" t="str">
        <f t="shared" si="359"/>
        <v>299</v>
      </c>
      <c r="D5424" t="str">
        <f>"15"</f>
        <v>15</v>
      </c>
      <c r="E5424" t="str">
        <f>"1-299-15"</f>
        <v>1-299-15</v>
      </c>
      <c r="F5424" t="s">
        <v>15</v>
      </c>
      <c r="G5424" t="s">
        <v>16</v>
      </c>
      <c r="H5424" t="s">
        <v>17</v>
      </c>
      <c r="I5424">
        <v>0</v>
      </c>
      <c r="J5424">
        <v>0</v>
      </c>
      <c r="K5424">
        <v>0</v>
      </c>
    </row>
    <row r="5425" spans="1:11" x14ac:dyDescent="0.25">
      <c r="A5425" t="str">
        <f>"6852"</f>
        <v>6852</v>
      </c>
      <c r="B5425" t="str">
        <f t="shared" si="358"/>
        <v>1</v>
      </c>
      <c r="C5425" t="str">
        <f t="shared" si="359"/>
        <v>299</v>
      </c>
      <c r="D5425" t="str">
        <f>"17"</f>
        <v>17</v>
      </c>
      <c r="E5425" t="str">
        <f>"1-299-17"</f>
        <v>1-299-17</v>
      </c>
      <c r="F5425" t="s">
        <v>15</v>
      </c>
      <c r="G5425" t="s">
        <v>16</v>
      </c>
      <c r="H5425" t="s">
        <v>17</v>
      </c>
      <c r="I5425">
        <v>0</v>
      </c>
      <c r="J5425">
        <v>0</v>
      </c>
      <c r="K5425">
        <v>0</v>
      </c>
    </row>
    <row r="5426" spans="1:11" x14ac:dyDescent="0.25">
      <c r="A5426" t="str">
        <f>"6853"</f>
        <v>6853</v>
      </c>
      <c r="B5426" t="str">
        <f t="shared" si="358"/>
        <v>1</v>
      </c>
      <c r="C5426" t="str">
        <f t="shared" si="359"/>
        <v>299</v>
      </c>
      <c r="D5426" t="str">
        <f>"23"</f>
        <v>23</v>
      </c>
      <c r="E5426" t="str">
        <f>"1-299-23"</f>
        <v>1-299-23</v>
      </c>
      <c r="F5426" t="s">
        <v>15</v>
      </c>
      <c r="G5426" t="s">
        <v>16</v>
      </c>
      <c r="H5426" t="s">
        <v>17</v>
      </c>
      <c r="I5426">
        <v>0</v>
      </c>
      <c r="J5426">
        <v>0</v>
      </c>
      <c r="K5426">
        <v>0</v>
      </c>
    </row>
    <row r="5427" spans="1:11" x14ac:dyDescent="0.25">
      <c r="A5427" t="str">
        <f>"6854"</f>
        <v>6854</v>
      </c>
      <c r="B5427" t="str">
        <f t="shared" si="358"/>
        <v>1</v>
      </c>
      <c r="C5427" t="str">
        <f t="shared" si="359"/>
        <v>299</v>
      </c>
      <c r="D5427" t="str">
        <f>"21"</f>
        <v>21</v>
      </c>
      <c r="E5427" t="str">
        <f>"1-299-21"</f>
        <v>1-299-21</v>
      </c>
      <c r="F5427" t="s">
        <v>15</v>
      </c>
      <c r="G5427" t="s">
        <v>16</v>
      </c>
      <c r="H5427" t="s">
        <v>17</v>
      </c>
      <c r="I5427">
        <v>0</v>
      </c>
      <c r="J5427">
        <v>0</v>
      </c>
      <c r="K5427">
        <v>0</v>
      </c>
    </row>
    <row r="5428" spans="1:11" x14ac:dyDescent="0.25">
      <c r="A5428" t="str">
        <f>"6855"</f>
        <v>6855</v>
      </c>
      <c r="B5428" t="str">
        <f t="shared" si="358"/>
        <v>1</v>
      </c>
      <c r="C5428" t="str">
        <f t="shared" si="359"/>
        <v>299</v>
      </c>
      <c r="D5428" t="str">
        <f>"22"</f>
        <v>22</v>
      </c>
      <c r="E5428" t="str">
        <f>"1-299-22"</f>
        <v>1-299-22</v>
      </c>
      <c r="F5428" t="s">
        <v>15</v>
      </c>
      <c r="G5428" t="s">
        <v>16</v>
      </c>
      <c r="H5428" t="s">
        <v>17</v>
      </c>
      <c r="I5428">
        <v>0</v>
      </c>
      <c r="J5428">
        <v>0</v>
      </c>
      <c r="K5428">
        <v>0</v>
      </c>
    </row>
    <row r="5429" spans="1:11" x14ac:dyDescent="0.25">
      <c r="A5429" t="str">
        <f>"6856"</f>
        <v>6856</v>
      </c>
      <c r="B5429" t="str">
        <f t="shared" si="358"/>
        <v>1</v>
      </c>
      <c r="C5429" t="str">
        <f t="shared" ref="C5429:C5455" si="360">"300"</f>
        <v>300</v>
      </c>
      <c r="D5429" t="str">
        <f>"31"</f>
        <v>31</v>
      </c>
      <c r="E5429" t="str">
        <f>"1-300-31"</f>
        <v>1-300-31</v>
      </c>
      <c r="F5429" t="s">
        <v>15</v>
      </c>
      <c r="G5429" t="s">
        <v>16</v>
      </c>
      <c r="H5429" t="s">
        <v>17</v>
      </c>
      <c r="I5429">
        <v>1</v>
      </c>
      <c r="J5429">
        <v>0</v>
      </c>
      <c r="K5429">
        <v>0</v>
      </c>
    </row>
    <row r="5430" spans="1:11" x14ac:dyDescent="0.25">
      <c r="A5430" t="str">
        <f>"6857"</f>
        <v>6857</v>
      </c>
      <c r="B5430" t="str">
        <f t="shared" si="358"/>
        <v>1</v>
      </c>
      <c r="C5430" t="str">
        <f t="shared" si="360"/>
        <v>300</v>
      </c>
      <c r="D5430" t="str">
        <f>"21"</f>
        <v>21</v>
      </c>
      <c r="E5430" t="str">
        <f>"1-300-21"</f>
        <v>1-300-21</v>
      </c>
      <c r="F5430" t="s">
        <v>15</v>
      </c>
      <c r="G5430" t="s">
        <v>16</v>
      </c>
      <c r="H5430" t="s">
        <v>17</v>
      </c>
      <c r="I5430">
        <v>0</v>
      </c>
      <c r="J5430">
        <v>0</v>
      </c>
      <c r="K5430">
        <v>1</v>
      </c>
    </row>
    <row r="5431" spans="1:11" x14ac:dyDescent="0.25">
      <c r="A5431" t="str">
        <f>"6858"</f>
        <v>6858</v>
      </c>
      <c r="B5431" t="str">
        <f t="shared" si="358"/>
        <v>1</v>
      </c>
      <c r="C5431" t="str">
        <f t="shared" si="360"/>
        <v>300</v>
      </c>
      <c r="D5431" t="str">
        <f>"15"</f>
        <v>15</v>
      </c>
      <c r="E5431" t="str">
        <f>"1-300-15"</f>
        <v>1-300-15</v>
      </c>
      <c r="F5431" t="s">
        <v>15</v>
      </c>
      <c r="G5431" t="s">
        <v>16</v>
      </c>
      <c r="H5431" t="s">
        <v>17</v>
      </c>
      <c r="I5431">
        <v>1</v>
      </c>
      <c r="J5431">
        <v>0</v>
      </c>
      <c r="K5431">
        <v>0</v>
      </c>
    </row>
    <row r="5432" spans="1:11" x14ac:dyDescent="0.25">
      <c r="A5432" t="str">
        <f>"6860"</f>
        <v>6860</v>
      </c>
      <c r="B5432" t="str">
        <f t="shared" si="358"/>
        <v>1</v>
      </c>
      <c r="C5432" t="str">
        <f t="shared" si="360"/>
        <v>300</v>
      </c>
      <c r="D5432" t="str">
        <f>"24"</f>
        <v>24</v>
      </c>
      <c r="E5432" t="str">
        <f>"1-300-24"</f>
        <v>1-300-24</v>
      </c>
      <c r="F5432" t="s">
        <v>15</v>
      </c>
      <c r="G5432" t="s">
        <v>16</v>
      </c>
      <c r="H5432" t="s">
        <v>17</v>
      </c>
      <c r="I5432">
        <v>0</v>
      </c>
      <c r="J5432">
        <v>0</v>
      </c>
      <c r="K5432">
        <v>1</v>
      </c>
    </row>
    <row r="5433" spans="1:11" x14ac:dyDescent="0.25">
      <c r="A5433" t="str">
        <f>"6861"</f>
        <v>6861</v>
      </c>
      <c r="B5433" t="str">
        <f t="shared" si="358"/>
        <v>1</v>
      </c>
      <c r="C5433" t="str">
        <f t="shared" si="360"/>
        <v>300</v>
      </c>
      <c r="D5433" t="str">
        <f>"16"</f>
        <v>16</v>
      </c>
      <c r="E5433" t="str">
        <f>"1-300-16"</f>
        <v>1-300-16</v>
      </c>
      <c r="F5433" t="s">
        <v>15</v>
      </c>
      <c r="G5433" t="s">
        <v>18</v>
      </c>
      <c r="H5433" t="s">
        <v>19</v>
      </c>
      <c r="I5433">
        <v>0</v>
      </c>
      <c r="J5433">
        <v>0</v>
      </c>
      <c r="K5433">
        <v>1</v>
      </c>
    </row>
    <row r="5434" spans="1:11" x14ac:dyDescent="0.25">
      <c r="A5434" t="str">
        <f>"6863"</f>
        <v>6863</v>
      </c>
      <c r="B5434" t="str">
        <f t="shared" si="358"/>
        <v>1</v>
      </c>
      <c r="C5434" t="str">
        <f t="shared" si="360"/>
        <v>300</v>
      </c>
      <c r="D5434" t="str">
        <f>"17"</f>
        <v>17</v>
      </c>
      <c r="E5434" t="str">
        <f>"1-300-17"</f>
        <v>1-300-17</v>
      </c>
      <c r="F5434" t="s">
        <v>15</v>
      </c>
      <c r="G5434" t="s">
        <v>20</v>
      </c>
      <c r="H5434" t="s">
        <v>21</v>
      </c>
      <c r="I5434">
        <v>1</v>
      </c>
      <c r="J5434">
        <v>0</v>
      </c>
      <c r="K5434">
        <v>0</v>
      </c>
    </row>
    <row r="5435" spans="1:11" x14ac:dyDescent="0.25">
      <c r="A5435" t="str">
        <f>"6864"</f>
        <v>6864</v>
      </c>
      <c r="B5435" t="str">
        <f t="shared" si="358"/>
        <v>1</v>
      </c>
      <c r="C5435" t="str">
        <f t="shared" si="360"/>
        <v>300</v>
      </c>
      <c r="D5435" t="str">
        <f>"18"</f>
        <v>18</v>
      </c>
      <c r="E5435" t="str">
        <f>"1-300-18"</f>
        <v>1-300-18</v>
      </c>
      <c r="F5435" t="s">
        <v>15</v>
      </c>
      <c r="G5435" t="s">
        <v>20</v>
      </c>
      <c r="H5435" t="s">
        <v>21</v>
      </c>
      <c r="I5435">
        <v>1</v>
      </c>
      <c r="J5435">
        <v>0</v>
      </c>
      <c r="K5435">
        <v>0</v>
      </c>
    </row>
    <row r="5436" spans="1:11" x14ac:dyDescent="0.25">
      <c r="A5436" t="str">
        <f>"6865"</f>
        <v>6865</v>
      </c>
      <c r="B5436" t="str">
        <f t="shared" si="358"/>
        <v>1</v>
      </c>
      <c r="C5436" t="str">
        <f t="shared" si="360"/>
        <v>300</v>
      </c>
      <c r="D5436" t="str">
        <f>"8"</f>
        <v>8</v>
      </c>
      <c r="E5436" t="str">
        <f>"1-300-8"</f>
        <v>1-300-8</v>
      </c>
      <c r="F5436" t="s">
        <v>15</v>
      </c>
      <c r="G5436" t="s">
        <v>16</v>
      </c>
      <c r="H5436" t="s">
        <v>17</v>
      </c>
      <c r="I5436">
        <v>0</v>
      </c>
      <c r="J5436">
        <v>1</v>
      </c>
      <c r="K5436">
        <v>0</v>
      </c>
    </row>
    <row r="5437" spans="1:11" x14ac:dyDescent="0.25">
      <c r="A5437" t="str">
        <f>"6866"</f>
        <v>6866</v>
      </c>
      <c r="B5437" t="str">
        <f t="shared" si="358"/>
        <v>1</v>
      </c>
      <c r="C5437" t="str">
        <f t="shared" si="360"/>
        <v>300</v>
      </c>
      <c r="D5437" t="str">
        <f>"19"</f>
        <v>19</v>
      </c>
      <c r="E5437" t="str">
        <f>"1-300-19"</f>
        <v>1-300-19</v>
      </c>
      <c r="F5437" t="s">
        <v>15</v>
      </c>
      <c r="G5437" t="s">
        <v>16</v>
      </c>
      <c r="H5437" t="s">
        <v>17</v>
      </c>
      <c r="I5437">
        <v>0</v>
      </c>
      <c r="J5437">
        <v>0</v>
      </c>
      <c r="K5437">
        <v>1</v>
      </c>
    </row>
    <row r="5438" spans="1:11" x14ac:dyDescent="0.25">
      <c r="A5438" t="str">
        <f>"6868"</f>
        <v>6868</v>
      </c>
      <c r="B5438" t="str">
        <f t="shared" si="358"/>
        <v>1</v>
      </c>
      <c r="C5438" t="str">
        <f t="shared" si="360"/>
        <v>300</v>
      </c>
      <c r="D5438" t="str">
        <f>"20"</f>
        <v>20</v>
      </c>
      <c r="E5438" t="str">
        <f>"1-300-20"</f>
        <v>1-300-20</v>
      </c>
      <c r="F5438" t="s">
        <v>15</v>
      </c>
      <c r="G5438" t="s">
        <v>16</v>
      </c>
      <c r="H5438" t="s">
        <v>17</v>
      </c>
      <c r="I5438">
        <v>0</v>
      </c>
      <c r="J5438">
        <v>0</v>
      </c>
      <c r="K5438">
        <v>1</v>
      </c>
    </row>
    <row r="5439" spans="1:11" x14ac:dyDescent="0.25">
      <c r="A5439" t="str">
        <f>"6870"</f>
        <v>6870</v>
      </c>
      <c r="B5439" t="str">
        <f t="shared" si="358"/>
        <v>1</v>
      </c>
      <c r="C5439" t="str">
        <f t="shared" si="360"/>
        <v>300</v>
      </c>
      <c r="D5439" t="str">
        <f>"22"</f>
        <v>22</v>
      </c>
      <c r="E5439" t="str">
        <f>"1-300-22"</f>
        <v>1-300-22</v>
      </c>
      <c r="F5439" t="s">
        <v>15</v>
      </c>
      <c r="G5439" t="s">
        <v>16</v>
      </c>
      <c r="H5439" t="s">
        <v>17</v>
      </c>
      <c r="I5439">
        <v>0</v>
      </c>
      <c r="J5439">
        <v>1</v>
      </c>
      <c r="K5439">
        <v>0</v>
      </c>
    </row>
    <row r="5440" spans="1:11" x14ac:dyDescent="0.25">
      <c r="A5440" t="str">
        <f>"6871"</f>
        <v>6871</v>
      </c>
      <c r="B5440" t="str">
        <f t="shared" si="358"/>
        <v>1</v>
      </c>
      <c r="C5440" t="str">
        <f t="shared" si="360"/>
        <v>300</v>
      </c>
      <c r="D5440" t="str">
        <f>"1"</f>
        <v>1</v>
      </c>
      <c r="E5440" t="str">
        <f>"1-300-1"</f>
        <v>1-300-1</v>
      </c>
      <c r="F5440" t="s">
        <v>15</v>
      </c>
      <c r="G5440" t="s">
        <v>16</v>
      </c>
      <c r="H5440" t="s">
        <v>17</v>
      </c>
      <c r="I5440">
        <v>0</v>
      </c>
      <c r="J5440">
        <v>1</v>
      </c>
      <c r="K5440">
        <v>0</v>
      </c>
    </row>
    <row r="5441" spans="1:11" x14ac:dyDescent="0.25">
      <c r="A5441" t="str">
        <f>"6872"</f>
        <v>6872</v>
      </c>
      <c r="B5441" t="str">
        <f t="shared" si="358"/>
        <v>1</v>
      </c>
      <c r="C5441" t="str">
        <f t="shared" si="360"/>
        <v>300</v>
      </c>
      <c r="D5441" t="str">
        <f>"12"</f>
        <v>12</v>
      </c>
      <c r="E5441" t="str">
        <f>"1-300-12"</f>
        <v>1-300-12</v>
      </c>
      <c r="F5441" t="s">
        <v>15</v>
      </c>
      <c r="G5441" t="s">
        <v>16</v>
      </c>
      <c r="H5441" t="s">
        <v>17</v>
      </c>
      <c r="I5441">
        <v>0</v>
      </c>
      <c r="J5441">
        <v>1</v>
      </c>
      <c r="K5441">
        <v>0</v>
      </c>
    </row>
    <row r="5442" spans="1:11" x14ac:dyDescent="0.25">
      <c r="A5442" t="str">
        <f>"6873"</f>
        <v>6873</v>
      </c>
      <c r="B5442" t="str">
        <f t="shared" si="358"/>
        <v>1</v>
      </c>
      <c r="C5442" t="str">
        <f t="shared" si="360"/>
        <v>300</v>
      </c>
      <c r="D5442" t="str">
        <f>"25"</f>
        <v>25</v>
      </c>
      <c r="E5442" t="str">
        <f>"1-300-25"</f>
        <v>1-300-25</v>
      </c>
      <c r="F5442" t="s">
        <v>15</v>
      </c>
      <c r="G5442" t="s">
        <v>16</v>
      </c>
      <c r="H5442" t="s">
        <v>17</v>
      </c>
      <c r="I5442">
        <v>0</v>
      </c>
      <c r="J5442">
        <v>0</v>
      </c>
      <c r="K5442">
        <v>1</v>
      </c>
    </row>
    <row r="5443" spans="1:11" x14ac:dyDescent="0.25">
      <c r="A5443" t="str">
        <f>"6874"</f>
        <v>6874</v>
      </c>
      <c r="B5443" t="str">
        <f t="shared" ref="B5443:B5506" si="361">"1"</f>
        <v>1</v>
      </c>
      <c r="C5443" t="str">
        <f t="shared" si="360"/>
        <v>300</v>
      </c>
      <c r="D5443" t="str">
        <f>"9"</f>
        <v>9</v>
      </c>
      <c r="E5443" t="str">
        <f>"1-300-9"</f>
        <v>1-300-9</v>
      </c>
      <c r="F5443" t="s">
        <v>15</v>
      </c>
      <c r="G5443" t="s">
        <v>18</v>
      </c>
      <c r="H5443" t="s">
        <v>19</v>
      </c>
      <c r="I5443">
        <v>0</v>
      </c>
      <c r="J5443">
        <v>0</v>
      </c>
      <c r="K5443">
        <v>1</v>
      </c>
    </row>
    <row r="5444" spans="1:11" x14ac:dyDescent="0.25">
      <c r="A5444" t="str">
        <f>"6875"</f>
        <v>6875</v>
      </c>
      <c r="B5444" t="str">
        <f t="shared" si="361"/>
        <v>1</v>
      </c>
      <c r="C5444" t="str">
        <f t="shared" si="360"/>
        <v>300</v>
      </c>
      <c r="D5444" t="str">
        <f>"26"</f>
        <v>26</v>
      </c>
      <c r="E5444" t="str">
        <f>"1-300-26"</f>
        <v>1-300-26</v>
      </c>
      <c r="F5444" t="s">
        <v>15</v>
      </c>
      <c r="G5444" t="s">
        <v>16</v>
      </c>
      <c r="H5444" t="s">
        <v>17</v>
      </c>
      <c r="I5444">
        <v>1</v>
      </c>
      <c r="J5444">
        <v>0</v>
      </c>
      <c r="K5444">
        <v>0</v>
      </c>
    </row>
    <row r="5445" spans="1:11" x14ac:dyDescent="0.25">
      <c r="A5445" t="str">
        <f>"6876"</f>
        <v>6876</v>
      </c>
      <c r="B5445" t="str">
        <f t="shared" si="361"/>
        <v>1</v>
      </c>
      <c r="C5445" t="str">
        <f t="shared" si="360"/>
        <v>300</v>
      </c>
      <c r="D5445" t="str">
        <f>"10"</f>
        <v>10</v>
      </c>
      <c r="E5445" t="str">
        <f>"1-300-10"</f>
        <v>1-300-10</v>
      </c>
      <c r="F5445" t="s">
        <v>15</v>
      </c>
      <c r="G5445" t="s">
        <v>18</v>
      </c>
      <c r="H5445" t="s">
        <v>19</v>
      </c>
      <c r="I5445">
        <v>0</v>
      </c>
      <c r="J5445">
        <v>0</v>
      </c>
      <c r="K5445">
        <v>1</v>
      </c>
    </row>
    <row r="5446" spans="1:11" x14ac:dyDescent="0.25">
      <c r="A5446" t="str">
        <f>"6877"</f>
        <v>6877</v>
      </c>
      <c r="B5446" t="str">
        <f t="shared" si="361"/>
        <v>1</v>
      </c>
      <c r="C5446" t="str">
        <f t="shared" si="360"/>
        <v>300</v>
      </c>
      <c r="D5446" t="str">
        <f>"27"</f>
        <v>27</v>
      </c>
      <c r="E5446" t="str">
        <f>"1-300-27"</f>
        <v>1-300-27</v>
      </c>
      <c r="F5446" t="s">
        <v>15</v>
      </c>
      <c r="G5446" t="s">
        <v>16</v>
      </c>
      <c r="H5446" t="s">
        <v>17</v>
      </c>
      <c r="I5446">
        <v>1</v>
      </c>
      <c r="J5446">
        <v>0</v>
      </c>
      <c r="K5446">
        <v>0</v>
      </c>
    </row>
    <row r="5447" spans="1:11" x14ac:dyDescent="0.25">
      <c r="A5447" t="str">
        <f>"6878"</f>
        <v>6878</v>
      </c>
      <c r="B5447" t="str">
        <f t="shared" si="361"/>
        <v>1</v>
      </c>
      <c r="C5447" t="str">
        <f t="shared" si="360"/>
        <v>300</v>
      </c>
      <c r="D5447" t="str">
        <f>"14"</f>
        <v>14</v>
      </c>
      <c r="E5447" t="str">
        <f>"1-300-14"</f>
        <v>1-300-14</v>
      </c>
      <c r="F5447" t="s">
        <v>15</v>
      </c>
      <c r="G5447" t="s">
        <v>16</v>
      </c>
      <c r="H5447" t="s">
        <v>17</v>
      </c>
      <c r="I5447">
        <v>0</v>
      </c>
      <c r="J5447">
        <v>0</v>
      </c>
      <c r="K5447">
        <v>1</v>
      </c>
    </row>
    <row r="5448" spans="1:11" x14ac:dyDescent="0.25">
      <c r="A5448" t="str">
        <f>"6879"</f>
        <v>6879</v>
      </c>
      <c r="B5448" t="str">
        <f t="shared" si="361"/>
        <v>1</v>
      </c>
      <c r="C5448" t="str">
        <f t="shared" si="360"/>
        <v>300</v>
      </c>
      <c r="D5448" t="str">
        <f>"28"</f>
        <v>28</v>
      </c>
      <c r="E5448" t="str">
        <f>"1-300-28"</f>
        <v>1-300-28</v>
      </c>
      <c r="F5448" t="s">
        <v>15</v>
      </c>
      <c r="G5448" t="s">
        <v>16</v>
      </c>
      <c r="H5448" t="s">
        <v>17</v>
      </c>
      <c r="I5448">
        <v>1</v>
      </c>
      <c r="J5448">
        <v>0</v>
      </c>
      <c r="K5448">
        <v>0</v>
      </c>
    </row>
    <row r="5449" spans="1:11" x14ac:dyDescent="0.25">
      <c r="A5449" t="str">
        <f>"6880"</f>
        <v>6880</v>
      </c>
      <c r="B5449" t="str">
        <f t="shared" si="361"/>
        <v>1</v>
      </c>
      <c r="C5449" t="str">
        <f t="shared" si="360"/>
        <v>300</v>
      </c>
      <c r="D5449" t="str">
        <f>"7"</f>
        <v>7</v>
      </c>
      <c r="E5449" t="str">
        <f>"1-300-7"</f>
        <v>1-300-7</v>
      </c>
      <c r="F5449" t="s">
        <v>15</v>
      </c>
      <c r="G5449" t="s">
        <v>16</v>
      </c>
      <c r="H5449" t="s">
        <v>17</v>
      </c>
      <c r="I5449">
        <v>0</v>
      </c>
      <c r="J5449">
        <v>1</v>
      </c>
      <c r="K5449">
        <v>0</v>
      </c>
    </row>
    <row r="5450" spans="1:11" x14ac:dyDescent="0.25">
      <c r="A5450" t="str">
        <f>"6881"</f>
        <v>6881</v>
      </c>
      <c r="B5450" t="str">
        <f t="shared" si="361"/>
        <v>1</v>
      </c>
      <c r="C5450" t="str">
        <f t="shared" si="360"/>
        <v>300</v>
      </c>
      <c r="D5450" t="str">
        <f>"29"</f>
        <v>29</v>
      </c>
      <c r="E5450" t="str">
        <f>"1-300-29"</f>
        <v>1-300-29</v>
      </c>
      <c r="F5450" t="s">
        <v>15</v>
      </c>
      <c r="G5450" t="s">
        <v>16</v>
      </c>
      <c r="H5450" t="s">
        <v>17</v>
      </c>
      <c r="I5450">
        <v>1</v>
      </c>
      <c r="J5450">
        <v>0</v>
      </c>
      <c r="K5450">
        <v>0</v>
      </c>
    </row>
    <row r="5451" spans="1:11" x14ac:dyDescent="0.25">
      <c r="A5451" t="str">
        <f>"6882"</f>
        <v>6882</v>
      </c>
      <c r="B5451" t="str">
        <f t="shared" si="361"/>
        <v>1</v>
      </c>
      <c r="C5451" t="str">
        <f t="shared" si="360"/>
        <v>300</v>
      </c>
      <c r="D5451" t="str">
        <f>"13"</f>
        <v>13</v>
      </c>
      <c r="E5451" t="str">
        <f>"1-300-13"</f>
        <v>1-300-13</v>
      </c>
      <c r="F5451" t="s">
        <v>15</v>
      </c>
      <c r="G5451" t="s">
        <v>16</v>
      </c>
      <c r="H5451" t="s">
        <v>17</v>
      </c>
      <c r="I5451">
        <v>0</v>
      </c>
      <c r="J5451">
        <v>0</v>
      </c>
      <c r="K5451">
        <v>1</v>
      </c>
    </row>
    <row r="5452" spans="1:11" x14ac:dyDescent="0.25">
      <c r="A5452" t="str">
        <f>"6883"</f>
        <v>6883</v>
      </c>
      <c r="B5452" t="str">
        <f t="shared" si="361"/>
        <v>1</v>
      </c>
      <c r="C5452" t="str">
        <f t="shared" si="360"/>
        <v>300</v>
      </c>
      <c r="D5452" t="str">
        <f>"30"</f>
        <v>30</v>
      </c>
      <c r="E5452" t="str">
        <f>"1-300-30"</f>
        <v>1-300-30</v>
      </c>
      <c r="F5452" t="s">
        <v>15</v>
      </c>
      <c r="G5452" t="s">
        <v>16</v>
      </c>
      <c r="H5452" t="s">
        <v>17</v>
      </c>
      <c r="I5452">
        <v>1</v>
      </c>
      <c r="J5452">
        <v>0</v>
      </c>
      <c r="K5452">
        <v>0</v>
      </c>
    </row>
    <row r="5453" spans="1:11" x14ac:dyDescent="0.25">
      <c r="A5453" t="str">
        <f>"6884"</f>
        <v>6884</v>
      </c>
      <c r="B5453" t="str">
        <f t="shared" si="361"/>
        <v>1</v>
      </c>
      <c r="C5453" t="str">
        <f t="shared" si="360"/>
        <v>300</v>
      </c>
      <c r="D5453" t="str">
        <f>"6"</f>
        <v>6</v>
      </c>
      <c r="E5453" t="str">
        <f>"1-300-6"</f>
        <v>1-300-6</v>
      </c>
      <c r="F5453" t="s">
        <v>15</v>
      </c>
      <c r="G5453" t="s">
        <v>16</v>
      </c>
      <c r="H5453" t="s">
        <v>17</v>
      </c>
      <c r="I5453">
        <v>0</v>
      </c>
      <c r="J5453">
        <v>0</v>
      </c>
      <c r="K5453">
        <v>1</v>
      </c>
    </row>
    <row r="5454" spans="1:11" x14ac:dyDescent="0.25">
      <c r="A5454" t="str">
        <f>"6885"</f>
        <v>6885</v>
      </c>
      <c r="B5454" t="str">
        <f t="shared" si="361"/>
        <v>1</v>
      </c>
      <c r="C5454" t="str">
        <f t="shared" si="360"/>
        <v>300</v>
      </c>
      <c r="D5454" t="str">
        <f>"11"</f>
        <v>11</v>
      </c>
      <c r="E5454" t="str">
        <f>"1-300-11"</f>
        <v>1-300-11</v>
      </c>
      <c r="F5454" t="s">
        <v>15</v>
      </c>
      <c r="G5454" t="s">
        <v>16</v>
      </c>
      <c r="H5454" t="s">
        <v>17</v>
      </c>
      <c r="I5454">
        <v>0</v>
      </c>
      <c r="J5454">
        <v>0</v>
      </c>
      <c r="K5454">
        <v>0</v>
      </c>
    </row>
    <row r="5455" spans="1:11" x14ac:dyDescent="0.25">
      <c r="A5455" t="str">
        <f>"6886"</f>
        <v>6886</v>
      </c>
      <c r="B5455" t="str">
        <f t="shared" si="361"/>
        <v>1</v>
      </c>
      <c r="C5455" t="str">
        <f t="shared" si="360"/>
        <v>300</v>
      </c>
      <c r="D5455" t="str">
        <f>"23"</f>
        <v>23</v>
      </c>
      <c r="E5455" t="str">
        <f>"1-300-23"</f>
        <v>1-300-23</v>
      </c>
      <c r="F5455" t="s">
        <v>15</v>
      </c>
      <c r="G5455" t="s">
        <v>16</v>
      </c>
      <c r="H5455" t="s">
        <v>17</v>
      </c>
      <c r="I5455">
        <v>0</v>
      </c>
      <c r="J5455">
        <v>1</v>
      </c>
      <c r="K5455">
        <v>0</v>
      </c>
    </row>
    <row r="5456" spans="1:11" x14ac:dyDescent="0.25">
      <c r="A5456" t="str">
        <f>"6887"</f>
        <v>6887</v>
      </c>
      <c r="B5456" t="str">
        <f t="shared" si="361"/>
        <v>1</v>
      </c>
      <c r="C5456" t="str">
        <f t="shared" ref="C5456:C5476" si="362">"301"</f>
        <v>301</v>
      </c>
      <c r="D5456" t="str">
        <f>"19"</f>
        <v>19</v>
      </c>
      <c r="E5456" t="str">
        <f>"1-301-19"</f>
        <v>1-301-19</v>
      </c>
      <c r="F5456" t="s">
        <v>15</v>
      </c>
      <c r="G5456" t="s">
        <v>18</v>
      </c>
      <c r="H5456" t="s">
        <v>19</v>
      </c>
      <c r="I5456">
        <v>1</v>
      </c>
      <c r="J5456">
        <v>0</v>
      </c>
      <c r="K5456">
        <v>0</v>
      </c>
    </row>
    <row r="5457" spans="1:11" x14ac:dyDescent="0.25">
      <c r="A5457" t="str">
        <f>"6888"</f>
        <v>6888</v>
      </c>
      <c r="B5457" t="str">
        <f t="shared" si="361"/>
        <v>1</v>
      </c>
      <c r="C5457" t="str">
        <f t="shared" si="362"/>
        <v>301</v>
      </c>
      <c r="D5457" t="str">
        <f>"15"</f>
        <v>15</v>
      </c>
      <c r="E5457" t="str">
        <f>"1-301-15"</f>
        <v>1-301-15</v>
      </c>
      <c r="F5457" t="s">
        <v>15</v>
      </c>
      <c r="G5457" t="s">
        <v>18</v>
      </c>
      <c r="H5457" t="s">
        <v>19</v>
      </c>
      <c r="I5457">
        <v>0</v>
      </c>
      <c r="J5457">
        <v>1</v>
      </c>
      <c r="K5457">
        <v>0</v>
      </c>
    </row>
    <row r="5458" spans="1:11" x14ac:dyDescent="0.25">
      <c r="A5458" t="str">
        <f>"6889"</f>
        <v>6889</v>
      </c>
      <c r="B5458" t="str">
        <f t="shared" si="361"/>
        <v>1</v>
      </c>
      <c r="C5458" t="str">
        <f t="shared" si="362"/>
        <v>301</v>
      </c>
      <c r="D5458" t="str">
        <f>"1"</f>
        <v>1</v>
      </c>
      <c r="E5458" t="str">
        <f>"1-301-1"</f>
        <v>1-301-1</v>
      </c>
      <c r="F5458" t="s">
        <v>15</v>
      </c>
      <c r="G5458" t="s">
        <v>18</v>
      </c>
      <c r="H5458" t="s">
        <v>19</v>
      </c>
      <c r="I5458">
        <v>0</v>
      </c>
      <c r="J5458">
        <v>0</v>
      </c>
      <c r="K5458">
        <v>1</v>
      </c>
    </row>
    <row r="5459" spans="1:11" x14ac:dyDescent="0.25">
      <c r="A5459" t="str">
        <f>"6890"</f>
        <v>6890</v>
      </c>
      <c r="B5459" t="str">
        <f t="shared" si="361"/>
        <v>1</v>
      </c>
      <c r="C5459" t="str">
        <f t="shared" si="362"/>
        <v>301</v>
      </c>
      <c r="D5459" t="str">
        <f>"16"</f>
        <v>16</v>
      </c>
      <c r="E5459" t="str">
        <f>"1-301-16"</f>
        <v>1-301-16</v>
      </c>
      <c r="F5459" t="s">
        <v>15</v>
      </c>
      <c r="G5459" t="s">
        <v>18</v>
      </c>
      <c r="H5459" t="s">
        <v>19</v>
      </c>
      <c r="I5459">
        <v>1</v>
      </c>
      <c r="J5459">
        <v>0</v>
      </c>
      <c r="K5459">
        <v>0</v>
      </c>
    </row>
    <row r="5460" spans="1:11" x14ac:dyDescent="0.25">
      <c r="A5460" t="str">
        <f>"6891"</f>
        <v>6891</v>
      </c>
      <c r="B5460" t="str">
        <f t="shared" si="361"/>
        <v>1</v>
      </c>
      <c r="C5460" t="str">
        <f t="shared" si="362"/>
        <v>301</v>
      </c>
      <c r="D5460" t="str">
        <f>"4"</f>
        <v>4</v>
      </c>
      <c r="E5460" t="str">
        <f>"1-301-4"</f>
        <v>1-301-4</v>
      </c>
      <c r="F5460" t="s">
        <v>15</v>
      </c>
      <c r="G5460" t="s">
        <v>18</v>
      </c>
      <c r="H5460" t="s">
        <v>19</v>
      </c>
      <c r="I5460">
        <v>1</v>
      </c>
      <c r="J5460">
        <v>0</v>
      </c>
      <c r="K5460">
        <v>0</v>
      </c>
    </row>
    <row r="5461" spans="1:11" x14ac:dyDescent="0.25">
      <c r="A5461" t="str">
        <f>"6892"</f>
        <v>6892</v>
      </c>
      <c r="B5461" t="str">
        <f t="shared" si="361"/>
        <v>1</v>
      </c>
      <c r="C5461" t="str">
        <f t="shared" si="362"/>
        <v>301</v>
      </c>
      <c r="D5461" t="str">
        <f>"17"</f>
        <v>17</v>
      </c>
      <c r="E5461" t="str">
        <f>"1-301-17"</f>
        <v>1-301-17</v>
      </c>
      <c r="F5461" t="s">
        <v>15</v>
      </c>
      <c r="G5461" t="s">
        <v>18</v>
      </c>
      <c r="H5461" t="s">
        <v>19</v>
      </c>
      <c r="I5461">
        <v>0</v>
      </c>
      <c r="J5461">
        <v>0</v>
      </c>
      <c r="K5461">
        <v>1</v>
      </c>
    </row>
    <row r="5462" spans="1:11" x14ac:dyDescent="0.25">
      <c r="A5462" t="str">
        <f>"6893"</f>
        <v>6893</v>
      </c>
      <c r="B5462" t="str">
        <f t="shared" si="361"/>
        <v>1</v>
      </c>
      <c r="C5462" t="str">
        <f t="shared" si="362"/>
        <v>301</v>
      </c>
      <c r="D5462" t="str">
        <f>"6"</f>
        <v>6</v>
      </c>
      <c r="E5462" t="str">
        <f>"1-301-6"</f>
        <v>1-301-6</v>
      </c>
      <c r="F5462" t="s">
        <v>15</v>
      </c>
      <c r="G5462" t="s">
        <v>16</v>
      </c>
      <c r="H5462" t="s">
        <v>17</v>
      </c>
      <c r="I5462">
        <v>0</v>
      </c>
      <c r="J5462">
        <v>0</v>
      </c>
      <c r="K5462">
        <v>1</v>
      </c>
    </row>
    <row r="5463" spans="1:11" x14ac:dyDescent="0.25">
      <c r="A5463" t="str">
        <f>"6894"</f>
        <v>6894</v>
      </c>
      <c r="B5463" t="str">
        <f t="shared" si="361"/>
        <v>1</v>
      </c>
      <c r="C5463" t="str">
        <f t="shared" si="362"/>
        <v>301</v>
      </c>
      <c r="D5463" t="str">
        <f>"18"</f>
        <v>18</v>
      </c>
      <c r="E5463" t="str">
        <f>"1-301-18"</f>
        <v>1-301-18</v>
      </c>
      <c r="F5463" t="s">
        <v>15</v>
      </c>
      <c r="G5463" t="s">
        <v>18</v>
      </c>
      <c r="H5463" t="s">
        <v>19</v>
      </c>
      <c r="I5463">
        <v>0</v>
      </c>
      <c r="J5463">
        <v>1</v>
      </c>
      <c r="K5463">
        <v>0</v>
      </c>
    </row>
    <row r="5464" spans="1:11" x14ac:dyDescent="0.25">
      <c r="A5464" t="str">
        <f>"6895"</f>
        <v>6895</v>
      </c>
      <c r="B5464" t="str">
        <f t="shared" si="361"/>
        <v>1</v>
      </c>
      <c r="C5464" t="str">
        <f t="shared" si="362"/>
        <v>301</v>
      </c>
      <c r="D5464" t="str">
        <f>"9"</f>
        <v>9</v>
      </c>
      <c r="E5464" t="str">
        <f>"1-301-9"</f>
        <v>1-301-9</v>
      </c>
      <c r="F5464" t="s">
        <v>15</v>
      </c>
      <c r="G5464" t="s">
        <v>18</v>
      </c>
      <c r="H5464" t="s">
        <v>19</v>
      </c>
      <c r="I5464">
        <v>1</v>
      </c>
      <c r="J5464">
        <v>0</v>
      </c>
      <c r="K5464">
        <v>0</v>
      </c>
    </row>
    <row r="5465" spans="1:11" x14ac:dyDescent="0.25">
      <c r="A5465" t="str">
        <f>"6896"</f>
        <v>6896</v>
      </c>
      <c r="B5465" t="str">
        <f t="shared" si="361"/>
        <v>1</v>
      </c>
      <c r="C5465" t="str">
        <f t="shared" si="362"/>
        <v>301</v>
      </c>
      <c r="D5465" t="str">
        <f>"20"</f>
        <v>20</v>
      </c>
      <c r="E5465" t="str">
        <f>"1-301-20"</f>
        <v>1-301-20</v>
      </c>
      <c r="F5465" t="s">
        <v>15</v>
      </c>
      <c r="G5465" t="s">
        <v>18</v>
      </c>
      <c r="H5465" t="s">
        <v>19</v>
      </c>
      <c r="I5465">
        <v>0</v>
      </c>
      <c r="J5465">
        <v>0</v>
      </c>
      <c r="K5465">
        <v>1</v>
      </c>
    </row>
    <row r="5466" spans="1:11" x14ac:dyDescent="0.25">
      <c r="A5466" t="str">
        <f>"6897"</f>
        <v>6897</v>
      </c>
      <c r="B5466" t="str">
        <f t="shared" si="361"/>
        <v>1</v>
      </c>
      <c r="C5466" t="str">
        <f t="shared" si="362"/>
        <v>301</v>
      </c>
      <c r="D5466" t="str">
        <f>"10"</f>
        <v>10</v>
      </c>
      <c r="E5466" t="str">
        <f>"1-301-10"</f>
        <v>1-301-10</v>
      </c>
      <c r="F5466" t="s">
        <v>15</v>
      </c>
      <c r="G5466" t="s">
        <v>18</v>
      </c>
      <c r="H5466" t="s">
        <v>19</v>
      </c>
      <c r="I5466">
        <v>1</v>
      </c>
      <c r="J5466">
        <v>0</v>
      </c>
      <c r="K5466">
        <v>0</v>
      </c>
    </row>
    <row r="5467" spans="1:11" x14ac:dyDescent="0.25">
      <c r="A5467" t="str">
        <f>"6898"</f>
        <v>6898</v>
      </c>
      <c r="B5467" t="str">
        <f t="shared" si="361"/>
        <v>1</v>
      </c>
      <c r="C5467" t="str">
        <f t="shared" si="362"/>
        <v>301</v>
      </c>
      <c r="D5467" t="str">
        <f>"21"</f>
        <v>21</v>
      </c>
      <c r="E5467" t="str">
        <f>"1-301-21"</f>
        <v>1-301-21</v>
      </c>
      <c r="F5467" t="s">
        <v>15</v>
      </c>
      <c r="G5467" t="s">
        <v>18</v>
      </c>
      <c r="H5467" t="s">
        <v>19</v>
      </c>
      <c r="I5467">
        <v>0</v>
      </c>
      <c r="J5467">
        <v>0</v>
      </c>
      <c r="K5467">
        <v>1</v>
      </c>
    </row>
    <row r="5468" spans="1:11" x14ac:dyDescent="0.25">
      <c r="A5468" t="str">
        <f>"6899"</f>
        <v>6899</v>
      </c>
      <c r="B5468" t="str">
        <f t="shared" si="361"/>
        <v>1</v>
      </c>
      <c r="C5468" t="str">
        <f t="shared" si="362"/>
        <v>301</v>
      </c>
      <c r="D5468" t="str">
        <f>"2"</f>
        <v>2</v>
      </c>
      <c r="E5468" t="str">
        <f>"1-301-2"</f>
        <v>1-301-2</v>
      </c>
      <c r="F5468" t="s">
        <v>15</v>
      </c>
      <c r="G5468" t="s">
        <v>18</v>
      </c>
      <c r="H5468" t="s">
        <v>19</v>
      </c>
      <c r="I5468">
        <v>1</v>
      </c>
      <c r="J5468">
        <v>0</v>
      </c>
      <c r="K5468">
        <v>0</v>
      </c>
    </row>
    <row r="5469" spans="1:11" x14ac:dyDescent="0.25">
      <c r="A5469" t="str">
        <f>"6900"</f>
        <v>6900</v>
      </c>
      <c r="B5469" t="str">
        <f t="shared" si="361"/>
        <v>1</v>
      </c>
      <c r="C5469" t="str">
        <f t="shared" si="362"/>
        <v>301</v>
      </c>
      <c r="D5469" t="str">
        <f>"11"</f>
        <v>11</v>
      </c>
      <c r="E5469" t="str">
        <f>"1-301-11"</f>
        <v>1-301-11</v>
      </c>
      <c r="F5469" t="s">
        <v>15</v>
      </c>
      <c r="G5469" t="s">
        <v>18</v>
      </c>
      <c r="H5469" t="s">
        <v>19</v>
      </c>
      <c r="I5469">
        <v>1</v>
      </c>
      <c r="J5469">
        <v>0</v>
      </c>
      <c r="K5469">
        <v>0</v>
      </c>
    </row>
    <row r="5470" spans="1:11" x14ac:dyDescent="0.25">
      <c r="A5470" t="str">
        <f>"6901"</f>
        <v>6901</v>
      </c>
      <c r="B5470" t="str">
        <f t="shared" si="361"/>
        <v>1</v>
      </c>
      <c r="C5470" t="str">
        <f t="shared" si="362"/>
        <v>301</v>
      </c>
      <c r="D5470" t="str">
        <f>"5"</f>
        <v>5</v>
      </c>
      <c r="E5470" t="str">
        <f>"1-301-5"</f>
        <v>1-301-5</v>
      </c>
      <c r="F5470" t="s">
        <v>15</v>
      </c>
      <c r="G5470" t="s">
        <v>18</v>
      </c>
      <c r="H5470" t="s">
        <v>19</v>
      </c>
      <c r="I5470">
        <v>1</v>
      </c>
      <c r="J5470">
        <v>0</v>
      </c>
      <c r="K5470">
        <v>0</v>
      </c>
    </row>
    <row r="5471" spans="1:11" x14ac:dyDescent="0.25">
      <c r="A5471" t="str">
        <f>"6902"</f>
        <v>6902</v>
      </c>
      <c r="B5471" t="str">
        <f t="shared" si="361"/>
        <v>1</v>
      </c>
      <c r="C5471" t="str">
        <f t="shared" si="362"/>
        <v>301</v>
      </c>
      <c r="D5471" t="str">
        <f>"8"</f>
        <v>8</v>
      </c>
      <c r="E5471" t="str">
        <f>"1-301-8"</f>
        <v>1-301-8</v>
      </c>
      <c r="F5471" t="s">
        <v>15</v>
      </c>
      <c r="G5471" t="s">
        <v>18</v>
      </c>
      <c r="H5471" t="s">
        <v>19</v>
      </c>
      <c r="I5471">
        <v>0</v>
      </c>
      <c r="J5471">
        <v>1</v>
      </c>
      <c r="K5471">
        <v>0</v>
      </c>
    </row>
    <row r="5472" spans="1:11" x14ac:dyDescent="0.25">
      <c r="A5472" t="str">
        <f>"6903"</f>
        <v>6903</v>
      </c>
      <c r="B5472" t="str">
        <f t="shared" si="361"/>
        <v>1</v>
      </c>
      <c r="C5472" t="str">
        <f t="shared" si="362"/>
        <v>301</v>
      </c>
      <c r="D5472" t="str">
        <f>"13"</f>
        <v>13</v>
      </c>
      <c r="E5472" t="str">
        <f>"1-301-13"</f>
        <v>1-301-13</v>
      </c>
      <c r="F5472" t="s">
        <v>15</v>
      </c>
      <c r="G5472" t="s">
        <v>16</v>
      </c>
      <c r="H5472" t="s">
        <v>17</v>
      </c>
      <c r="I5472">
        <v>0</v>
      </c>
      <c r="J5472">
        <v>1</v>
      </c>
      <c r="K5472">
        <v>0</v>
      </c>
    </row>
    <row r="5473" spans="1:11" x14ac:dyDescent="0.25">
      <c r="A5473" t="str">
        <f>"6904"</f>
        <v>6904</v>
      </c>
      <c r="B5473" t="str">
        <f t="shared" si="361"/>
        <v>1</v>
      </c>
      <c r="C5473" t="str">
        <f t="shared" si="362"/>
        <v>301</v>
      </c>
      <c r="D5473" t="str">
        <f>"14"</f>
        <v>14</v>
      </c>
      <c r="E5473" t="str">
        <f>"1-301-14"</f>
        <v>1-301-14</v>
      </c>
      <c r="F5473" t="s">
        <v>15</v>
      </c>
      <c r="G5473" t="s">
        <v>18</v>
      </c>
      <c r="H5473" t="s">
        <v>19</v>
      </c>
      <c r="I5473">
        <v>0</v>
      </c>
      <c r="J5473">
        <v>0</v>
      </c>
      <c r="K5473">
        <v>1</v>
      </c>
    </row>
    <row r="5474" spans="1:11" x14ac:dyDescent="0.25">
      <c r="A5474" t="str">
        <f>"6905"</f>
        <v>6905</v>
      </c>
      <c r="B5474" t="str">
        <f t="shared" si="361"/>
        <v>1</v>
      </c>
      <c r="C5474" t="str">
        <f t="shared" si="362"/>
        <v>301</v>
      </c>
      <c r="D5474" t="str">
        <f>"3"</f>
        <v>3</v>
      </c>
      <c r="E5474" t="str">
        <f>"1-301-3"</f>
        <v>1-301-3</v>
      </c>
      <c r="F5474" t="s">
        <v>15</v>
      </c>
      <c r="G5474" t="s">
        <v>18</v>
      </c>
      <c r="H5474" t="s">
        <v>19</v>
      </c>
      <c r="I5474">
        <v>0</v>
      </c>
      <c r="J5474">
        <v>1</v>
      </c>
      <c r="K5474">
        <v>0</v>
      </c>
    </row>
    <row r="5475" spans="1:11" x14ac:dyDescent="0.25">
      <c r="A5475" t="str">
        <f>"6906"</f>
        <v>6906</v>
      </c>
      <c r="B5475" t="str">
        <f t="shared" si="361"/>
        <v>1</v>
      </c>
      <c r="C5475" t="str">
        <f t="shared" si="362"/>
        <v>301</v>
      </c>
      <c r="D5475" t="str">
        <f>"12"</f>
        <v>12</v>
      </c>
      <c r="E5475" t="str">
        <f>"1-301-12"</f>
        <v>1-301-12</v>
      </c>
      <c r="F5475" t="s">
        <v>15</v>
      </c>
      <c r="G5475" t="s">
        <v>18</v>
      </c>
      <c r="H5475" t="s">
        <v>19</v>
      </c>
      <c r="I5475">
        <v>0</v>
      </c>
      <c r="J5475">
        <v>0</v>
      </c>
      <c r="K5475">
        <v>1</v>
      </c>
    </row>
    <row r="5476" spans="1:11" x14ac:dyDescent="0.25">
      <c r="A5476" t="str">
        <f>"6907"</f>
        <v>6907</v>
      </c>
      <c r="B5476" t="str">
        <f t="shared" si="361"/>
        <v>1</v>
      </c>
      <c r="C5476" t="str">
        <f t="shared" si="362"/>
        <v>301</v>
      </c>
      <c r="D5476" t="str">
        <f>"7"</f>
        <v>7</v>
      </c>
      <c r="E5476" t="str">
        <f>"1-301-7"</f>
        <v>1-301-7</v>
      </c>
      <c r="F5476" t="s">
        <v>15</v>
      </c>
      <c r="G5476" t="s">
        <v>18</v>
      </c>
      <c r="H5476" t="s">
        <v>19</v>
      </c>
      <c r="I5476">
        <v>1</v>
      </c>
      <c r="J5476">
        <v>0</v>
      </c>
      <c r="K5476">
        <v>0</v>
      </c>
    </row>
    <row r="5477" spans="1:11" x14ac:dyDescent="0.25">
      <c r="A5477" t="str">
        <f>"6908"</f>
        <v>6908</v>
      </c>
      <c r="B5477" t="str">
        <f t="shared" si="361"/>
        <v>1</v>
      </c>
      <c r="C5477" t="str">
        <f t="shared" ref="C5477:C5503" si="363">"302"</f>
        <v>302</v>
      </c>
      <c r="D5477" t="str">
        <f>"21"</f>
        <v>21</v>
      </c>
      <c r="E5477" t="str">
        <f>"1-302-21"</f>
        <v>1-302-21</v>
      </c>
      <c r="F5477" t="s">
        <v>15</v>
      </c>
      <c r="G5477" t="s">
        <v>16</v>
      </c>
      <c r="H5477" t="s">
        <v>17</v>
      </c>
      <c r="I5477">
        <v>1</v>
      </c>
      <c r="J5477">
        <v>0</v>
      </c>
      <c r="K5477">
        <v>0</v>
      </c>
    </row>
    <row r="5478" spans="1:11" x14ac:dyDescent="0.25">
      <c r="A5478" t="str">
        <f>"6909"</f>
        <v>6909</v>
      </c>
      <c r="B5478" t="str">
        <f t="shared" si="361"/>
        <v>1</v>
      </c>
      <c r="C5478" t="str">
        <f t="shared" si="363"/>
        <v>302</v>
      </c>
      <c r="D5478" t="str">
        <f>"15"</f>
        <v>15</v>
      </c>
      <c r="E5478" t="str">
        <f>"1-302-15"</f>
        <v>1-302-15</v>
      </c>
      <c r="F5478" t="s">
        <v>15</v>
      </c>
      <c r="G5478" t="s">
        <v>16</v>
      </c>
      <c r="H5478" t="s">
        <v>17</v>
      </c>
      <c r="I5478">
        <v>1</v>
      </c>
      <c r="J5478">
        <v>0</v>
      </c>
      <c r="K5478">
        <v>0</v>
      </c>
    </row>
    <row r="5479" spans="1:11" x14ac:dyDescent="0.25">
      <c r="A5479" t="str">
        <f>"6910"</f>
        <v>6910</v>
      </c>
      <c r="B5479" t="str">
        <f t="shared" si="361"/>
        <v>1</v>
      </c>
      <c r="C5479" t="str">
        <f t="shared" si="363"/>
        <v>302</v>
      </c>
      <c r="D5479" t="str">
        <f>"2"</f>
        <v>2</v>
      </c>
      <c r="E5479" t="str">
        <f>"1-302-2"</f>
        <v>1-302-2</v>
      </c>
      <c r="F5479" t="s">
        <v>15</v>
      </c>
      <c r="G5479" t="s">
        <v>16</v>
      </c>
      <c r="H5479" t="s">
        <v>17</v>
      </c>
      <c r="I5479">
        <v>0</v>
      </c>
      <c r="J5479">
        <v>0</v>
      </c>
      <c r="K5479">
        <v>1</v>
      </c>
    </row>
    <row r="5480" spans="1:11" x14ac:dyDescent="0.25">
      <c r="A5480" t="str">
        <f>"6911"</f>
        <v>6911</v>
      </c>
      <c r="B5480" t="str">
        <f t="shared" si="361"/>
        <v>1</v>
      </c>
      <c r="C5480" t="str">
        <f t="shared" si="363"/>
        <v>302</v>
      </c>
      <c r="D5480" t="str">
        <f>"22"</f>
        <v>22</v>
      </c>
      <c r="E5480" t="str">
        <f>"1-302-22"</f>
        <v>1-302-22</v>
      </c>
      <c r="F5480" t="s">
        <v>15</v>
      </c>
      <c r="G5480" t="s">
        <v>16</v>
      </c>
      <c r="H5480" t="s">
        <v>17</v>
      </c>
      <c r="I5480">
        <v>1</v>
      </c>
      <c r="J5480">
        <v>0</v>
      </c>
      <c r="K5480">
        <v>0</v>
      </c>
    </row>
    <row r="5481" spans="1:11" x14ac:dyDescent="0.25">
      <c r="A5481" t="str">
        <f>"6912"</f>
        <v>6912</v>
      </c>
      <c r="B5481" t="str">
        <f t="shared" si="361"/>
        <v>1</v>
      </c>
      <c r="C5481" t="str">
        <f t="shared" si="363"/>
        <v>302</v>
      </c>
      <c r="D5481" t="str">
        <f>"16"</f>
        <v>16</v>
      </c>
      <c r="E5481" t="str">
        <f>"1-302-16"</f>
        <v>1-302-16</v>
      </c>
      <c r="F5481" t="s">
        <v>15</v>
      </c>
      <c r="G5481" t="s">
        <v>16</v>
      </c>
      <c r="H5481" t="s">
        <v>17</v>
      </c>
      <c r="I5481">
        <v>1</v>
      </c>
      <c r="J5481">
        <v>0</v>
      </c>
      <c r="K5481">
        <v>0</v>
      </c>
    </row>
    <row r="5482" spans="1:11" x14ac:dyDescent="0.25">
      <c r="A5482" t="str">
        <f>"6913"</f>
        <v>6913</v>
      </c>
      <c r="B5482" t="str">
        <f t="shared" si="361"/>
        <v>1</v>
      </c>
      <c r="C5482" t="str">
        <f t="shared" si="363"/>
        <v>302</v>
      </c>
      <c r="D5482" t="str">
        <f>"5"</f>
        <v>5</v>
      </c>
      <c r="E5482" t="str">
        <f>"1-302-5"</f>
        <v>1-302-5</v>
      </c>
      <c r="F5482" t="s">
        <v>15</v>
      </c>
      <c r="G5482" t="s">
        <v>16</v>
      </c>
      <c r="H5482" t="s">
        <v>17</v>
      </c>
      <c r="I5482">
        <v>0</v>
      </c>
      <c r="J5482">
        <v>0</v>
      </c>
      <c r="K5482">
        <v>1</v>
      </c>
    </row>
    <row r="5483" spans="1:11" x14ac:dyDescent="0.25">
      <c r="A5483" t="str">
        <f>"6914"</f>
        <v>6914</v>
      </c>
      <c r="B5483" t="str">
        <f t="shared" si="361"/>
        <v>1</v>
      </c>
      <c r="C5483" t="str">
        <f t="shared" si="363"/>
        <v>302</v>
      </c>
      <c r="D5483" t="str">
        <f>"17"</f>
        <v>17</v>
      </c>
      <c r="E5483" t="str">
        <f>"1-302-17"</f>
        <v>1-302-17</v>
      </c>
      <c r="F5483" t="s">
        <v>15</v>
      </c>
      <c r="G5483" t="s">
        <v>16</v>
      </c>
      <c r="H5483" t="s">
        <v>17</v>
      </c>
      <c r="I5483">
        <v>0</v>
      </c>
      <c r="J5483">
        <v>1</v>
      </c>
      <c r="K5483">
        <v>0</v>
      </c>
    </row>
    <row r="5484" spans="1:11" x14ac:dyDescent="0.25">
      <c r="A5484" t="str">
        <f>"6915"</f>
        <v>6915</v>
      </c>
      <c r="B5484" t="str">
        <f t="shared" si="361"/>
        <v>1</v>
      </c>
      <c r="C5484" t="str">
        <f t="shared" si="363"/>
        <v>302</v>
      </c>
      <c r="D5484" t="str">
        <f>"13"</f>
        <v>13</v>
      </c>
      <c r="E5484" t="str">
        <f>"1-302-13"</f>
        <v>1-302-13</v>
      </c>
      <c r="F5484" t="s">
        <v>15</v>
      </c>
      <c r="G5484" t="s">
        <v>16</v>
      </c>
      <c r="H5484" t="s">
        <v>17</v>
      </c>
      <c r="I5484">
        <v>0</v>
      </c>
      <c r="J5484">
        <v>0</v>
      </c>
      <c r="K5484">
        <v>1</v>
      </c>
    </row>
    <row r="5485" spans="1:11" x14ac:dyDescent="0.25">
      <c r="A5485" t="str">
        <f>"6916"</f>
        <v>6916</v>
      </c>
      <c r="B5485" t="str">
        <f t="shared" si="361"/>
        <v>1</v>
      </c>
      <c r="C5485" t="str">
        <f t="shared" si="363"/>
        <v>302</v>
      </c>
      <c r="D5485" t="str">
        <f>"18"</f>
        <v>18</v>
      </c>
      <c r="E5485" t="str">
        <f>"1-302-18"</f>
        <v>1-302-18</v>
      </c>
      <c r="F5485" t="s">
        <v>15</v>
      </c>
      <c r="G5485" t="s">
        <v>16</v>
      </c>
      <c r="H5485" t="s">
        <v>17</v>
      </c>
      <c r="I5485">
        <v>0</v>
      </c>
      <c r="J5485">
        <v>1</v>
      </c>
      <c r="K5485">
        <v>0</v>
      </c>
    </row>
    <row r="5486" spans="1:11" x14ac:dyDescent="0.25">
      <c r="A5486" t="str">
        <f>"6917"</f>
        <v>6917</v>
      </c>
      <c r="B5486" t="str">
        <f t="shared" si="361"/>
        <v>1</v>
      </c>
      <c r="C5486" t="str">
        <f t="shared" si="363"/>
        <v>302</v>
      </c>
      <c r="D5486" t="str">
        <f>"9"</f>
        <v>9</v>
      </c>
      <c r="E5486" t="str">
        <f>"1-302-9"</f>
        <v>1-302-9</v>
      </c>
      <c r="F5486" t="s">
        <v>15</v>
      </c>
      <c r="G5486" t="s">
        <v>16</v>
      </c>
      <c r="H5486" t="s">
        <v>17</v>
      </c>
      <c r="I5486">
        <v>1</v>
      </c>
      <c r="J5486">
        <v>0</v>
      </c>
      <c r="K5486">
        <v>0</v>
      </c>
    </row>
    <row r="5487" spans="1:11" x14ac:dyDescent="0.25">
      <c r="A5487" t="str">
        <f>"6918"</f>
        <v>6918</v>
      </c>
      <c r="B5487" t="str">
        <f t="shared" si="361"/>
        <v>1</v>
      </c>
      <c r="C5487" t="str">
        <f t="shared" si="363"/>
        <v>302</v>
      </c>
      <c r="D5487" t="str">
        <f>"19"</f>
        <v>19</v>
      </c>
      <c r="E5487" t="str">
        <f>"1-302-19"</f>
        <v>1-302-19</v>
      </c>
      <c r="F5487" t="s">
        <v>15</v>
      </c>
      <c r="G5487" t="s">
        <v>16</v>
      </c>
      <c r="H5487" t="s">
        <v>17</v>
      </c>
      <c r="I5487">
        <v>0</v>
      </c>
      <c r="J5487">
        <v>0</v>
      </c>
      <c r="K5487">
        <v>1</v>
      </c>
    </row>
    <row r="5488" spans="1:11" x14ac:dyDescent="0.25">
      <c r="A5488" t="str">
        <f>"6919"</f>
        <v>6919</v>
      </c>
      <c r="B5488" t="str">
        <f t="shared" si="361"/>
        <v>1</v>
      </c>
      <c r="C5488" t="str">
        <f t="shared" si="363"/>
        <v>302</v>
      </c>
      <c r="D5488" t="str">
        <f>"1"</f>
        <v>1</v>
      </c>
      <c r="E5488" t="str">
        <f>"1-302-1"</f>
        <v>1-302-1</v>
      </c>
      <c r="F5488" t="s">
        <v>15</v>
      </c>
      <c r="G5488" t="s">
        <v>16</v>
      </c>
      <c r="H5488" t="s">
        <v>17</v>
      </c>
      <c r="I5488">
        <v>0</v>
      </c>
      <c r="J5488">
        <v>1</v>
      </c>
      <c r="K5488">
        <v>0</v>
      </c>
    </row>
    <row r="5489" spans="1:11" x14ac:dyDescent="0.25">
      <c r="A5489" t="str">
        <f>"6920"</f>
        <v>6920</v>
      </c>
      <c r="B5489" t="str">
        <f t="shared" si="361"/>
        <v>1</v>
      </c>
      <c r="C5489" t="str">
        <f t="shared" si="363"/>
        <v>302</v>
      </c>
      <c r="D5489" t="str">
        <f>"20"</f>
        <v>20</v>
      </c>
      <c r="E5489" t="str">
        <f>"1-302-20"</f>
        <v>1-302-20</v>
      </c>
      <c r="F5489" t="s">
        <v>15</v>
      </c>
      <c r="G5489" t="s">
        <v>16</v>
      </c>
      <c r="H5489" t="s">
        <v>17</v>
      </c>
      <c r="I5489">
        <v>1</v>
      </c>
      <c r="J5489">
        <v>0</v>
      </c>
      <c r="K5489">
        <v>0</v>
      </c>
    </row>
    <row r="5490" spans="1:11" x14ac:dyDescent="0.25">
      <c r="A5490" t="str">
        <f>"6921"</f>
        <v>6921</v>
      </c>
      <c r="B5490" t="str">
        <f t="shared" si="361"/>
        <v>1</v>
      </c>
      <c r="C5490" t="str">
        <f t="shared" si="363"/>
        <v>302</v>
      </c>
      <c r="D5490" t="str">
        <f>"10"</f>
        <v>10</v>
      </c>
      <c r="E5490" t="str">
        <f>"1-302-10"</f>
        <v>1-302-10</v>
      </c>
      <c r="F5490" t="s">
        <v>15</v>
      </c>
      <c r="G5490" t="s">
        <v>16</v>
      </c>
      <c r="H5490" t="s">
        <v>17</v>
      </c>
      <c r="I5490">
        <v>1</v>
      </c>
      <c r="J5490">
        <v>0</v>
      </c>
      <c r="K5490">
        <v>0</v>
      </c>
    </row>
    <row r="5491" spans="1:11" x14ac:dyDescent="0.25">
      <c r="A5491" t="str">
        <f>"6922"</f>
        <v>6922</v>
      </c>
      <c r="B5491" t="str">
        <f t="shared" si="361"/>
        <v>1</v>
      </c>
      <c r="C5491" t="str">
        <f t="shared" si="363"/>
        <v>302</v>
      </c>
      <c r="D5491" t="str">
        <f>"23"</f>
        <v>23</v>
      </c>
      <c r="E5491" t="str">
        <f>"1-302-23"</f>
        <v>1-302-23</v>
      </c>
      <c r="F5491" t="s">
        <v>15</v>
      </c>
      <c r="G5491" t="s">
        <v>16</v>
      </c>
      <c r="H5491" t="s">
        <v>17</v>
      </c>
      <c r="I5491">
        <v>1</v>
      </c>
      <c r="J5491">
        <v>0</v>
      </c>
      <c r="K5491">
        <v>0</v>
      </c>
    </row>
    <row r="5492" spans="1:11" x14ac:dyDescent="0.25">
      <c r="A5492" t="str">
        <f>"6923"</f>
        <v>6923</v>
      </c>
      <c r="B5492" t="str">
        <f t="shared" si="361"/>
        <v>1</v>
      </c>
      <c r="C5492" t="str">
        <f t="shared" si="363"/>
        <v>302</v>
      </c>
      <c r="D5492" t="str">
        <f>"4"</f>
        <v>4</v>
      </c>
      <c r="E5492" t="str">
        <f>"1-302-4"</f>
        <v>1-302-4</v>
      </c>
      <c r="F5492" t="s">
        <v>15</v>
      </c>
      <c r="G5492" t="s">
        <v>16</v>
      </c>
      <c r="H5492" t="s">
        <v>17</v>
      </c>
      <c r="I5492">
        <v>1</v>
      </c>
      <c r="J5492">
        <v>0</v>
      </c>
      <c r="K5492">
        <v>0</v>
      </c>
    </row>
    <row r="5493" spans="1:11" x14ac:dyDescent="0.25">
      <c r="A5493" t="str">
        <f>"6924"</f>
        <v>6924</v>
      </c>
      <c r="B5493" t="str">
        <f t="shared" si="361"/>
        <v>1</v>
      </c>
      <c r="C5493" t="str">
        <f t="shared" si="363"/>
        <v>302</v>
      </c>
      <c r="D5493" t="str">
        <f>"25"</f>
        <v>25</v>
      </c>
      <c r="E5493" t="str">
        <f>"1-302-25"</f>
        <v>1-302-25</v>
      </c>
      <c r="F5493" t="s">
        <v>15</v>
      </c>
      <c r="G5493" t="s">
        <v>16</v>
      </c>
      <c r="H5493" t="s">
        <v>17</v>
      </c>
      <c r="I5493">
        <v>1</v>
      </c>
      <c r="J5493">
        <v>0</v>
      </c>
      <c r="K5493">
        <v>0</v>
      </c>
    </row>
    <row r="5494" spans="1:11" x14ac:dyDescent="0.25">
      <c r="A5494" t="str">
        <f>"6925"</f>
        <v>6925</v>
      </c>
      <c r="B5494" t="str">
        <f t="shared" si="361"/>
        <v>1</v>
      </c>
      <c r="C5494" t="str">
        <f t="shared" si="363"/>
        <v>302</v>
      </c>
      <c r="D5494" t="str">
        <f>"3"</f>
        <v>3</v>
      </c>
      <c r="E5494" t="str">
        <f>"1-302-3"</f>
        <v>1-302-3</v>
      </c>
      <c r="F5494" t="s">
        <v>15</v>
      </c>
      <c r="G5494" t="s">
        <v>16</v>
      </c>
      <c r="H5494" t="s">
        <v>17</v>
      </c>
      <c r="I5494">
        <v>0</v>
      </c>
      <c r="J5494">
        <v>1</v>
      </c>
      <c r="K5494">
        <v>0</v>
      </c>
    </row>
    <row r="5495" spans="1:11" x14ac:dyDescent="0.25">
      <c r="A5495" t="str">
        <f>"6926"</f>
        <v>6926</v>
      </c>
      <c r="B5495" t="str">
        <f t="shared" si="361"/>
        <v>1</v>
      </c>
      <c r="C5495" t="str">
        <f t="shared" si="363"/>
        <v>302</v>
      </c>
      <c r="D5495" t="str">
        <f>"26"</f>
        <v>26</v>
      </c>
      <c r="E5495" t="str">
        <f>"1-302-26"</f>
        <v>1-302-26</v>
      </c>
      <c r="F5495" t="s">
        <v>15</v>
      </c>
      <c r="G5495" t="s">
        <v>16</v>
      </c>
      <c r="H5495" t="s">
        <v>17</v>
      </c>
      <c r="I5495">
        <v>1</v>
      </c>
      <c r="J5495">
        <v>0</v>
      </c>
      <c r="K5495">
        <v>0</v>
      </c>
    </row>
    <row r="5496" spans="1:11" x14ac:dyDescent="0.25">
      <c r="A5496" t="str">
        <f>"6927"</f>
        <v>6927</v>
      </c>
      <c r="B5496" t="str">
        <f t="shared" si="361"/>
        <v>1</v>
      </c>
      <c r="C5496" t="str">
        <f t="shared" si="363"/>
        <v>302</v>
      </c>
      <c r="D5496" t="str">
        <f>"8"</f>
        <v>8</v>
      </c>
      <c r="E5496" t="str">
        <f>"1-302-8"</f>
        <v>1-302-8</v>
      </c>
      <c r="F5496" t="s">
        <v>15</v>
      </c>
      <c r="G5496" t="s">
        <v>16</v>
      </c>
      <c r="H5496" t="s">
        <v>17</v>
      </c>
      <c r="I5496">
        <v>0</v>
      </c>
      <c r="J5496">
        <v>1</v>
      </c>
      <c r="K5496">
        <v>0</v>
      </c>
    </row>
    <row r="5497" spans="1:11" x14ac:dyDescent="0.25">
      <c r="A5497" t="str">
        <f>"6928"</f>
        <v>6928</v>
      </c>
      <c r="B5497" t="str">
        <f t="shared" si="361"/>
        <v>1</v>
      </c>
      <c r="C5497" t="str">
        <f t="shared" si="363"/>
        <v>302</v>
      </c>
      <c r="D5497" t="str">
        <f>"27"</f>
        <v>27</v>
      </c>
      <c r="E5497" t="str">
        <f>"1-302-27"</f>
        <v>1-302-27</v>
      </c>
      <c r="F5497" t="s">
        <v>15</v>
      </c>
      <c r="G5497" t="s">
        <v>16</v>
      </c>
      <c r="H5497" t="s">
        <v>17</v>
      </c>
      <c r="I5497">
        <v>0</v>
      </c>
      <c r="J5497">
        <v>0</v>
      </c>
      <c r="K5497">
        <v>1</v>
      </c>
    </row>
    <row r="5498" spans="1:11" x14ac:dyDescent="0.25">
      <c r="A5498" t="str">
        <f>"6929"</f>
        <v>6929</v>
      </c>
      <c r="B5498" t="str">
        <f t="shared" si="361"/>
        <v>1</v>
      </c>
      <c r="C5498" t="str">
        <f t="shared" si="363"/>
        <v>302</v>
      </c>
      <c r="D5498" t="str">
        <f>"6"</f>
        <v>6</v>
      </c>
      <c r="E5498" t="str">
        <f>"1-302-6"</f>
        <v>1-302-6</v>
      </c>
      <c r="F5498" t="s">
        <v>15</v>
      </c>
      <c r="G5498" t="s">
        <v>16</v>
      </c>
      <c r="H5498" t="s">
        <v>17</v>
      </c>
      <c r="I5498">
        <v>0</v>
      </c>
      <c r="J5498">
        <v>0</v>
      </c>
      <c r="K5498">
        <v>1</v>
      </c>
    </row>
    <row r="5499" spans="1:11" x14ac:dyDescent="0.25">
      <c r="A5499" t="str">
        <f>"6930"</f>
        <v>6930</v>
      </c>
      <c r="B5499" t="str">
        <f t="shared" si="361"/>
        <v>1</v>
      </c>
      <c r="C5499" t="str">
        <f t="shared" si="363"/>
        <v>302</v>
      </c>
      <c r="D5499" t="str">
        <f>"11"</f>
        <v>11</v>
      </c>
      <c r="E5499" t="str">
        <f>"1-302-11"</f>
        <v>1-302-11</v>
      </c>
      <c r="F5499" t="s">
        <v>15</v>
      </c>
      <c r="G5499" t="s">
        <v>20</v>
      </c>
      <c r="H5499" t="s">
        <v>21</v>
      </c>
      <c r="I5499">
        <v>1</v>
      </c>
      <c r="J5499">
        <v>0</v>
      </c>
      <c r="K5499">
        <v>0</v>
      </c>
    </row>
    <row r="5500" spans="1:11" x14ac:dyDescent="0.25">
      <c r="A5500" t="str">
        <f>"6931"</f>
        <v>6931</v>
      </c>
      <c r="B5500" t="str">
        <f t="shared" si="361"/>
        <v>1</v>
      </c>
      <c r="C5500" t="str">
        <f t="shared" si="363"/>
        <v>302</v>
      </c>
      <c r="D5500" t="str">
        <f>"7"</f>
        <v>7</v>
      </c>
      <c r="E5500" t="str">
        <f>"1-302-7"</f>
        <v>1-302-7</v>
      </c>
      <c r="F5500" t="s">
        <v>15</v>
      </c>
      <c r="G5500" t="s">
        <v>16</v>
      </c>
      <c r="H5500" t="s">
        <v>17</v>
      </c>
      <c r="I5500">
        <v>0</v>
      </c>
      <c r="J5500">
        <v>0</v>
      </c>
      <c r="K5500">
        <v>1</v>
      </c>
    </row>
    <row r="5501" spans="1:11" x14ac:dyDescent="0.25">
      <c r="A5501" t="str">
        <f>"6932"</f>
        <v>6932</v>
      </c>
      <c r="B5501" t="str">
        <f t="shared" si="361"/>
        <v>1</v>
      </c>
      <c r="C5501" t="str">
        <f t="shared" si="363"/>
        <v>302</v>
      </c>
      <c r="D5501" t="str">
        <f>"12"</f>
        <v>12</v>
      </c>
      <c r="E5501" t="str">
        <f>"1-302-12"</f>
        <v>1-302-12</v>
      </c>
      <c r="F5501" t="s">
        <v>15</v>
      </c>
      <c r="G5501" t="s">
        <v>16</v>
      </c>
      <c r="H5501" t="s">
        <v>17</v>
      </c>
      <c r="I5501">
        <v>1</v>
      </c>
      <c r="J5501">
        <v>0</v>
      </c>
      <c r="K5501">
        <v>0</v>
      </c>
    </row>
    <row r="5502" spans="1:11" x14ac:dyDescent="0.25">
      <c r="A5502" t="str">
        <f>"6933"</f>
        <v>6933</v>
      </c>
      <c r="B5502" t="str">
        <f t="shared" si="361"/>
        <v>1</v>
      </c>
      <c r="C5502" t="str">
        <f t="shared" si="363"/>
        <v>302</v>
      </c>
      <c r="D5502" t="str">
        <f>"24"</f>
        <v>24</v>
      </c>
      <c r="E5502" t="str">
        <f>"1-302-24"</f>
        <v>1-302-24</v>
      </c>
      <c r="F5502" t="s">
        <v>15</v>
      </c>
      <c r="G5502" t="s">
        <v>16</v>
      </c>
      <c r="H5502" t="s">
        <v>17</v>
      </c>
      <c r="I5502">
        <v>0</v>
      </c>
      <c r="J5502">
        <v>0</v>
      </c>
      <c r="K5502">
        <v>0</v>
      </c>
    </row>
    <row r="5503" spans="1:11" x14ac:dyDescent="0.25">
      <c r="A5503" t="str">
        <f>"6934"</f>
        <v>6934</v>
      </c>
      <c r="B5503" t="str">
        <f t="shared" si="361"/>
        <v>1</v>
      </c>
      <c r="C5503" t="str">
        <f t="shared" si="363"/>
        <v>302</v>
      </c>
      <c r="D5503" t="str">
        <f>"14"</f>
        <v>14</v>
      </c>
      <c r="E5503" t="str">
        <f>"1-302-14"</f>
        <v>1-302-14</v>
      </c>
      <c r="F5503" t="s">
        <v>15</v>
      </c>
      <c r="G5503" t="s">
        <v>16</v>
      </c>
      <c r="H5503" t="s">
        <v>17</v>
      </c>
      <c r="I5503">
        <v>0</v>
      </c>
      <c r="J5503">
        <v>0</v>
      </c>
      <c r="K5503">
        <v>0</v>
      </c>
    </row>
    <row r="5504" spans="1:11" x14ac:dyDescent="0.25">
      <c r="A5504" t="str">
        <f>"6935"</f>
        <v>6935</v>
      </c>
      <c r="B5504" t="str">
        <f t="shared" si="361"/>
        <v>1</v>
      </c>
      <c r="C5504" t="str">
        <f t="shared" ref="C5504:C5525" si="364">"303"</f>
        <v>303</v>
      </c>
      <c r="D5504" t="str">
        <f>"19"</f>
        <v>19</v>
      </c>
      <c r="E5504" t="str">
        <f>"1-303-19"</f>
        <v>1-303-19</v>
      </c>
      <c r="F5504" t="s">
        <v>15</v>
      </c>
      <c r="G5504" t="s">
        <v>16</v>
      </c>
      <c r="H5504" t="s">
        <v>17</v>
      </c>
      <c r="I5504">
        <v>1</v>
      </c>
      <c r="J5504">
        <v>0</v>
      </c>
      <c r="K5504">
        <v>0</v>
      </c>
    </row>
    <row r="5505" spans="1:11" x14ac:dyDescent="0.25">
      <c r="A5505" t="str">
        <f>"6936"</f>
        <v>6936</v>
      </c>
      <c r="B5505" t="str">
        <f t="shared" si="361"/>
        <v>1</v>
      </c>
      <c r="C5505" t="str">
        <f t="shared" si="364"/>
        <v>303</v>
      </c>
      <c r="D5505" t="str">
        <f>"15"</f>
        <v>15</v>
      </c>
      <c r="E5505" t="str">
        <f>"1-303-15"</f>
        <v>1-303-15</v>
      </c>
      <c r="F5505" t="s">
        <v>15</v>
      </c>
      <c r="G5505" t="s">
        <v>18</v>
      </c>
      <c r="H5505" t="s">
        <v>19</v>
      </c>
      <c r="I5505">
        <v>0</v>
      </c>
      <c r="J5505">
        <v>0</v>
      </c>
      <c r="K5505">
        <v>1</v>
      </c>
    </row>
    <row r="5506" spans="1:11" x14ac:dyDescent="0.25">
      <c r="A5506" t="str">
        <f>"6937"</f>
        <v>6937</v>
      </c>
      <c r="B5506" t="str">
        <f t="shared" si="361"/>
        <v>1</v>
      </c>
      <c r="C5506" t="str">
        <f t="shared" si="364"/>
        <v>303</v>
      </c>
      <c r="D5506" t="str">
        <f>"1"</f>
        <v>1</v>
      </c>
      <c r="E5506" t="str">
        <f>"1-303-1"</f>
        <v>1-303-1</v>
      </c>
      <c r="F5506" t="s">
        <v>15</v>
      </c>
      <c r="G5506" t="s">
        <v>18</v>
      </c>
      <c r="H5506" t="s">
        <v>19</v>
      </c>
      <c r="I5506">
        <v>0</v>
      </c>
      <c r="J5506">
        <v>1</v>
      </c>
      <c r="K5506">
        <v>0</v>
      </c>
    </row>
    <row r="5507" spans="1:11" x14ac:dyDescent="0.25">
      <c r="A5507" t="str">
        <f>"6938"</f>
        <v>6938</v>
      </c>
      <c r="B5507" t="str">
        <f t="shared" ref="B5507:B5549" si="365">"1"</f>
        <v>1</v>
      </c>
      <c r="C5507" t="str">
        <f t="shared" si="364"/>
        <v>303</v>
      </c>
      <c r="D5507" t="str">
        <f>"22"</f>
        <v>22</v>
      </c>
      <c r="E5507" t="str">
        <f>"1-303-22"</f>
        <v>1-303-22</v>
      </c>
      <c r="F5507" t="s">
        <v>15</v>
      </c>
      <c r="G5507" t="s">
        <v>16</v>
      </c>
      <c r="H5507" t="s">
        <v>17</v>
      </c>
      <c r="I5507">
        <v>0</v>
      </c>
      <c r="J5507">
        <v>1</v>
      </c>
      <c r="K5507">
        <v>0</v>
      </c>
    </row>
    <row r="5508" spans="1:11" x14ac:dyDescent="0.25">
      <c r="A5508" t="str">
        <f>"6939"</f>
        <v>6939</v>
      </c>
      <c r="B5508" t="str">
        <f t="shared" si="365"/>
        <v>1</v>
      </c>
      <c r="C5508" t="str">
        <f t="shared" si="364"/>
        <v>303</v>
      </c>
      <c r="D5508" t="str">
        <f>"16"</f>
        <v>16</v>
      </c>
      <c r="E5508" t="str">
        <f>"1-303-16"</f>
        <v>1-303-16</v>
      </c>
      <c r="F5508" t="s">
        <v>15</v>
      </c>
      <c r="G5508" t="s">
        <v>16</v>
      </c>
      <c r="H5508" t="s">
        <v>17</v>
      </c>
      <c r="I5508">
        <v>0</v>
      </c>
      <c r="J5508">
        <v>0</v>
      </c>
      <c r="K5508">
        <v>1</v>
      </c>
    </row>
    <row r="5509" spans="1:11" x14ac:dyDescent="0.25">
      <c r="A5509" t="str">
        <f>"6940"</f>
        <v>6940</v>
      </c>
      <c r="B5509" t="str">
        <f t="shared" si="365"/>
        <v>1</v>
      </c>
      <c r="C5509" t="str">
        <f t="shared" si="364"/>
        <v>303</v>
      </c>
      <c r="D5509" t="str">
        <f>"10"</f>
        <v>10</v>
      </c>
      <c r="E5509" t="str">
        <f>"1-303-10"</f>
        <v>1-303-10</v>
      </c>
      <c r="F5509" t="s">
        <v>15</v>
      </c>
      <c r="G5509" t="s">
        <v>20</v>
      </c>
      <c r="H5509" t="s">
        <v>21</v>
      </c>
      <c r="I5509">
        <v>0</v>
      </c>
      <c r="J5509">
        <v>1</v>
      </c>
      <c r="K5509">
        <v>0</v>
      </c>
    </row>
    <row r="5510" spans="1:11" x14ac:dyDescent="0.25">
      <c r="A5510" t="str">
        <f>"6941"</f>
        <v>6941</v>
      </c>
      <c r="B5510" t="str">
        <f t="shared" si="365"/>
        <v>1</v>
      </c>
      <c r="C5510" t="str">
        <f t="shared" si="364"/>
        <v>303</v>
      </c>
      <c r="D5510" t="str">
        <f>"17"</f>
        <v>17</v>
      </c>
      <c r="E5510" t="str">
        <f>"1-303-17"</f>
        <v>1-303-17</v>
      </c>
      <c r="F5510" t="s">
        <v>15</v>
      </c>
      <c r="G5510" t="s">
        <v>16</v>
      </c>
      <c r="H5510" t="s">
        <v>17</v>
      </c>
      <c r="I5510">
        <v>0</v>
      </c>
      <c r="J5510">
        <v>1</v>
      </c>
      <c r="K5510">
        <v>0</v>
      </c>
    </row>
    <row r="5511" spans="1:11" x14ac:dyDescent="0.25">
      <c r="A5511" t="str">
        <f>"6942"</f>
        <v>6942</v>
      </c>
      <c r="B5511" t="str">
        <f t="shared" si="365"/>
        <v>1</v>
      </c>
      <c r="C5511" t="str">
        <f t="shared" si="364"/>
        <v>303</v>
      </c>
      <c r="D5511" t="str">
        <f>"3"</f>
        <v>3</v>
      </c>
      <c r="E5511" t="str">
        <f>"1-303-3"</f>
        <v>1-303-3</v>
      </c>
      <c r="F5511" t="s">
        <v>15</v>
      </c>
      <c r="G5511" t="s">
        <v>16</v>
      </c>
      <c r="H5511" t="s">
        <v>17</v>
      </c>
      <c r="I5511">
        <v>0</v>
      </c>
      <c r="J5511">
        <v>1</v>
      </c>
      <c r="K5511">
        <v>0</v>
      </c>
    </row>
    <row r="5512" spans="1:11" x14ac:dyDescent="0.25">
      <c r="A5512" t="str">
        <f>"6943"</f>
        <v>6943</v>
      </c>
      <c r="B5512" t="str">
        <f t="shared" si="365"/>
        <v>1</v>
      </c>
      <c r="C5512" t="str">
        <f t="shared" si="364"/>
        <v>303</v>
      </c>
      <c r="D5512" t="str">
        <f>"20"</f>
        <v>20</v>
      </c>
      <c r="E5512" t="str">
        <f>"1-303-20"</f>
        <v>1-303-20</v>
      </c>
      <c r="F5512" t="s">
        <v>15</v>
      </c>
      <c r="G5512" t="s">
        <v>16</v>
      </c>
      <c r="H5512" t="s">
        <v>17</v>
      </c>
      <c r="I5512">
        <v>1</v>
      </c>
      <c r="J5512">
        <v>0</v>
      </c>
      <c r="K5512">
        <v>0</v>
      </c>
    </row>
    <row r="5513" spans="1:11" x14ac:dyDescent="0.25">
      <c r="A5513" t="str">
        <f>"6944"</f>
        <v>6944</v>
      </c>
      <c r="B5513" t="str">
        <f t="shared" si="365"/>
        <v>1</v>
      </c>
      <c r="C5513" t="str">
        <f t="shared" si="364"/>
        <v>303</v>
      </c>
      <c r="D5513" t="str">
        <f>"12"</f>
        <v>12</v>
      </c>
      <c r="E5513" t="str">
        <f>"1-303-12"</f>
        <v>1-303-12</v>
      </c>
      <c r="F5513" t="s">
        <v>15</v>
      </c>
      <c r="G5513" t="s">
        <v>16</v>
      </c>
      <c r="H5513" t="s">
        <v>17</v>
      </c>
      <c r="I5513">
        <v>1</v>
      </c>
      <c r="J5513">
        <v>0</v>
      </c>
      <c r="K5513">
        <v>0</v>
      </c>
    </row>
    <row r="5514" spans="1:11" x14ac:dyDescent="0.25">
      <c r="A5514" t="str">
        <f>"6945"</f>
        <v>6945</v>
      </c>
      <c r="B5514" t="str">
        <f t="shared" si="365"/>
        <v>1</v>
      </c>
      <c r="C5514" t="str">
        <f t="shared" si="364"/>
        <v>303</v>
      </c>
      <c r="D5514" t="str">
        <f>"21"</f>
        <v>21</v>
      </c>
      <c r="E5514" t="str">
        <f>"1-303-21"</f>
        <v>1-303-21</v>
      </c>
      <c r="F5514" t="s">
        <v>15</v>
      </c>
      <c r="G5514" t="s">
        <v>16</v>
      </c>
      <c r="H5514" t="s">
        <v>17</v>
      </c>
      <c r="I5514">
        <v>1</v>
      </c>
      <c r="J5514">
        <v>0</v>
      </c>
      <c r="K5514">
        <v>0</v>
      </c>
    </row>
    <row r="5515" spans="1:11" x14ac:dyDescent="0.25">
      <c r="A5515" t="str">
        <f>"6946"</f>
        <v>6946</v>
      </c>
      <c r="B5515" t="str">
        <f t="shared" si="365"/>
        <v>1</v>
      </c>
      <c r="C5515" t="str">
        <f t="shared" si="364"/>
        <v>303</v>
      </c>
      <c r="D5515" t="str">
        <f>"2"</f>
        <v>2</v>
      </c>
      <c r="E5515" t="str">
        <f>"1-303-2"</f>
        <v>1-303-2</v>
      </c>
      <c r="F5515" t="s">
        <v>15</v>
      </c>
      <c r="G5515" t="s">
        <v>20</v>
      </c>
      <c r="H5515" t="s">
        <v>21</v>
      </c>
      <c r="I5515">
        <v>0</v>
      </c>
      <c r="J5515">
        <v>0</v>
      </c>
      <c r="K5515">
        <v>1</v>
      </c>
    </row>
    <row r="5516" spans="1:11" x14ac:dyDescent="0.25">
      <c r="A5516" t="str">
        <f>"6947"</f>
        <v>6947</v>
      </c>
      <c r="B5516" t="str">
        <f t="shared" si="365"/>
        <v>1</v>
      </c>
      <c r="C5516" t="str">
        <f t="shared" si="364"/>
        <v>303</v>
      </c>
      <c r="D5516" t="str">
        <f>"8"</f>
        <v>8</v>
      </c>
      <c r="E5516" t="str">
        <f>"1-303-8"</f>
        <v>1-303-8</v>
      </c>
      <c r="F5516" t="s">
        <v>15</v>
      </c>
      <c r="G5516" t="s">
        <v>20</v>
      </c>
      <c r="H5516" t="s">
        <v>21</v>
      </c>
      <c r="I5516">
        <v>1</v>
      </c>
      <c r="J5516">
        <v>0</v>
      </c>
      <c r="K5516">
        <v>0</v>
      </c>
    </row>
    <row r="5517" spans="1:11" x14ac:dyDescent="0.25">
      <c r="A5517" t="str">
        <f>"6948"</f>
        <v>6948</v>
      </c>
      <c r="B5517" t="str">
        <f t="shared" si="365"/>
        <v>1</v>
      </c>
      <c r="C5517" t="str">
        <f t="shared" si="364"/>
        <v>303</v>
      </c>
      <c r="D5517" t="str">
        <f>"6"</f>
        <v>6</v>
      </c>
      <c r="E5517" t="str">
        <f>"1-303-6"</f>
        <v>1-303-6</v>
      </c>
      <c r="F5517" t="s">
        <v>15</v>
      </c>
      <c r="G5517" t="s">
        <v>16</v>
      </c>
      <c r="H5517" t="s">
        <v>17</v>
      </c>
      <c r="I5517">
        <v>1</v>
      </c>
      <c r="J5517">
        <v>0</v>
      </c>
      <c r="K5517">
        <v>0</v>
      </c>
    </row>
    <row r="5518" spans="1:11" x14ac:dyDescent="0.25">
      <c r="A5518" t="str">
        <f>"6949"</f>
        <v>6949</v>
      </c>
      <c r="B5518" t="str">
        <f t="shared" si="365"/>
        <v>1</v>
      </c>
      <c r="C5518" t="str">
        <f t="shared" si="364"/>
        <v>303</v>
      </c>
      <c r="D5518" t="str">
        <f>"7"</f>
        <v>7</v>
      </c>
      <c r="E5518" t="str">
        <f>"1-303-7"</f>
        <v>1-303-7</v>
      </c>
      <c r="F5518" t="s">
        <v>15</v>
      </c>
      <c r="G5518" t="s">
        <v>20</v>
      </c>
      <c r="H5518" t="s">
        <v>21</v>
      </c>
      <c r="I5518">
        <v>0</v>
      </c>
      <c r="J5518">
        <v>1</v>
      </c>
      <c r="K5518">
        <v>0</v>
      </c>
    </row>
    <row r="5519" spans="1:11" x14ac:dyDescent="0.25">
      <c r="A5519" t="str">
        <f>"6950"</f>
        <v>6950</v>
      </c>
      <c r="B5519" t="str">
        <f t="shared" si="365"/>
        <v>1</v>
      </c>
      <c r="C5519" t="str">
        <f t="shared" si="364"/>
        <v>303</v>
      </c>
      <c r="D5519" t="str">
        <f>"4"</f>
        <v>4</v>
      </c>
      <c r="E5519" t="str">
        <f>"1-303-4"</f>
        <v>1-303-4</v>
      </c>
      <c r="F5519" t="s">
        <v>15</v>
      </c>
      <c r="G5519" t="s">
        <v>20</v>
      </c>
      <c r="H5519" t="s">
        <v>21</v>
      </c>
      <c r="I5519">
        <v>0</v>
      </c>
      <c r="J5519">
        <v>1</v>
      </c>
      <c r="K5519">
        <v>0</v>
      </c>
    </row>
    <row r="5520" spans="1:11" x14ac:dyDescent="0.25">
      <c r="A5520" t="str">
        <f>"6951"</f>
        <v>6951</v>
      </c>
      <c r="B5520" t="str">
        <f t="shared" si="365"/>
        <v>1</v>
      </c>
      <c r="C5520" t="str">
        <f t="shared" si="364"/>
        <v>303</v>
      </c>
      <c r="D5520" t="str">
        <f>"9"</f>
        <v>9</v>
      </c>
      <c r="E5520" t="str">
        <f>"1-303-9"</f>
        <v>1-303-9</v>
      </c>
      <c r="F5520" t="s">
        <v>15</v>
      </c>
      <c r="G5520" t="s">
        <v>16</v>
      </c>
      <c r="H5520" t="s">
        <v>17</v>
      </c>
      <c r="I5520">
        <v>0</v>
      </c>
      <c r="J5520">
        <v>1</v>
      </c>
      <c r="K5520">
        <v>0</v>
      </c>
    </row>
    <row r="5521" spans="1:11" x14ac:dyDescent="0.25">
      <c r="A5521" t="str">
        <f>"6952"</f>
        <v>6952</v>
      </c>
      <c r="B5521" t="str">
        <f t="shared" si="365"/>
        <v>1</v>
      </c>
      <c r="C5521" t="str">
        <f t="shared" si="364"/>
        <v>303</v>
      </c>
      <c r="D5521" t="str">
        <f>"11"</f>
        <v>11</v>
      </c>
      <c r="E5521" t="str">
        <f>"1-303-11"</f>
        <v>1-303-11</v>
      </c>
      <c r="F5521" t="s">
        <v>15</v>
      </c>
      <c r="G5521" t="s">
        <v>20</v>
      </c>
      <c r="H5521" t="s">
        <v>21</v>
      </c>
      <c r="I5521">
        <v>1</v>
      </c>
      <c r="J5521">
        <v>0</v>
      </c>
      <c r="K5521">
        <v>0</v>
      </c>
    </row>
    <row r="5522" spans="1:11" x14ac:dyDescent="0.25">
      <c r="A5522" t="str">
        <f>"6953"</f>
        <v>6953</v>
      </c>
      <c r="B5522" t="str">
        <f t="shared" si="365"/>
        <v>1</v>
      </c>
      <c r="C5522" t="str">
        <f t="shared" si="364"/>
        <v>303</v>
      </c>
      <c r="D5522" t="str">
        <f>"13"</f>
        <v>13</v>
      </c>
      <c r="E5522" t="str">
        <f>"1-303-13"</f>
        <v>1-303-13</v>
      </c>
      <c r="F5522" t="s">
        <v>15</v>
      </c>
      <c r="G5522" t="s">
        <v>18</v>
      </c>
      <c r="H5522" t="s">
        <v>19</v>
      </c>
      <c r="I5522">
        <v>0</v>
      </c>
      <c r="J5522">
        <v>1</v>
      </c>
      <c r="K5522">
        <v>0</v>
      </c>
    </row>
    <row r="5523" spans="1:11" x14ac:dyDescent="0.25">
      <c r="A5523" t="str">
        <f>"6954"</f>
        <v>6954</v>
      </c>
      <c r="B5523" t="str">
        <f t="shared" si="365"/>
        <v>1</v>
      </c>
      <c r="C5523" t="str">
        <f t="shared" si="364"/>
        <v>303</v>
      </c>
      <c r="D5523" t="str">
        <f>"5"</f>
        <v>5</v>
      </c>
      <c r="E5523" t="str">
        <f>"1-303-5"</f>
        <v>1-303-5</v>
      </c>
      <c r="F5523" t="s">
        <v>15</v>
      </c>
      <c r="G5523" t="s">
        <v>18</v>
      </c>
      <c r="H5523" t="s">
        <v>19</v>
      </c>
      <c r="I5523">
        <v>1</v>
      </c>
      <c r="J5523">
        <v>0</v>
      </c>
      <c r="K5523">
        <v>0</v>
      </c>
    </row>
    <row r="5524" spans="1:11" x14ac:dyDescent="0.25">
      <c r="A5524" t="str">
        <f>"6955"</f>
        <v>6955</v>
      </c>
      <c r="B5524" t="str">
        <f t="shared" si="365"/>
        <v>1</v>
      </c>
      <c r="C5524" t="str">
        <f t="shared" si="364"/>
        <v>303</v>
      </c>
      <c r="D5524" t="str">
        <f>"18"</f>
        <v>18</v>
      </c>
      <c r="E5524" t="str">
        <f>"1-303-18"</f>
        <v>1-303-18</v>
      </c>
      <c r="F5524" t="s">
        <v>15</v>
      </c>
      <c r="G5524" t="s">
        <v>16</v>
      </c>
      <c r="H5524" t="s">
        <v>17</v>
      </c>
      <c r="I5524">
        <v>0</v>
      </c>
      <c r="J5524">
        <v>0</v>
      </c>
      <c r="K5524">
        <v>0</v>
      </c>
    </row>
    <row r="5525" spans="1:11" x14ac:dyDescent="0.25">
      <c r="A5525" t="str">
        <f>"6956"</f>
        <v>6956</v>
      </c>
      <c r="B5525" t="str">
        <f t="shared" si="365"/>
        <v>1</v>
      </c>
      <c r="C5525" t="str">
        <f t="shared" si="364"/>
        <v>303</v>
      </c>
      <c r="D5525" t="str">
        <f>"14"</f>
        <v>14</v>
      </c>
      <c r="E5525" t="str">
        <f>"1-303-14"</f>
        <v>1-303-14</v>
      </c>
      <c r="F5525" t="s">
        <v>15</v>
      </c>
      <c r="G5525" t="s">
        <v>18</v>
      </c>
      <c r="H5525" t="s">
        <v>19</v>
      </c>
      <c r="I5525">
        <v>0</v>
      </c>
      <c r="J5525">
        <v>0</v>
      </c>
      <c r="K5525">
        <v>0</v>
      </c>
    </row>
    <row r="5526" spans="1:11" x14ac:dyDescent="0.25">
      <c r="A5526" t="str">
        <f>"6978"</f>
        <v>6978</v>
      </c>
      <c r="B5526" t="str">
        <f t="shared" si="365"/>
        <v>1</v>
      </c>
      <c r="C5526" t="str">
        <f t="shared" ref="C5526:C5552" si="366">"305"</f>
        <v>305</v>
      </c>
      <c r="D5526" t="str">
        <f>"20"</f>
        <v>20</v>
      </c>
      <c r="E5526" t="str">
        <f>"1-305-20"</f>
        <v>1-305-20</v>
      </c>
      <c r="F5526" t="s">
        <v>15</v>
      </c>
      <c r="G5526" t="s">
        <v>16</v>
      </c>
      <c r="H5526" t="s">
        <v>17</v>
      </c>
      <c r="I5526">
        <v>1</v>
      </c>
      <c r="J5526">
        <v>0</v>
      </c>
      <c r="K5526">
        <v>0</v>
      </c>
    </row>
    <row r="5527" spans="1:11" x14ac:dyDescent="0.25">
      <c r="A5527" t="str">
        <f>"6979"</f>
        <v>6979</v>
      </c>
      <c r="B5527" t="str">
        <f t="shared" si="365"/>
        <v>1</v>
      </c>
      <c r="C5527" t="str">
        <f t="shared" si="366"/>
        <v>305</v>
      </c>
      <c r="D5527" t="str">
        <f>"15"</f>
        <v>15</v>
      </c>
      <c r="E5527" t="str">
        <f>"1-305-15"</f>
        <v>1-305-15</v>
      </c>
      <c r="F5527" t="s">
        <v>15</v>
      </c>
      <c r="G5527" t="s">
        <v>16</v>
      </c>
      <c r="H5527" t="s">
        <v>17</v>
      </c>
      <c r="I5527">
        <v>0</v>
      </c>
      <c r="J5527">
        <v>0</v>
      </c>
      <c r="K5527">
        <v>1</v>
      </c>
    </row>
    <row r="5528" spans="1:11" x14ac:dyDescent="0.25">
      <c r="A5528" t="str">
        <f>"6980"</f>
        <v>6980</v>
      </c>
      <c r="B5528" t="str">
        <f t="shared" si="365"/>
        <v>1</v>
      </c>
      <c r="C5528" t="str">
        <f t="shared" si="366"/>
        <v>305</v>
      </c>
      <c r="D5528" t="str">
        <f>"1"</f>
        <v>1</v>
      </c>
      <c r="E5528" t="str">
        <f>"1-305-1"</f>
        <v>1-305-1</v>
      </c>
      <c r="F5528" t="s">
        <v>15</v>
      </c>
      <c r="G5528" t="s">
        <v>16</v>
      </c>
      <c r="H5528" t="s">
        <v>17</v>
      </c>
      <c r="I5528">
        <v>1</v>
      </c>
      <c r="J5528">
        <v>0</v>
      </c>
      <c r="K5528">
        <v>0</v>
      </c>
    </row>
    <row r="5529" spans="1:11" x14ac:dyDescent="0.25">
      <c r="A5529" t="str">
        <f>"6981"</f>
        <v>6981</v>
      </c>
      <c r="B5529" t="str">
        <f t="shared" si="365"/>
        <v>1</v>
      </c>
      <c r="C5529" t="str">
        <f t="shared" si="366"/>
        <v>305</v>
      </c>
      <c r="D5529" t="str">
        <f>"22"</f>
        <v>22</v>
      </c>
      <c r="E5529" t="str">
        <f>"1-305-22"</f>
        <v>1-305-22</v>
      </c>
      <c r="F5529" t="s">
        <v>15</v>
      </c>
      <c r="G5529" t="s">
        <v>16</v>
      </c>
      <c r="H5529" t="s">
        <v>17</v>
      </c>
      <c r="I5529">
        <v>1</v>
      </c>
      <c r="J5529">
        <v>0</v>
      </c>
      <c r="K5529">
        <v>0</v>
      </c>
    </row>
    <row r="5530" spans="1:11" x14ac:dyDescent="0.25">
      <c r="A5530" t="str">
        <f>"6982"</f>
        <v>6982</v>
      </c>
      <c r="B5530" t="str">
        <f t="shared" si="365"/>
        <v>1</v>
      </c>
      <c r="C5530" t="str">
        <f t="shared" si="366"/>
        <v>305</v>
      </c>
      <c r="D5530" t="str">
        <f>"4"</f>
        <v>4</v>
      </c>
      <c r="E5530" t="str">
        <f>"1-305-4"</f>
        <v>1-305-4</v>
      </c>
      <c r="F5530" t="s">
        <v>15</v>
      </c>
      <c r="G5530" t="s">
        <v>16</v>
      </c>
      <c r="H5530" t="s">
        <v>17</v>
      </c>
      <c r="I5530">
        <v>0</v>
      </c>
      <c r="J5530">
        <v>0</v>
      </c>
      <c r="K5530">
        <v>1</v>
      </c>
    </row>
    <row r="5531" spans="1:11" x14ac:dyDescent="0.25">
      <c r="A5531" t="str">
        <f>"6983"</f>
        <v>6983</v>
      </c>
      <c r="B5531" t="str">
        <f t="shared" si="365"/>
        <v>1</v>
      </c>
      <c r="C5531" t="str">
        <f t="shared" si="366"/>
        <v>305</v>
      </c>
      <c r="D5531" t="str">
        <f>"17"</f>
        <v>17</v>
      </c>
      <c r="E5531" t="str">
        <f>"1-305-17"</f>
        <v>1-305-17</v>
      </c>
      <c r="F5531" t="s">
        <v>15</v>
      </c>
      <c r="G5531" t="s">
        <v>16</v>
      </c>
      <c r="H5531" t="s">
        <v>17</v>
      </c>
      <c r="I5531">
        <v>1</v>
      </c>
      <c r="J5531">
        <v>0</v>
      </c>
      <c r="K5531">
        <v>0</v>
      </c>
    </row>
    <row r="5532" spans="1:11" x14ac:dyDescent="0.25">
      <c r="A5532" t="str">
        <f>"6984"</f>
        <v>6984</v>
      </c>
      <c r="B5532" t="str">
        <f t="shared" si="365"/>
        <v>1</v>
      </c>
      <c r="C5532" t="str">
        <f t="shared" si="366"/>
        <v>305</v>
      </c>
      <c r="D5532" t="str">
        <f>"6"</f>
        <v>6</v>
      </c>
      <c r="E5532" t="str">
        <f>"1-305-6"</f>
        <v>1-305-6</v>
      </c>
      <c r="F5532" t="s">
        <v>15</v>
      </c>
      <c r="G5532" t="s">
        <v>20</v>
      </c>
      <c r="H5532" t="s">
        <v>21</v>
      </c>
      <c r="I5532">
        <v>0</v>
      </c>
      <c r="J5532">
        <v>0</v>
      </c>
      <c r="K5532">
        <v>1</v>
      </c>
    </row>
    <row r="5533" spans="1:11" x14ac:dyDescent="0.25">
      <c r="A5533" t="str">
        <f>"6985"</f>
        <v>6985</v>
      </c>
      <c r="B5533" t="str">
        <f t="shared" si="365"/>
        <v>1</v>
      </c>
      <c r="C5533" t="str">
        <f t="shared" si="366"/>
        <v>305</v>
      </c>
      <c r="D5533" t="str">
        <f>"18"</f>
        <v>18</v>
      </c>
      <c r="E5533" t="str">
        <f>"1-305-18"</f>
        <v>1-305-18</v>
      </c>
      <c r="F5533" t="s">
        <v>15</v>
      </c>
      <c r="G5533" t="s">
        <v>16</v>
      </c>
      <c r="H5533" t="s">
        <v>17</v>
      </c>
      <c r="I5533">
        <v>1</v>
      </c>
      <c r="J5533">
        <v>0</v>
      </c>
      <c r="K5533">
        <v>0</v>
      </c>
    </row>
    <row r="5534" spans="1:11" x14ac:dyDescent="0.25">
      <c r="A5534" t="str">
        <f>"6986"</f>
        <v>6986</v>
      </c>
      <c r="B5534" t="str">
        <f t="shared" si="365"/>
        <v>1</v>
      </c>
      <c r="C5534" t="str">
        <f t="shared" si="366"/>
        <v>305</v>
      </c>
      <c r="D5534" t="str">
        <f>"13"</f>
        <v>13</v>
      </c>
      <c r="E5534" t="str">
        <f>"1-305-13"</f>
        <v>1-305-13</v>
      </c>
      <c r="F5534" t="s">
        <v>15</v>
      </c>
      <c r="G5534" t="s">
        <v>16</v>
      </c>
      <c r="H5534" t="s">
        <v>17</v>
      </c>
      <c r="I5534">
        <v>1</v>
      </c>
      <c r="J5534">
        <v>0</v>
      </c>
      <c r="K5534">
        <v>0</v>
      </c>
    </row>
    <row r="5535" spans="1:11" x14ac:dyDescent="0.25">
      <c r="A5535" t="str">
        <f>"6987"</f>
        <v>6987</v>
      </c>
      <c r="B5535" t="str">
        <f t="shared" si="365"/>
        <v>1</v>
      </c>
      <c r="C5535" t="str">
        <f t="shared" si="366"/>
        <v>305</v>
      </c>
      <c r="D5535" t="str">
        <f>"19"</f>
        <v>19</v>
      </c>
      <c r="E5535" t="str">
        <f>"1-305-19"</f>
        <v>1-305-19</v>
      </c>
      <c r="F5535" t="s">
        <v>15</v>
      </c>
      <c r="G5535" t="s">
        <v>16</v>
      </c>
      <c r="H5535" t="s">
        <v>17</v>
      </c>
      <c r="I5535">
        <v>1</v>
      </c>
      <c r="J5535">
        <v>0</v>
      </c>
      <c r="K5535">
        <v>0</v>
      </c>
    </row>
    <row r="5536" spans="1:11" x14ac:dyDescent="0.25">
      <c r="A5536" t="str">
        <f>"6988"</f>
        <v>6988</v>
      </c>
      <c r="B5536" t="str">
        <f t="shared" si="365"/>
        <v>1</v>
      </c>
      <c r="C5536" t="str">
        <f t="shared" si="366"/>
        <v>305</v>
      </c>
      <c r="D5536" t="str">
        <f>"14"</f>
        <v>14</v>
      </c>
      <c r="E5536" t="str">
        <f>"1-305-14"</f>
        <v>1-305-14</v>
      </c>
      <c r="F5536" t="s">
        <v>15</v>
      </c>
      <c r="G5536" t="s">
        <v>16</v>
      </c>
      <c r="H5536" t="s">
        <v>17</v>
      </c>
      <c r="I5536">
        <v>1</v>
      </c>
      <c r="J5536">
        <v>0</v>
      </c>
      <c r="K5536">
        <v>0</v>
      </c>
    </row>
    <row r="5537" spans="1:11" x14ac:dyDescent="0.25">
      <c r="A5537" t="str">
        <f>"6989"</f>
        <v>6989</v>
      </c>
      <c r="B5537" t="str">
        <f t="shared" si="365"/>
        <v>1</v>
      </c>
      <c r="C5537" t="str">
        <f t="shared" si="366"/>
        <v>305</v>
      </c>
      <c r="D5537" t="str">
        <f>"21"</f>
        <v>21</v>
      </c>
      <c r="E5537" t="str">
        <f>"1-305-21"</f>
        <v>1-305-21</v>
      </c>
      <c r="F5537" t="s">
        <v>15</v>
      </c>
      <c r="G5537" t="s">
        <v>20</v>
      </c>
      <c r="H5537" t="s">
        <v>21</v>
      </c>
      <c r="I5537">
        <v>0</v>
      </c>
      <c r="J5537">
        <v>1</v>
      </c>
      <c r="K5537">
        <v>0</v>
      </c>
    </row>
    <row r="5538" spans="1:11" x14ac:dyDescent="0.25">
      <c r="A5538" t="str">
        <f>"6990"</f>
        <v>6990</v>
      </c>
      <c r="B5538" t="str">
        <f t="shared" si="365"/>
        <v>1</v>
      </c>
      <c r="C5538" t="str">
        <f t="shared" si="366"/>
        <v>305</v>
      </c>
      <c r="D5538" t="str">
        <f>"5"</f>
        <v>5</v>
      </c>
      <c r="E5538" t="str">
        <f>"1-305-5"</f>
        <v>1-305-5</v>
      </c>
      <c r="F5538" t="s">
        <v>15</v>
      </c>
      <c r="G5538" t="s">
        <v>16</v>
      </c>
      <c r="H5538" t="s">
        <v>17</v>
      </c>
      <c r="I5538">
        <v>0</v>
      </c>
      <c r="J5538">
        <v>0</v>
      </c>
      <c r="K5538">
        <v>1</v>
      </c>
    </row>
    <row r="5539" spans="1:11" x14ac:dyDescent="0.25">
      <c r="A5539" t="str">
        <f>"6991"</f>
        <v>6991</v>
      </c>
      <c r="B5539" t="str">
        <f t="shared" si="365"/>
        <v>1</v>
      </c>
      <c r="C5539" t="str">
        <f t="shared" si="366"/>
        <v>305</v>
      </c>
      <c r="D5539" t="str">
        <f>"23"</f>
        <v>23</v>
      </c>
      <c r="E5539" t="str">
        <f>"1-305-23"</f>
        <v>1-305-23</v>
      </c>
      <c r="F5539" t="s">
        <v>15</v>
      </c>
      <c r="G5539" t="s">
        <v>18</v>
      </c>
      <c r="H5539" t="s">
        <v>19</v>
      </c>
      <c r="I5539">
        <v>1</v>
      </c>
      <c r="J5539">
        <v>0</v>
      </c>
      <c r="K5539">
        <v>0</v>
      </c>
    </row>
    <row r="5540" spans="1:11" x14ac:dyDescent="0.25">
      <c r="A5540" t="str">
        <f>"6992"</f>
        <v>6992</v>
      </c>
      <c r="B5540" t="str">
        <f t="shared" si="365"/>
        <v>1</v>
      </c>
      <c r="C5540" t="str">
        <f t="shared" si="366"/>
        <v>305</v>
      </c>
      <c r="D5540" t="str">
        <f>"3"</f>
        <v>3</v>
      </c>
      <c r="E5540" t="str">
        <f>"1-305-3"</f>
        <v>1-305-3</v>
      </c>
      <c r="F5540" t="s">
        <v>15</v>
      </c>
      <c r="G5540" t="s">
        <v>16</v>
      </c>
      <c r="H5540" t="s">
        <v>17</v>
      </c>
      <c r="I5540">
        <v>1</v>
      </c>
      <c r="J5540">
        <v>0</v>
      </c>
      <c r="K5540">
        <v>0</v>
      </c>
    </row>
    <row r="5541" spans="1:11" x14ac:dyDescent="0.25">
      <c r="A5541" t="str">
        <f>"6993"</f>
        <v>6993</v>
      </c>
      <c r="B5541" t="str">
        <f t="shared" si="365"/>
        <v>1</v>
      </c>
      <c r="C5541" t="str">
        <f t="shared" si="366"/>
        <v>305</v>
      </c>
      <c r="D5541" t="str">
        <f>"10"</f>
        <v>10</v>
      </c>
      <c r="E5541" t="str">
        <f>"1-305-10"</f>
        <v>1-305-10</v>
      </c>
      <c r="F5541" t="s">
        <v>15</v>
      </c>
      <c r="G5541" t="s">
        <v>20</v>
      </c>
      <c r="H5541" t="s">
        <v>21</v>
      </c>
      <c r="I5541">
        <v>0</v>
      </c>
      <c r="J5541">
        <v>0</v>
      </c>
      <c r="K5541">
        <v>1</v>
      </c>
    </row>
    <row r="5542" spans="1:11" x14ac:dyDescent="0.25">
      <c r="A5542" t="str">
        <f>"6994"</f>
        <v>6994</v>
      </c>
      <c r="B5542" t="str">
        <f t="shared" si="365"/>
        <v>1</v>
      </c>
      <c r="C5542" t="str">
        <f t="shared" si="366"/>
        <v>305</v>
      </c>
      <c r="D5542" t="str">
        <f>"25"</f>
        <v>25</v>
      </c>
      <c r="E5542" t="str">
        <f>"1-305-25"</f>
        <v>1-305-25</v>
      </c>
      <c r="F5542" t="s">
        <v>15</v>
      </c>
      <c r="G5542" t="s">
        <v>20</v>
      </c>
      <c r="H5542" t="s">
        <v>21</v>
      </c>
      <c r="I5542">
        <v>0</v>
      </c>
      <c r="J5542">
        <v>0</v>
      </c>
      <c r="K5542">
        <v>1</v>
      </c>
    </row>
    <row r="5543" spans="1:11" x14ac:dyDescent="0.25">
      <c r="A5543" t="str">
        <f>"6995"</f>
        <v>6995</v>
      </c>
      <c r="B5543" t="str">
        <f t="shared" si="365"/>
        <v>1</v>
      </c>
      <c r="C5543" t="str">
        <f t="shared" si="366"/>
        <v>305</v>
      </c>
      <c r="D5543" t="str">
        <f>"11"</f>
        <v>11</v>
      </c>
      <c r="E5543" t="str">
        <f>"1-305-11"</f>
        <v>1-305-11</v>
      </c>
      <c r="F5543" t="s">
        <v>15</v>
      </c>
      <c r="G5543" t="s">
        <v>16</v>
      </c>
      <c r="H5543" t="s">
        <v>17</v>
      </c>
      <c r="I5543">
        <v>0</v>
      </c>
      <c r="J5543">
        <v>0</v>
      </c>
      <c r="K5543">
        <v>1</v>
      </c>
    </row>
    <row r="5544" spans="1:11" x14ac:dyDescent="0.25">
      <c r="A5544" t="str">
        <f>"6996"</f>
        <v>6996</v>
      </c>
      <c r="B5544" t="str">
        <f t="shared" si="365"/>
        <v>1</v>
      </c>
      <c r="C5544" t="str">
        <f t="shared" si="366"/>
        <v>305</v>
      </c>
      <c r="D5544" t="str">
        <f>"26"</f>
        <v>26</v>
      </c>
      <c r="E5544" t="str">
        <f>"1-305-26"</f>
        <v>1-305-26</v>
      </c>
      <c r="F5544" t="s">
        <v>15</v>
      </c>
      <c r="G5544" t="s">
        <v>20</v>
      </c>
      <c r="H5544" t="s">
        <v>21</v>
      </c>
      <c r="I5544">
        <v>0</v>
      </c>
      <c r="J5544">
        <v>0</v>
      </c>
      <c r="K5544">
        <v>1</v>
      </c>
    </row>
    <row r="5545" spans="1:11" x14ac:dyDescent="0.25">
      <c r="A5545" t="str">
        <f>"6997"</f>
        <v>6997</v>
      </c>
      <c r="B5545" t="str">
        <f t="shared" si="365"/>
        <v>1</v>
      </c>
      <c r="C5545" t="str">
        <f t="shared" si="366"/>
        <v>305</v>
      </c>
      <c r="D5545" t="str">
        <f>"9"</f>
        <v>9</v>
      </c>
      <c r="E5545" t="str">
        <f>"1-305-9"</f>
        <v>1-305-9</v>
      </c>
      <c r="F5545" t="s">
        <v>15</v>
      </c>
      <c r="G5545" t="s">
        <v>20</v>
      </c>
      <c r="H5545" t="s">
        <v>21</v>
      </c>
      <c r="I5545">
        <v>0</v>
      </c>
      <c r="J5545">
        <v>0</v>
      </c>
      <c r="K5545">
        <v>1</v>
      </c>
    </row>
    <row r="5546" spans="1:11" x14ac:dyDescent="0.25">
      <c r="A5546" t="str">
        <f>"6998"</f>
        <v>6998</v>
      </c>
      <c r="B5546" t="str">
        <f t="shared" si="365"/>
        <v>1</v>
      </c>
      <c r="C5546" t="str">
        <f t="shared" si="366"/>
        <v>305</v>
      </c>
      <c r="D5546" t="str">
        <f>"27"</f>
        <v>27</v>
      </c>
      <c r="E5546" t="str">
        <f>"1-305-27"</f>
        <v>1-305-27</v>
      </c>
      <c r="F5546" t="s">
        <v>15</v>
      </c>
      <c r="G5546" t="s">
        <v>16</v>
      </c>
      <c r="H5546" t="s">
        <v>17</v>
      </c>
      <c r="I5546">
        <v>1</v>
      </c>
      <c r="J5546">
        <v>0</v>
      </c>
      <c r="K5546">
        <v>0</v>
      </c>
    </row>
    <row r="5547" spans="1:11" x14ac:dyDescent="0.25">
      <c r="A5547" t="str">
        <f>"6999"</f>
        <v>6999</v>
      </c>
      <c r="B5547" t="str">
        <f t="shared" si="365"/>
        <v>1</v>
      </c>
      <c r="C5547" t="str">
        <f t="shared" si="366"/>
        <v>305</v>
      </c>
      <c r="D5547" t="str">
        <f>"8"</f>
        <v>8</v>
      </c>
      <c r="E5547" t="str">
        <f>"1-305-8"</f>
        <v>1-305-8</v>
      </c>
      <c r="F5547" t="s">
        <v>15</v>
      </c>
      <c r="G5547" t="s">
        <v>20</v>
      </c>
      <c r="H5547" t="s">
        <v>21</v>
      </c>
      <c r="I5547">
        <v>0</v>
      </c>
      <c r="J5547">
        <v>0</v>
      </c>
      <c r="K5547">
        <v>1</v>
      </c>
    </row>
    <row r="5548" spans="1:11" x14ac:dyDescent="0.25">
      <c r="A5548" t="str">
        <f>"7000"</f>
        <v>7000</v>
      </c>
      <c r="B5548" t="str">
        <f t="shared" si="365"/>
        <v>1</v>
      </c>
      <c r="C5548" t="str">
        <f t="shared" si="366"/>
        <v>305</v>
      </c>
      <c r="D5548" t="str">
        <f>"7"</f>
        <v>7</v>
      </c>
      <c r="E5548" t="str">
        <f>"1-305-7"</f>
        <v>1-305-7</v>
      </c>
      <c r="F5548" t="s">
        <v>15</v>
      </c>
      <c r="G5548" t="s">
        <v>20</v>
      </c>
      <c r="H5548" t="s">
        <v>21</v>
      </c>
      <c r="I5548">
        <v>0</v>
      </c>
      <c r="J5548">
        <v>0</v>
      </c>
      <c r="K5548">
        <v>1</v>
      </c>
    </row>
    <row r="5549" spans="1:11" x14ac:dyDescent="0.25">
      <c r="A5549" t="str">
        <f>"7001"</f>
        <v>7001</v>
      </c>
      <c r="B5549" t="str">
        <f t="shared" si="365"/>
        <v>1</v>
      </c>
      <c r="C5549" t="str">
        <f t="shared" si="366"/>
        <v>305</v>
      </c>
      <c r="D5549" t="str">
        <f>"12"</f>
        <v>12</v>
      </c>
      <c r="E5549" t="str">
        <f>"1-305-12"</f>
        <v>1-305-12</v>
      </c>
      <c r="F5549" t="s">
        <v>15</v>
      </c>
      <c r="G5549" t="s">
        <v>16</v>
      </c>
      <c r="H5549" t="s">
        <v>17</v>
      </c>
      <c r="I5549">
        <v>0</v>
      </c>
      <c r="J5549">
        <v>0</v>
      </c>
      <c r="K5549">
        <v>1</v>
      </c>
    </row>
    <row r="5550" spans="1:11" x14ac:dyDescent="0.25">
      <c r="A5550" t="str">
        <f>"7002"</f>
        <v>7002</v>
      </c>
      <c r="B5550" t="str">
        <f t="shared" ref="B5550:B5613" si="367">"1"</f>
        <v>1</v>
      </c>
      <c r="C5550" t="str">
        <f t="shared" si="366"/>
        <v>305</v>
      </c>
      <c r="D5550" t="str">
        <f>"2"</f>
        <v>2</v>
      </c>
      <c r="E5550" t="str">
        <f>"1-305-2"</f>
        <v>1-305-2</v>
      </c>
      <c r="F5550" t="s">
        <v>15</v>
      </c>
      <c r="G5550" t="s">
        <v>16</v>
      </c>
      <c r="H5550" t="s">
        <v>17</v>
      </c>
      <c r="I5550">
        <v>1</v>
      </c>
      <c r="J5550">
        <v>0</v>
      </c>
      <c r="K5550">
        <v>0</v>
      </c>
    </row>
    <row r="5551" spans="1:11" x14ac:dyDescent="0.25">
      <c r="A5551" t="str">
        <f>"7003"</f>
        <v>7003</v>
      </c>
      <c r="B5551" t="str">
        <f t="shared" si="367"/>
        <v>1</v>
      </c>
      <c r="C5551" t="str">
        <f t="shared" si="366"/>
        <v>305</v>
      </c>
      <c r="D5551" t="str">
        <f>"16"</f>
        <v>16</v>
      </c>
      <c r="E5551" t="str">
        <f>"1-305-16"</f>
        <v>1-305-16</v>
      </c>
      <c r="F5551" t="s">
        <v>15</v>
      </c>
      <c r="G5551" t="s">
        <v>18</v>
      </c>
      <c r="H5551" t="s">
        <v>19</v>
      </c>
      <c r="I5551">
        <v>0</v>
      </c>
      <c r="J5551">
        <v>1</v>
      </c>
      <c r="K5551">
        <v>0</v>
      </c>
    </row>
    <row r="5552" spans="1:11" x14ac:dyDescent="0.25">
      <c r="A5552" t="str">
        <f>"7004"</f>
        <v>7004</v>
      </c>
      <c r="B5552" t="str">
        <f t="shared" si="367"/>
        <v>1</v>
      </c>
      <c r="C5552" t="str">
        <f t="shared" si="366"/>
        <v>305</v>
      </c>
      <c r="D5552" t="str">
        <f>"24"</f>
        <v>24</v>
      </c>
      <c r="E5552" t="str">
        <f>"1-305-24"</f>
        <v>1-305-24</v>
      </c>
      <c r="F5552" t="s">
        <v>15</v>
      </c>
      <c r="G5552" t="s">
        <v>18</v>
      </c>
      <c r="H5552" t="s">
        <v>19</v>
      </c>
      <c r="I5552">
        <v>1</v>
      </c>
      <c r="J5552">
        <v>0</v>
      </c>
      <c r="K5552">
        <v>0</v>
      </c>
    </row>
    <row r="5553" spans="1:11" x14ac:dyDescent="0.25">
      <c r="A5553" t="str">
        <f>"7005"</f>
        <v>7005</v>
      </c>
      <c r="B5553" t="str">
        <f t="shared" si="367"/>
        <v>1</v>
      </c>
      <c r="C5553" t="str">
        <f t="shared" ref="C5553:C5579" si="368">"306"</f>
        <v>306</v>
      </c>
      <c r="D5553" t="str">
        <f>"23"</f>
        <v>23</v>
      </c>
      <c r="E5553" t="str">
        <f>"1-306-23"</f>
        <v>1-306-23</v>
      </c>
      <c r="F5553" t="s">
        <v>15</v>
      </c>
      <c r="G5553" t="s">
        <v>18</v>
      </c>
      <c r="H5553" t="s">
        <v>19</v>
      </c>
      <c r="I5553">
        <v>0</v>
      </c>
      <c r="J5553">
        <v>1</v>
      </c>
      <c r="K5553">
        <v>0</v>
      </c>
    </row>
    <row r="5554" spans="1:11" x14ac:dyDescent="0.25">
      <c r="A5554" t="str">
        <f>"7006"</f>
        <v>7006</v>
      </c>
      <c r="B5554" t="str">
        <f t="shared" si="367"/>
        <v>1</v>
      </c>
      <c r="C5554" t="str">
        <f t="shared" si="368"/>
        <v>306</v>
      </c>
      <c r="D5554" t="str">
        <f>"15"</f>
        <v>15</v>
      </c>
      <c r="E5554" t="str">
        <f>"1-306-15"</f>
        <v>1-306-15</v>
      </c>
      <c r="F5554" t="s">
        <v>15</v>
      </c>
      <c r="G5554" t="s">
        <v>16</v>
      </c>
      <c r="H5554" t="s">
        <v>17</v>
      </c>
      <c r="I5554">
        <v>0</v>
      </c>
      <c r="J5554">
        <v>1</v>
      </c>
      <c r="K5554">
        <v>0</v>
      </c>
    </row>
    <row r="5555" spans="1:11" x14ac:dyDescent="0.25">
      <c r="A5555" t="str">
        <f>"7007"</f>
        <v>7007</v>
      </c>
      <c r="B5555" t="str">
        <f t="shared" si="367"/>
        <v>1</v>
      </c>
      <c r="C5555" t="str">
        <f t="shared" si="368"/>
        <v>306</v>
      </c>
      <c r="D5555" t="str">
        <f>"3"</f>
        <v>3</v>
      </c>
      <c r="E5555" t="str">
        <f>"1-306-3"</f>
        <v>1-306-3</v>
      </c>
      <c r="F5555" t="s">
        <v>15</v>
      </c>
      <c r="G5555" t="s">
        <v>16</v>
      </c>
      <c r="H5555" t="s">
        <v>17</v>
      </c>
      <c r="I5555">
        <v>1</v>
      </c>
      <c r="J5555">
        <v>0</v>
      </c>
      <c r="K5555">
        <v>0</v>
      </c>
    </row>
    <row r="5556" spans="1:11" x14ac:dyDescent="0.25">
      <c r="A5556" t="str">
        <f>"7008"</f>
        <v>7008</v>
      </c>
      <c r="B5556" t="str">
        <f t="shared" si="367"/>
        <v>1</v>
      </c>
      <c r="C5556" t="str">
        <f t="shared" si="368"/>
        <v>306</v>
      </c>
      <c r="D5556" t="str">
        <f>"19"</f>
        <v>19</v>
      </c>
      <c r="E5556" t="str">
        <f>"1-306-19"</f>
        <v>1-306-19</v>
      </c>
      <c r="F5556" t="s">
        <v>15</v>
      </c>
      <c r="G5556" t="s">
        <v>16</v>
      </c>
      <c r="H5556" t="s">
        <v>17</v>
      </c>
      <c r="I5556">
        <v>0</v>
      </c>
      <c r="J5556">
        <v>0</v>
      </c>
      <c r="K5556">
        <v>1</v>
      </c>
    </row>
    <row r="5557" spans="1:11" x14ac:dyDescent="0.25">
      <c r="A5557" t="str">
        <f>"7009"</f>
        <v>7009</v>
      </c>
      <c r="B5557" t="str">
        <f t="shared" si="367"/>
        <v>1</v>
      </c>
      <c r="C5557" t="str">
        <f t="shared" si="368"/>
        <v>306</v>
      </c>
      <c r="D5557" t="str">
        <f>"16"</f>
        <v>16</v>
      </c>
      <c r="E5557" t="str">
        <f>"1-306-16"</f>
        <v>1-306-16</v>
      </c>
      <c r="F5557" t="s">
        <v>15</v>
      </c>
      <c r="G5557" t="s">
        <v>16</v>
      </c>
      <c r="H5557" t="s">
        <v>17</v>
      </c>
      <c r="I5557">
        <v>0</v>
      </c>
      <c r="J5557">
        <v>1</v>
      </c>
      <c r="K5557">
        <v>0</v>
      </c>
    </row>
    <row r="5558" spans="1:11" x14ac:dyDescent="0.25">
      <c r="A5558" t="str">
        <f>"7010"</f>
        <v>7010</v>
      </c>
      <c r="B5558" t="str">
        <f t="shared" si="367"/>
        <v>1</v>
      </c>
      <c r="C5558" t="str">
        <f t="shared" si="368"/>
        <v>306</v>
      </c>
      <c r="D5558" t="str">
        <f>"7"</f>
        <v>7</v>
      </c>
      <c r="E5558" t="str">
        <f>"1-306-7"</f>
        <v>1-306-7</v>
      </c>
      <c r="F5558" t="s">
        <v>15</v>
      </c>
      <c r="G5558" t="s">
        <v>16</v>
      </c>
      <c r="H5558" t="s">
        <v>17</v>
      </c>
      <c r="I5558">
        <v>1</v>
      </c>
      <c r="J5558">
        <v>0</v>
      </c>
      <c r="K5558">
        <v>0</v>
      </c>
    </row>
    <row r="5559" spans="1:11" x14ac:dyDescent="0.25">
      <c r="A5559" t="str">
        <f>"7011"</f>
        <v>7011</v>
      </c>
      <c r="B5559" t="str">
        <f t="shared" si="367"/>
        <v>1</v>
      </c>
      <c r="C5559" t="str">
        <f t="shared" si="368"/>
        <v>306</v>
      </c>
      <c r="D5559" t="str">
        <f>"17"</f>
        <v>17</v>
      </c>
      <c r="E5559" t="str">
        <f>"1-306-17"</f>
        <v>1-306-17</v>
      </c>
      <c r="F5559" t="s">
        <v>15</v>
      </c>
      <c r="G5559" t="s">
        <v>16</v>
      </c>
      <c r="H5559" t="s">
        <v>17</v>
      </c>
      <c r="I5559">
        <v>0</v>
      </c>
      <c r="J5559">
        <v>0</v>
      </c>
      <c r="K5559">
        <v>1</v>
      </c>
    </row>
    <row r="5560" spans="1:11" x14ac:dyDescent="0.25">
      <c r="A5560" t="str">
        <f>"7012"</f>
        <v>7012</v>
      </c>
      <c r="B5560" t="str">
        <f t="shared" si="367"/>
        <v>1</v>
      </c>
      <c r="C5560" t="str">
        <f t="shared" si="368"/>
        <v>306</v>
      </c>
      <c r="D5560" t="str">
        <f>"6"</f>
        <v>6</v>
      </c>
      <c r="E5560" t="str">
        <f>"1-306-6"</f>
        <v>1-306-6</v>
      </c>
      <c r="F5560" t="s">
        <v>15</v>
      </c>
      <c r="G5560" t="s">
        <v>16</v>
      </c>
      <c r="H5560" t="s">
        <v>17</v>
      </c>
      <c r="I5560">
        <v>1</v>
      </c>
      <c r="J5560">
        <v>0</v>
      </c>
      <c r="K5560">
        <v>0</v>
      </c>
    </row>
    <row r="5561" spans="1:11" x14ac:dyDescent="0.25">
      <c r="A5561" t="str">
        <f>"7013"</f>
        <v>7013</v>
      </c>
      <c r="B5561" t="str">
        <f t="shared" si="367"/>
        <v>1</v>
      </c>
      <c r="C5561" t="str">
        <f t="shared" si="368"/>
        <v>306</v>
      </c>
      <c r="D5561" t="str">
        <f>"18"</f>
        <v>18</v>
      </c>
      <c r="E5561" t="str">
        <f>"1-306-18"</f>
        <v>1-306-18</v>
      </c>
      <c r="F5561" t="s">
        <v>15</v>
      </c>
      <c r="G5561" t="s">
        <v>16</v>
      </c>
      <c r="H5561" t="s">
        <v>17</v>
      </c>
      <c r="I5561">
        <v>0</v>
      </c>
      <c r="J5561">
        <v>0</v>
      </c>
      <c r="K5561">
        <v>1</v>
      </c>
    </row>
    <row r="5562" spans="1:11" x14ac:dyDescent="0.25">
      <c r="A5562" t="str">
        <f>"7014"</f>
        <v>7014</v>
      </c>
      <c r="B5562" t="str">
        <f t="shared" si="367"/>
        <v>1</v>
      </c>
      <c r="C5562" t="str">
        <f t="shared" si="368"/>
        <v>306</v>
      </c>
      <c r="D5562" t="str">
        <f>"12"</f>
        <v>12</v>
      </c>
      <c r="E5562" t="str">
        <f>"1-306-12"</f>
        <v>1-306-12</v>
      </c>
      <c r="F5562" t="s">
        <v>15</v>
      </c>
      <c r="G5562" t="s">
        <v>16</v>
      </c>
      <c r="H5562" t="s">
        <v>17</v>
      </c>
      <c r="I5562">
        <v>0</v>
      </c>
      <c r="J5562">
        <v>0</v>
      </c>
      <c r="K5562">
        <v>1</v>
      </c>
    </row>
    <row r="5563" spans="1:11" x14ac:dyDescent="0.25">
      <c r="A5563" t="str">
        <f>"7015"</f>
        <v>7015</v>
      </c>
      <c r="B5563" t="str">
        <f t="shared" si="367"/>
        <v>1</v>
      </c>
      <c r="C5563" t="str">
        <f t="shared" si="368"/>
        <v>306</v>
      </c>
      <c r="D5563" t="str">
        <f>"20"</f>
        <v>20</v>
      </c>
      <c r="E5563" t="str">
        <f>"1-306-20"</f>
        <v>1-306-20</v>
      </c>
      <c r="F5563" t="s">
        <v>15</v>
      </c>
      <c r="G5563" t="s">
        <v>16</v>
      </c>
      <c r="H5563" t="s">
        <v>17</v>
      </c>
      <c r="I5563">
        <v>0</v>
      </c>
      <c r="J5563">
        <v>0</v>
      </c>
      <c r="K5563">
        <v>1</v>
      </c>
    </row>
    <row r="5564" spans="1:11" x14ac:dyDescent="0.25">
      <c r="A5564" t="str">
        <f>"7016"</f>
        <v>7016</v>
      </c>
      <c r="B5564" t="str">
        <f t="shared" si="367"/>
        <v>1</v>
      </c>
      <c r="C5564" t="str">
        <f t="shared" si="368"/>
        <v>306</v>
      </c>
      <c r="D5564" t="str">
        <f>"21"</f>
        <v>21</v>
      </c>
      <c r="E5564" t="str">
        <f>"1-306-21"</f>
        <v>1-306-21</v>
      </c>
      <c r="F5564" t="s">
        <v>15</v>
      </c>
      <c r="G5564" t="s">
        <v>16</v>
      </c>
      <c r="H5564" t="s">
        <v>17</v>
      </c>
      <c r="I5564">
        <v>0</v>
      </c>
      <c r="J5564">
        <v>0</v>
      </c>
      <c r="K5564">
        <v>1</v>
      </c>
    </row>
    <row r="5565" spans="1:11" x14ac:dyDescent="0.25">
      <c r="A5565" t="str">
        <f>"7017"</f>
        <v>7017</v>
      </c>
      <c r="B5565" t="str">
        <f t="shared" si="367"/>
        <v>1</v>
      </c>
      <c r="C5565" t="str">
        <f t="shared" si="368"/>
        <v>306</v>
      </c>
      <c r="D5565" t="str">
        <f>"4"</f>
        <v>4</v>
      </c>
      <c r="E5565" t="str">
        <f>"1-306-4"</f>
        <v>1-306-4</v>
      </c>
      <c r="F5565" t="s">
        <v>15</v>
      </c>
      <c r="G5565" t="s">
        <v>16</v>
      </c>
      <c r="H5565" t="s">
        <v>17</v>
      </c>
      <c r="I5565">
        <v>1</v>
      </c>
      <c r="J5565">
        <v>0</v>
      </c>
      <c r="K5565">
        <v>0</v>
      </c>
    </row>
    <row r="5566" spans="1:11" x14ac:dyDescent="0.25">
      <c r="A5566" t="str">
        <f>"7018"</f>
        <v>7018</v>
      </c>
      <c r="B5566" t="str">
        <f t="shared" si="367"/>
        <v>1</v>
      </c>
      <c r="C5566" t="str">
        <f t="shared" si="368"/>
        <v>306</v>
      </c>
      <c r="D5566" t="str">
        <f>"22"</f>
        <v>22</v>
      </c>
      <c r="E5566" t="str">
        <f>"1-306-22"</f>
        <v>1-306-22</v>
      </c>
      <c r="F5566" t="s">
        <v>15</v>
      </c>
      <c r="G5566" t="s">
        <v>18</v>
      </c>
      <c r="H5566" t="s">
        <v>19</v>
      </c>
      <c r="I5566">
        <v>0</v>
      </c>
      <c r="J5566">
        <v>1</v>
      </c>
      <c r="K5566">
        <v>0</v>
      </c>
    </row>
    <row r="5567" spans="1:11" x14ac:dyDescent="0.25">
      <c r="A5567" t="str">
        <f>"7019"</f>
        <v>7019</v>
      </c>
      <c r="B5567" t="str">
        <f t="shared" si="367"/>
        <v>1</v>
      </c>
      <c r="C5567" t="str">
        <f t="shared" si="368"/>
        <v>306</v>
      </c>
      <c r="D5567" t="str">
        <f>"9"</f>
        <v>9</v>
      </c>
      <c r="E5567" t="str">
        <f>"1-306-9"</f>
        <v>1-306-9</v>
      </c>
      <c r="F5567" t="s">
        <v>15</v>
      </c>
      <c r="G5567" t="s">
        <v>16</v>
      </c>
      <c r="H5567" t="s">
        <v>17</v>
      </c>
      <c r="I5567">
        <v>1</v>
      </c>
      <c r="J5567">
        <v>0</v>
      </c>
      <c r="K5567">
        <v>0</v>
      </c>
    </row>
    <row r="5568" spans="1:11" x14ac:dyDescent="0.25">
      <c r="A5568" t="str">
        <f>"7020"</f>
        <v>7020</v>
      </c>
      <c r="B5568" t="str">
        <f t="shared" si="367"/>
        <v>1</v>
      </c>
      <c r="C5568" t="str">
        <f t="shared" si="368"/>
        <v>306</v>
      </c>
      <c r="D5568" t="str">
        <f>"24"</f>
        <v>24</v>
      </c>
      <c r="E5568" t="str">
        <f>"1-306-24"</f>
        <v>1-306-24</v>
      </c>
      <c r="F5568" t="s">
        <v>15</v>
      </c>
      <c r="G5568" t="s">
        <v>16</v>
      </c>
      <c r="H5568" t="s">
        <v>17</v>
      </c>
      <c r="I5568">
        <v>1</v>
      </c>
      <c r="J5568">
        <v>0</v>
      </c>
      <c r="K5568">
        <v>0</v>
      </c>
    </row>
    <row r="5569" spans="1:11" x14ac:dyDescent="0.25">
      <c r="A5569" t="str">
        <f>"7021"</f>
        <v>7021</v>
      </c>
      <c r="B5569" t="str">
        <f t="shared" si="367"/>
        <v>1</v>
      </c>
      <c r="C5569" t="str">
        <f t="shared" si="368"/>
        <v>306</v>
      </c>
      <c r="D5569" t="str">
        <f>"11"</f>
        <v>11</v>
      </c>
      <c r="E5569" t="str">
        <f>"1-306-11"</f>
        <v>1-306-11</v>
      </c>
      <c r="F5569" t="s">
        <v>15</v>
      </c>
      <c r="G5569" t="s">
        <v>16</v>
      </c>
      <c r="H5569" t="s">
        <v>17</v>
      </c>
      <c r="I5569">
        <v>0</v>
      </c>
      <c r="J5569">
        <v>1</v>
      </c>
      <c r="K5569">
        <v>0</v>
      </c>
    </row>
    <row r="5570" spans="1:11" x14ac:dyDescent="0.25">
      <c r="A5570" t="str">
        <f>"7022"</f>
        <v>7022</v>
      </c>
      <c r="B5570" t="str">
        <f t="shared" si="367"/>
        <v>1</v>
      </c>
      <c r="C5570" t="str">
        <f t="shared" si="368"/>
        <v>306</v>
      </c>
      <c r="D5570" t="str">
        <f>"25"</f>
        <v>25</v>
      </c>
      <c r="E5570" t="str">
        <f>"1-306-25"</f>
        <v>1-306-25</v>
      </c>
      <c r="F5570" t="s">
        <v>15</v>
      </c>
      <c r="G5570" t="s">
        <v>16</v>
      </c>
      <c r="H5570" t="s">
        <v>17</v>
      </c>
      <c r="I5570">
        <v>1</v>
      </c>
      <c r="J5570">
        <v>0</v>
      </c>
      <c r="K5570">
        <v>0</v>
      </c>
    </row>
    <row r="5571" spans="1:11" x14ac:dyDescent="0.25">
      <c r="A5571" t="str">
        <f>"7023"</f>
        <v>7023</v>
      </c>
      <c r="B5571" t="str">
        <f t="shared" si="367"/>
        <v>1</v>
      </c>
      <c r="C5571" t="str">
        <f t="shared" si="368"/>
        <v>306</v>
      </c>
      <c r="D5571" t="str">
        <f>"13"</f>
        <v>13</v>
      </c>
      <c r="E5571" t="str">
        <f>"1-306-13"</f>
        <v>1-306-13</v>
      </c>
      <c r="F5571" t="s">
        <v>15</v>
      </c>
      <c r="G5571" t="s">
        <v>16</v>
      </c>
      <c r="H5571" t="s">
        <v>17</v>
      </c>
      <c r="I5571">
        <v>0</v>
      </c>
      <c r="J5571">
        <v>0</v>
      </c>
      <c r="K5571">
        <v>1</v>
      </c>
    </row>
    <row r="5572" spans="1:11" x14ac:dyDescent="0.25">
      <c r="A5572" t="str">
        <f>"7024"</f>
        <v>7024</v>
      </c>
      <c r="B5572" t="str">
        <f t="shared" si="367"/>
        <v>1</v>
      </c>
      <c r="C5572" t="str">
        <f t="shared" si="368"/>
        <v>306</v>
      </c>
      <c r="D5572" t="str">
        <f>"26"</f>
        <v>26</v>
      </c>
      <c r="E5572" t="str">
        <f>"1-306-26"</f>
        <v>1-306-26</v>
      </c>
      <c r="F5572" t="s">
        <v>15</v>
      </c>
      <c r="G5572" t="s">
        <v>18</v>
      </c>
      <c r="H5572" t="s">
        <v>19</v>
      </c>
      <c r="I5572">
        <v>1</v>
      </c>
      <c r="J5572">
        <v>0</v>
      </c>
      <c r="K5572">
        <v>0</v>
      </c>
    </row>
    <row r="5573" spans="1:11" x14ac:dyDescent="0.25">
      <c r="A5573" t="str">
        <f>"7025"</f>
        <v>7025</v>
      </c>
      <c r="B5573" t="str">
        <f t="shared" si="367"/>
        <v>1</v>
      </c>
      <c r="C5573" t="str">
        <f t="shared" si="368"/>
        <v>306</v>
      </c>
      <c r="D5573" t="str">
        <f>"1"</f>
        <v>1</v>
      </c>
      <c r="E5573" t="str">
        <f>"1-306-1"</f>
        <v>1-306-1</v>
      </c>
      <c r="F5573" t="s">
        <v>15</v>
      </c>
      <c r="G5573" t="s">
        <v>16</v>
      </c>
      <c r="H5573" t="s">
        <v>17</v>
      </c>
      <c r="I5573">
        <v>0</v>
      </c>
      <c r="J5573">
        <v>0</v>
      </c>
      <c r="K5573">
        <v>1</v>
      </c>
    </row>
    <row r="5574" spans="1:11" x14ac:dyDescent="0.25">
      <c r="A5574" t="str">
        <f>"7026"</f>
        <v>7026</v>
      </c>
      <c r="B5574" t="str">
        <f t="shared" si="367"/>
        <v>1</v>
      </c>
      <c r="C5574" t="str">
        <f t="shared" si="368"/>
        <v>306</v>
      </c>
      <c r="D5574" t="str">
        <f>"27"</f>
        <v>27</v>
      </c>
      <c r="E5574" t="str">
        <f>"1-306-27"</f>
        <v>1-306-27</v>
      </c>
      <c r="F5574" t="s">
        <v>15</v>
      </c>
      <c r="G5574" t="s">
        <v>16</v>
      </c>
      <c r="H5574" t="s">
        <v>17</v>
      </c>
      <c r="I5574">
        <v>0</v>
      </c>
      <c r="J5574">
        <v>1</v>
      </c>
      <c r="K5574">
        <v>0</v>
      </c>
    </row>
    <row r="5575" spans="1:11" x14ac:dyDescent="0.25">
      <c r="A5575" t="str">
        <f>"7027"</f>
        <v>7027</v>
      </c>
      <c r="B5575" t="str">
        <f t="shared" si="367"/>
        <v>1</v>
      </c>
      <c r="C5575" t="str">
        <f t="shared" si="368"/>
        <v>306</v>
      </c>
      <c r="D5575" t="str">
        <f>"10"</f>
        <v>10</v>
      </c>
      <c r="E5575" t="str">
        <f>"1-306-10"</f>
        <v>1-306-10</v>
      </c>
      <c r="F5575" t="s">
        <v>15</v>
      </c>
      <c r="G5575" t="s">
        <v>16</v>
      </c>
      <c r="H5575" t="s">
        <v>17</v>
      </c>
      <c r="I5575">
        <v>0</v>
      </c>
      <c r="J5575">
        <v>1</v>
      </c>
      <c r="K5575">
        <v>0</v>
      </c>
    </row>
    <row r="5576" spans="1:11" x14ac:dyDescent="0.25">
      <c r="A5576" t="str">
        <f>"7028"</f>
        <v>7028</v>
      </c>
      <c r="B5576" t="str">
        <f t="shared" si="367"/>
        <v>1</v>
      </c>
      <c r="C5576" t="str">
        <f t="shared" si="368"/>
        <v>306</v>
      </c>
      <c r="D5576" t="str">
        <f>"2"</f>
        <v>2</v>
      </c>
      <c r="E5576" t="str">
        <f>"1-306-2"</f>
        <v>1-306-2</v>
      </c>
      <c r="F5576" t="s">
        <v>15</v>
      </c>
      <c r="G5576" t="s">
        <v>16</v>
      </c>
      <c r="H5576" t="s">
        <v>17</v>
      </c>
      <c r="I5576">
        <v>1</v>
      </c>
      <c r="J5576">
        <v>0</v>
      </c>
      <c r="K5576">
        <v>0</v>
      </c>
    </row>
    <row r="5577" spans="1:11" x14ac:dyDescent="0.25">
      <c r="A5577" t="str">
        <f>"7029"</f>
        <v>7029</v>
      </c>
      <c r="B5577" t="str">
        <f t="shared" si="367"/>
        <v>1</v>
      </c>
      <c r="C5577" t="str">
        <f t="shared" si="368"/>
        <v>306</v>
      </c>
      <c r="D5577" t="str">
        <f>"8"</f>
        <v>8</v>
      </c>
      <c r="E5577" t="str">
        <f>"1-306-8"</f>
        <v>1-306-8</v>
      </c>
      <c r="F5577" t="s">
        <v>15</v>
      </c>
      <c r="G5577" t="s">
        <v>16</v>
      </c>
      <c r="H5577" t="s">
        <v>17</v>
      </c>
      <c r="I5577">
        <v>1</v>
      </c>
      <c r="J5577">
        <v>0</v>
      </c>
      <c r="K5577">
        <v>0</v>
      </c>
    </row>
    <row r="5578" spans="1:11" x14ac:dyDescent="0.25">
      <c r="A5578" t="str">
        <f>"7030"</f>
        <v>7030</v>
      </c>
      <c r="B5578" t="str">
        <f t="shared" si="367"/>
        <v>1</v>
      </c>
      <c r="C5578" t="str">
        <f t="shared" si="368"/>
        <v>306</v>
      </c>
      <c r="D5578" t="str">
        <f>"5"</f>
        <v>5</v>
      </c>
      <c r="E5578" t="str">
        <f>"1-306-5"</f>
        <v>1-306-5</v>
      </c>
      <c r="F5578" t="s">
        <v>15</v>
      </c>
      <c r="G5578" t="s">
        <v>16</v>
      </c>
      <c r="H5578" t="s">
        <v>17</v>
      </c>
      <c r="I5578">
        <v>0</v>
      </c>
      <c r="J5578">
        <v>1</v>
      </c>
      <c r="K5578">
        <v>0</v>
      </c>
    </row>
    <row r="5579" spans="1:11" x14ac:dyDescent="0.25">
      <c r="A5579" t="str">
        <f>"7031"</f>
        <v>7031</v>
      </c>
      <c r="B5579" t="str">
        <f t="shared" si="367"/>
        <v>1</v>
      </c>
      <c r="C5579" t="str">
        <f t="shared" si="368"/>
        <v>306</v>
      </c>
      <c r="D5579" t="str">
        <f>"14"</f>
        <v>14</v>
      </c>
      <c r="E5579" t="str">
        <f>"1-306-14"</f>
        <v>1-306-14</v>
      </c>
      <c r="F5579" t="s">
        <v>15</v>
      </c>
      <c r="G5579" t="s">
        <v>16</v>
      </c>
      <c r="H5579" t="s">
        <v>17</v>
      </c>
      <c r="I5579">
        <v>0</v>
      </c>
      <c r="J5579">
        <v>0</v>
      </c>
      <c r="K5579">
        <v>0</v>
      </c>
    </row>
    <row r="5580" spans="1:11" x14ac:dyDescent="0.25">
      <c r="A5580" t="str">
        <f>"7032"</f>
        <v>7032</v>
      </c>
      <c r="B5580" t="str">
        <f t="shared" si="367"/>
        <v>1</v>
      </c>
      <c r="C5580" t="str">
        <f t="shared" ref="C5580:C5604" si="369">"307"</f>
        <v>307</v>
      </c>
      <c r="D5580" t="str">
        <f>"25"</f>
        <v>25</v>
      </c>
      <c r="E5580" t="str">
        <f>"1-307-25"</f>
        <v>1-307-25</v>
      </c>
      <c r="F5580" t="s">
        <v>15</v>
      </c>
      <c r="G5580" t="s">
        <v>20</v>
      </c>
      <c r="H5580" t="s">
        <v>21</v>
      </c>
      <c r="I5580">
        <v>1</v>
      </c>
      <c r="J5580">
        <v>0</v>
      </c>
      <c r="K5580">
        <v>0</v>
      </c>
    </row>
    <row r="5581" spans="1:11" x14ac:dyDescent="0.25">
      <c r="A5581" t="str">
        <f>"7033"</f>
        <v>7033</v>
      </c>
      <c r="B5581" t="str">
        <f t="shared" si="367"/>
        <v>1</v>
      </c>
      <c r="C5581" t="str">
        <f t="shared" si="369"/>
        <v>307</v>
      </c>
      <c r="D5581" t="str">
        <f>"17"</f>
        <v>17</v>
      </c>
      <c r="E5581" t="str">
        <f>"1-307-17"</f>
        <v>1-307-17</v>
      </c>
      <c r="F5581" t="s">
        <v>15</v>
      </c>
      <c r="G5581" t="s">
        <v>20</v>
      </c>
      <c r="H5581" t="s">
        <v>21</v>
      </c>
      <c r="I5581">
        <v>0</v>
      </c>
      <c r="J5581">
        <v>0</v>
      </c>
      <c r="K5581">
        <v>1</v>
      </c>
    </row>
    <row r="5582" spans="1:11" x14ac:dyDescent="0.25">
      <c r="A5582" t="str">
        <f>"7034"</f>
        <v>7034</v>
      </c>
      <c r="B5582" t="str">
        <f t="shared" si="367"/>
        <v>1</v>
      </c>
      <c r="C5582" t="str">
        <f t="shared" si="369"/>
        <v>307</v>
      </c>
      <c r="D5582" t="str">
        <f>"15"</f>
        <v>15</v>
      </c>
      <c r="E5582" t="str">
        <f>"1-307-15"</f>
        <v>1-307-15</v>
      </c>
      <c r="F5582" t="s">
        <v>15</v>
      </c>
      <c r="G5582" t="s">
        <v>20</v>
      </c>
      <c r="H5582" t="s">
        <v>21</v>
      </c>
      <c r="I5582">
        <v>1</v>
      </c>
      <c r="J5582">
        <v>0</v>
      </c>
      <c r="K5582">
        <v>0</v>
      </c>
    </row>
    <row r="5583" spans="1:11" x14ac:dyDescent="0.25">
      <c r="A5583" t="str">
        <f>"7035"</f>
        <v>7035</v>
      </c>
      <c r="B5583" t="str">
        <f t="shared" si="367"/>
        <v>1</v>
      </c>
      <c r="C5583" t="str">
        <f t="shared" si="369"/>
        <v>307</v>
      </c>
      <c r="D5583" t="str">
        <f>"4"</f>
        <v>4</v>
      </c>
      <c r="E5583" t="str">
        <f>"1-307-4"</f>
        <v>1-307-4</v>
      </c>
      <c r="F5583" t="s">
        <v>15</v>
      </c>
      <c r="G5583" t="s">
        <v>20</v>
      </c>
      <c r="H5583" t="s">
        <v>21</v>
      </c>
      <c r="I5583">
        <v>1</v>
      </c>
      <c r="J5583">
        <v>0</v>
      </c>
      <c r="K5583">
        <v>0</v>
      </c>
    </row>
    <row r="5584" spans="1:11" x14ac:dyDescent="0.25">
      <c r="A5584" t="str">
        <f>"7036"</f>
        <v>7036</v>
      </c>
      <c r="B5584" t="str">
        <f t="shared" si="367"/>
        <v>1</v>
      </c>
      <c r="C5584" t="str">
        <f t="shared" si="369"/>
        <v>307</v>
      </c>
      <c r="D5584" t="str">
        <f>"16"</f>
        <v>16</v>
      </c>
      <c r="E5584" t="str">
        <f>"1-307-16"</f>
        <v>1-307-16</v>
      </c>
      <c r="F5584" t="s">
        <v>15</v>
      </c>
      <c r="G5584" t="s">
        <v>20</v>
      </c>
      <c r="H5584" t="s">
        <v>21</v>
      </c>
      <c r="I5584">
        <v>0</v>
      </c>
      <c r="J5584">
        <v>0</v>
      </c>
      <c r="K5584">
        <v>1</v>
      </c>
    </row>
    <row r="5585" spans="1:11" x14ac:dyDescent="0.25">
      <c r="A5585" t="str">
        <f>"7037"</f>
        <v>7037</v>
      </c>
      <c r="B5585" t="str">
        <f t="shared" si="367"/>
        <v>1</v>
      </c>
      <c r="C5585" t="str">
        <f t="shared" si="369"/>
        <v>307</v>
      </c>
      <c r="D5585" t="str">
        <f>"3"</f>
        <v>3</v>
      </c>
      <c r="E5585" t="str">
        <f>"1-307-3"</f>
        <v>1-307-3</v>
      </c>
      <c r="F5585" t="s">
        <v>15</v>
      </c>
      <c r="G5585" t="s">
        <v>20</v>
      </c>
      <c r="H5585" t="s">
        <v>21</v>
      </c>
      <c r="I5585">
        <v>0</v>
      </c>
      <c r="J5585">
        <v>1</v>
      </c>
      <c r="K5585">
        <v>0</v>
      </c>
    </row>
    <row r="5586" spans="1:11" x14ac:dyDescent="0.25">
      <c r="A5586" t="str">
        <f>"7038"</f>
        <v>7038</v>
      </c>
      <c r="B5586" t="str">
        <f t="shared" si="367"/>
        <v>1</v>
      </c>
      <c r="C5586" t="str">
        <f t="shared" si="369"/>
        <v>307</v>
      </c>
      <c r="D5586" t="str">
        <f>"1"</f>
        <v>1</v>
      </c>
      <c r="E5586" t="str">
        <f>"1-307-1"</f>
        <v>1-307-1</v>
      </c>
      <c r="F5586" t="s">
        <v>15</v>
      </c>
      <c r="G5586" t="s">
        <v>20</v>
      </c>
      <c r="H5586" t="s">
        <v>21</v>
      </c>
      <c r="I5586">
        <v>1</v>
      </c>
      <c r="J5586">
        <v>0</v>
      </c>
      <c r="K5586">
        <v>0</v>
      </c>
    </row>
    <row r="5587" spans="1:11" x14ac:dyDescent="0.25">
      <c r="A5587" t="str">
        <f>"7039"</f>
        <v>7039</v>
      </c>
      <c r="B5587" t="str">
        <f t="shared" si="367"/>
        <v>1</v>
      </c>
      <c r="C5587" t="str">
        <f t="shared" si="369"/>
        <v>307</v>
      </c>
      <c r="D5587" t="str">
        <f>"2"</f>
        <v>2</v>
      </c>
      <c r="E5587" t="str">
        <f>"1-307-2"</f>
        <v>1-307-2</v>
      </c>
      <c r="F5587" t="s">
        <v>15</v>
      </c>
      <c r="G5587" t="s">
        <v>20</v>
      </c>
      <c r="H5587" t="s">
        <v>21</v>
      </c>
      <c r="I5587">
        <v>1</v>
      </c>
      <c r="J5587">
        <v>0</v>
      </c>
      <c r="K5587">
        <v>0</v>
      </c>
    </row>
    <row r="5588" spans="1:11" x14ac:dyDescent="0.25">
      <c r="A5588" t="str">
        <f>"7040"</f>
        <v>7040</v>
      </c>
      <c r="B5588" t="str">
        <f t="shared" si="367"/>
        <v>1</v>
      </c>
      <c r="C5588" t="str">
        <f t="shared" si="369"/>
        <v>307</v>
      </c>
      <c r="D5588" t="str">
        <f>"20"</f>
        <v>20</v>
      </c>
      <c r="E5588" t="str">
        <f>"1-307-20"</f>
        <v>1-307-20</v>
      </c>
      <c r="F5588" t="s">
        <v>15</v>
      </c>
      <c r="G5588" t="s">
        <v>20</v>
      </c>
      <c r="H5588" t="s">
        <v>21</v>
      </c>
      <c r="I5588">
        <v>0</v>
      </c>
      <c r="J5588">
        <v>0</v>
      </c>
      <c r="K5588">
        <v>1</v>
      </c>
    </row>
    <row r="5589" spans="1:11" x14ac:dyDescent="0.25">
      <c r="A5589" t="str">
        <f>"7041"</f>
        <v>7041</v>
      </c>
      <c r="B5589" t="str">
        <f t="shared" si="367"/>
        <v>1</v>
      </c>
      <c r="C5589" t="str">
        <f t="shared" si="369"/>
        <v>307</v>
      </c>
      <c r="D5589" t="str">
        <f>"13"</f>
        <v>13</v>
      </c>
      <c r="E5589" t="str">
        <f>"1-307-13"</f>
        <v>1-307-13</v>
      </c>
      <c r="F5589" t="s">
        <v>15</v>
      </c>
      <c r="G5589" t="s">
        <v>20</v>
      </c>
      <c r="H5589" t="s">
        <v>21</v>
      </c>
      <c r="I5589">
        <v>0</v>
      </c>
      <c r="J5589">
        <v>1</v>
      </c>
      <c r="K5589">
        <v>0</v>
      </c>
    </row>
    <row r="5590" spans="1:11" x14ac:dyDescent="0.25">
      <c r="A5590" t="str">
        <f>"7042"</f>
        <v>7042</v>
      </c>
      <c r="B5590" t="str">
        <f t="shared" si="367"/>
        <v>1</v>
      </c>
      <c r="C5590" t="str">
        <f t="shared" si="369"/>
        <v>307</v>
      </c>
      <c r="D5590" t="str">
        <f>"14"</f>
        <v>14</v>
      </c>
      <c r="E5590" t="str">
        <f>"1-307-14"</f>
        <v>1-307-14</v>
      </c>
      <c r="F5590" t="s">
        <v>15</v>
      </c>
      <c r="G5590" t="s">
        <v>20</v>
      </c>
      <c r="H5590" t="s">
        <v>21</v>
      </c>
      <c r="I5590">
        <v>0</v>
      </c>
      <c r="J5590">
        <v>1</v>
      </c>
      <c r="K5590">
        <v>0</v>
      </c>
    </row>
    <row r="5591" spans="1:11" x14ac:dyDescent="0.25">
      <c r="A5591" t="str">
        <f>"7043"</f>
        <v>7043</v>
      </c>
      <c r="B5591" t="str">
        <f t="shared" si="367"/>
        <v>1</v>
      </c>
      <c r="C5591" t="str">
        <f t="shared" si="369"/>
        <v>307</v>
      </c>
      <c r="D5591" t="str">
        <f>"22"</f>
        <v>22</v>
      </c>
      <c r="E5591" t="str">
        <f>"1-307-22"</f>
        <v>1-307-22</v>
      </c>
      <c r="F5591" t="s">
        <v>15</v>
      </c>
      <c r="G5591" t="s">
        <v>20</v>
      </c>
      <c r="H5591" t="s">
        <v>21</v>
      </c>
      <c r="I5591">
        <v>1</v>
      </c>
      <c r="J5591">
        <v>0</v>
      </c>
      <c r="K5591">
        <v>0</v>
      </c>
    </row>
    <row r="5592" spans="1:11" x14ac:dyDescent="0.25">
      <c r="A5592" t="str">
        <f>"7044"</f>
        <v>7044</v>
      </c>
      <c r="B5592" t="str">
        <f t="shared" si="367"/>
        <v>1</v>
      </c>
      <c r="C5592" t="str">
        <f t="shared" si="369"/>
        <v>307</v>
      </c>
      <c r="D5592" t="str">
        <f>"9"</f>
        <v>9</v>
      </c>
      <c r="E5592" t="str">
        <f>"1-307-9"</f>
        <v>1-307-9</v>
      </c>
      <c r="F5592" t="s">
        <v>15</v>
      </c>
      <c r="G5592" t="s">
        <v>20</v>
      </c>
      <c r="H5592" t="s">
        <v>21</v>
      </c>
      <c r="I5592">
        <v>1</v>
      </c>
      <c r="J5592">
        <v>0</v>
      </c>
      <c r="K5592">
        <v>0</v>
      </c>
    </row>
    <row r="5593" spans="1:11" x14ac:dyDescent="0.25">
      <c r="A5593" t="str">
        <f>"7045"</f>
        <v>7045</v>
      </c>
      <c r="B5593" t="str">
        <f t="shared" si="367"/>
        <v>1</v>
      </c>
      <c r="C5593" t="str">
        <f t="shared" si="369"/>
        <v>307</v>
      </c>
      <c r="D5593" t="str">
        <f>"23"</f>
        <v>23</v>
      </c>
      <c r="E5593" t="str">
        <f>"1-307-23"</f>
        <v>1-307-23</v>
      </c>
      <c r="F5593" t="s">
        <v>15</v>
      </c>
      <c r="G5593" t="s">
        <v>20</v>
      </c>
      <c r="H5593" t="s">
        <v>21</v>
      </c>
      <c r="I5593">
        <v>0</v>
      </c>
      <c r="J5593">
        <v>1</v>
      </c>
      <c r="K5593">
        <v>0</v>
      </c>
    </row>
    <row r="5594" spans="1:11" x14ac:dyDescent="0.25">
      <c r="A5594" t="str">
        <f>"7046"</f>
        <v>7046</v>
      </c>
      <c r="B5594" t="str">
        <f t="shared" si="367"/>
        <v>1</v>
      </c>
      <c r="C5594" t="str">
        <f t="shared" si="369"/>
        <v>307</v>
      </c>
      <c r="D5594" t="str">
        <f>"8"</f>
        <v>8</v>
      </c>
      <c r="E5594" t="str">
        <f>"1-307-8"</f>
        <v>1-307-8</v>
      </c>
      <c r="F5594" t="s">
        <v>15</v>
      </c>
      <c r="G5594" t="s">
        <v>20</v>
      </c>
      <c r="H5594" t="s">
        <v>21</v>
      </c>
      <c r="I5594">
        <v>1</v>
      </c>
      <c r="J5594">
        <v>0</v>
      </c>
      <c r="K5594">
        <v>0</v>
      </c>
    </row>
    <row r="5595" spans="1:11" x14ac:dyDescent="0.25">
      <c r="A5595" t="str">
        <f>"7047"</f>
        <v>7047</v>
      </c>
      <c r="B5595" t="str">
        <f t="shared" si="367"/>
        <v>1</v>
      </c>
      <c r="C5595" t="str">
        <f t="shared" si="369"/>
        <v>307</v>
      </c>
      <c r="D5595" t="str">
        <f>"6"</f>
        <v>6</v>
      </c>
      <c r="E5595" t="str">
        <f>"1-307-6"</f>
        <v>1-307-6</v>
      </c>
      <c r="F5595" t="s">
        <v>15</v>
      </c>
      <c r="G5595" t="s">
        <v>20</v>
      </c>
      <c r="H5595" t="s">
        <v>21</v>
      </c>
      <c r="I5595">
        <v>1</v>
      </c>
      <c r="J5595">
        <v>0</v>
      </c>
      <c r="K5595">
        <v>0</v>
      </c>
    </row>
    <row r="5596" spans="1:11" x14ac:dyDescent="0.25">
      <c r="A5596" t="str">
        <f>"7048"</f>
        <v>7048</v>
      </c>
      <c r="B5596" t="str">
        <f t="shared" si="367"/>
        <v>1</v>
      </c>
      <c r="C5596" t="str">
        <f t="shared" si="369"/>
        <v>307</v>
      </c>
      <c r="D5596" t="str">
        <f>"11"</f>
        <v>11</v>
      </c>
      <c r="E5596" t="str">
        <f>"1-307-11"</f>
        <v>1-307-11</v>
      </c>
      <c r="F5596" t="s">
        <v>15</v>
      </c>
      <c r="G5596" t="s">
        <v>20</v>
      </c>
      <c r="H5596" t="s">
        <v>21</v>
      </c>
      <c r="I5596">
        <v>0</v>
      </c>
      <c r="J5596">
        <v>1</v>
      </c>
      <c r="K5596">
        <v>0</v>
      </c>
    </row>
    <row r="5597" spans="1:11" x14ac:dyDescent="0.25">
      <c r="A5597" t="str">
        <f>"7049"</f>
        <v>7049</v>
      </c>
      <c r="B5597" t="str">
        <f t="shared" si="367"/>
        <v>1</v>
      </c>
      <c r="C5597" t="str">
        <f t="shared" si="369"/>
        <v>307</v>
      </c>
      <c r="D5597" t="str">
        <f>"12"</f>
        <v>12</v>
      </c>
      <c r="E5597" t="str">
        <f>"1-307-12"</f>
        <v>1-307-12</v>
      </c>
      <c r="F5597" t="s">
        <v>15</v>
      </c>
      <c r="G5597" t="s">
        <v>20</v>
      </c>
      <c r="H5597" t="s">
        <v>21</v>
      </c>
      <c r="I5597">
        <v>0</v>
      </c>
      <c r="J5597">
        <v>1</v>
      </c>
      <c r="K5597">
        <v>0</v>
      </c>
    </row>
    <row r="5598" spans="1:11" x14ac:dyDescent="0.25">
      <c r="A5598" t="str">
        <f>"7050"</f>
        <v>7050</v>
      </c>
      <c r="B5598" t="str">
        <f t="shared" si="367"/>
        <v>1</v>
      </c>
      <c r="C5598" t="str">
        <f t="shared" si="369"/>
        <v>307</v>
      </c>
      <c r="D5598" t="str">
        <f>"5"</f>
        <v>5</v>
      </c>
      <c r="E5598" t="str">
        <f>"1-307-5"</f>
        <v>1-307-5</v>
      </c>
      <c r="F5598" t="s">
        <v>15</v>
      </c>
      <c r="G5598" t="s">
        <v>20</v>
      </c>
      <c r="H5598" t="s">
        <v>21</v>
      </c>
      <c r="I5598">
        <v>1</v>
      </c>
      <c r="J5598">
        <v>0</v>
      </c>
      <c r="K5598">
        <v>0</v>
      </c>
    </row>
    <row r="5599" spans="1:11" x14ac:dyDescent="0.25">
      <c r="A5599" t="str">
        <f>"7051"</f>
        <v>7051</v>
      </c>
      <c r="B5599" t="str">
        <f t="shared" si="367"/>
        <v>1</v>
      </c>
      <c r="C5599" t="str">
        <f t="shared" si="369"/>
        <v>307</v>
      </c>
      <c r="D5599" t="str">
        <f>"10"</f>
        <v>10</v>
      </c>
      <c r="E5599" t="str">
        <f>"1-307-10"</f>
        <v>1-307-10</v>
      </c>
      <c r="F5599" t="s">
        <v>15</v>
      </c>
      <c r="G5599" t="s">
        <v>20</v>
      </c>
      <c r="H5599" t="s">
        <v>21</v>
      </c>
      <c r="I5599">
        <v>0</v>
      </c>
      <c r="J5599">
        <v>1</v>
      </c>
      <c r="K5599">
        <v>0</v>
      </c>
    </row>
    <row r="5600" spans="1:11" x14ac:dyDescent="0.25">
      <c r="A5600" t="str">
        <f>"7052"</f>
        <v>7052</v>
      </c>
      <c r="B5600" t="str">
        <f t="shared" si="367"/>
        <v>1</v>
      </c>
      <c r="C5600" t="str">
        <f t="shared" si="369"/>
        <v>307</v>
      </c>
      <c r="D5600" t="str">
        <f>"7"</f>
        <v>7</v>
      </c>
      <c r="E5600" t="str">
        <f>"1-307-7"</f>
        <v>1-307-7</v>
      </c>
      <c r="F5600" t="s">
        <v>15</v>
      </c>
      <c r="G5600" t="s">
        <v>20</v>
      </c>
      <c r="H5600" t="s">
        <v>21</v>
      </c>
      <c r="I5600">
        <v>1</v>
      </c>
      <c r="J5600">
        <v>0</v>
      </c>
      <c r="K5600">
        <v>0</v>
      </c>
    </row>
    <row r="5601" spans="1:11" x14ac:dyDescent="0.25">
      <c r="A5601" t="str">
        <f>"7053"</f>
        <v>7053</v>
      </c>
      <c r="B5601" t="str">
        <f t="shared" si="367"/>
        <v>1</v>
      </c>
      <c r="C5601" t="str">
        <f t="shared" si="369"/>
        <v>307</v>
      </c>
      <c r="D5601" t="str">
        <f>"19"</f>
        <v>19</v>
      </c>
      <c r="E5601" t="str">
        <f>"1-307-19"</f>
        <v>1-307-19</v>
      </c>
      <c r="F5601" t="s">
        <v>15</v>
      </c>
      <c r="G5601" t="s">
        <v>20</v>
      </c>
      <c r="H5601" t="s">
        <v>21</v>
      </c>
      <c r="I5601">
        <v>0</v>
      </c>
      <c r="J5601">
        <v>0</v>
      </c>
      <c r="K5601">
        <v>0</v>
      </c>
    </row>
    <row r="5602" spans="1:11" x14ac:dyDescent="0.25">
      <c r="A5602" t="str">
        <f>"7054"</f>
        <v>7054</v>
      </c>
      <c r="B5602" t="str">
        <f t="shared" si="367"/>
        <v>1</v>
      </c>
      <c r="C5602" t="str">
        <f t="shared" si="369"/>
        <v>307</v>
      </c>
      <c r="D5602" t="str">
        <f>"21"</f>
        <v>21</v>
      </c>
      <c r="E5602" t="str">
        <f>"1-307-21"</f>
        <v>1-307-21</v>
      </c>
      <c r="F5602" t="s">
        <v>15</v>
      </c>
      <c r="G5602" t="s">
        <v>20</v>
      </c>
      <c r="H5602" t="s">
        <v>21</v>
      </c>
      <c r="I5602">
        <v>0</v>
      </c>
      <c r="J5602">
        <v>0</v>
      </c>
      <c r="K5602">
        <v>0</v>
      </c>
    </row>
    <row r="5603" spans="1:11" x14ac:dyDescent="0.25">
      <c r="A5603" t="str">
        <f>"7055"</f>
        <v>7055</v>
      </c>
      <c r="B5603" t="str">
        <f t="shared" si="367"/>
        <v>1</v>
      </c>
      <c r="C5603" t="str">
        <f t="shared" si="369"/>
        <v>307</v>
      </c>
      <c r="D5603" t="str">
        <f>"24"</f>
        <v>24</v>
      </c>
      <c r="E5603" t="str">
        <f>"1-307-24"</f>
        <v>1-307-24</v>
      </c>
      <c r="F5603" t="s">
        <v>15</v>
      </c>
      <c r="G5603" t="s">
        <v>20</v>
      </c>
      <c r="H5603" t="s">
        <v>21</v>
      </c>
      <c r="I5603">
        <v>0</v>
      </c>
      <c r="J5603">
        <v>0</v>
      </c>
      <c r="K5603">
        <v>0</v>
      </c>
    </row>
    <row r="5604" spans="1:11" x14ac:dyDescent="0.25">
      <c r="A5604" t="str">
        <f>"7056"</f>
        <v>7056</v>
      </c>
      <c r="B5604" t="str">
        <f t="shared" si="367"/>
        <v>1</v>
      </c>
      <c r="C5604" t="str">
        <f t="shared" si="369"/>
        <v>307</v>
      </c>
      <c r="D5604" t="str">
        <f>"18"</f>
        <v>18</v>
      </c>
      <c r="E5604" t="str">
        <f>"1-307-18"</f>
        <v>1-307-18</v>
      </c>
      <c r="F5604" t="s">
        <v>15</v>
      </c>
      <c r="G5604" t="s">
        <v>20</v>
      </c>
      <c r="H5604" t="s">
        <v>21</v>
      </c>
      <c r="I5604">
        <v>0</v>
      </c>
      <c r="J5604">
        <v>0</v>
      </c>
      <c r="K5604">
        <v>0</v>
      </c>
    </row>
    <row r="5605" spans="1:11" x14ac:dyDescent="0.25">
      <c r="A5605" t="str">
        <f>"7057"</f>
        <v>7057</v>
      </c>
      <c r="B5605" t="str">
        <f t="shared" si="367"/>
        <v>1</v>
      </c>
      <c r="C5605" t="str">
        <f t="shared" ref="C5605:C5633" si="370">"308"</f>
        <v>308</v>
      </c>
      <c r="D5605" t="str">
        <f>"21"</f>
        <v>21</v>
      </c>
      <c r="E5605" t="str">
        <f>"1-308-21"</f>
        <v>1-308-21</v>
      </c>
      <c r="F5605" t="s">
        <v>15</v>
      </c>
      <c r="G5605" t="s">
        <v>16</v>
      </c>
      <c r="H5605" t="s">
        <v>17</v>
      </c>
      <c r="I5605">
        <v>0</v>
      </c>
      <c r="J5605">
        <v>1</v>
      </c>
      <c r="K5605">
        <v>0</v>
      </c>
    </row>
    <row r="5606" spans="1:11" x14ac:dyDescent="0.25">
      <c r="A5606" t="str">
        <f>"7058"</f>
        <v>7058</v>
      </c>
      <c r="B5606" t="str">
        <f t="shared" si="367"/>
        <v>1</v>
      </c>
      <c r="C5606" t="str">
        <f t="shared" si="370"/>
        <v>308</v>
      </c>
      <c r="D5606" t="str">
        <f>"17"</f>
        <v>17</v>
      </c>
      <c r="E5606" t="str">
        <f>"1-308-17"</f>
        <v>1-308-17</v>
      </c>
      <c r="F5606" t="s">
        <v>15</v>
      </c>
      <c r="G5606" t="s">
        <v>16</v>
      </c>
      <c r="H5606" t="s">
        <v>17</v>
      </c>
      <c r="I5606">
        <v>0</v>
      </c>
      <c r="J5606">
        <v>1</v>
      </c>
      <c r="K5606">
        <v>0</v>
      </c>
    </row>
    <row r="5607" spans="1:11" x14ac:dyDescent="0.25">
      <c r="A5607" t="str">
        <f>"7059"</f>
        <v>7059</v>
      </c>
      <c r="B5607" t="str">
        <f t="shared" si="367"/>
        <v>1</v>
      </c>
      <c r="C5607" t="str">
        <f t="shared" si="370"/>
        <v>308</v>
      </c>
      <c r="D5607" t="str">
        <f>"15"</f>
        <v>15</v>
      </c>
      <c r="E5607" t="str">
        <f>"1-308-15"</f>
        <v>1-308-15</v>
      </c>
      <c r="F5607" t="s">
        <v>15</v>
      </c>
      <c r="G5607" t="s">
        <v>16</v>
      </c>
      <c r="H5607" t="s">
        <v>17</v>
      </c>
      <c r="I5607">
        <v>0</v>
      </c>
      <c r="J5607">
        <v>0</v>
      </c>
      <c r="K5607">
        <v>1</v>
      </c>
    </row>
    <row r="5608" spans="1:11" x14ac:dyDescent="0.25">
      <c r="A5608" t="str">
        <f>"7060"</f>
        <v>7060</v>
      </c>
      <c r="B5608" t="str">
        <f t="shared" si="367"/>
        <v>1</v>
      </c>
      <c r="C5608" t="str">
        <f t="shared" si="370"/>
        <v>308</v>
      </c>
      <c r="D5608" t="str">
        <f>"6"</f>
        <v>6</v>
      </c>
      <c r="E5608" t="str">
        <f>"1-308-6"</f>
        <v>1-308-6</v>
      </c>
      <c r="F5608" t="s">
        <v>15</v>
      </c>
      <c r="G5608" t="s">
        <v>16</v>
      </c>
      <c r="H5608" t="s">
        <v>17</v>
      </c>
      <c r="I5608">
        <v>1</v>
      </c>
      <c r="J5608">
        <v>0</v>
      </c>
      <c r="K5608">
        <v>0</v>
      </c>
    </row>
    <row r="5609" spans="1:11" x14ac:dyDescent="0.25">
      <c r="A5609" t="str">
        <f>"7061"</f>
        <v>7061</v>
      </c>
      <c r="B5609" t="str">
        <f t="shared" si="367"/>
        <v>1</v>
      </c>
      <c r="C5609" t="str">
        <f t="shared" si="370"/>
        <v>308</v>
      </c>
      <c r="D5609" t="str">
        <f>"25"</f>
        <v>25</v>
      </c>
      <c r="E5609" t="str">
        <f>"1-308-25"</f>
        <v>1-308-25</v>
      </c>
      <c r="F5609" t="s">
        <v>15</v>
      </c>
      <c r="G5609" t="s">
        <v>18</v>
      </c>
      <c r="H5609" t="s">
        <v>19</v>
      </c>
      <c r="I5609">
        <v>0</v>
      </c>
      <c r="J5609">
        <v>1</v>
      </c>
      <c r="K5609">
        <v>0</v>
      </c>
    </row>
    <row r="5610" spans="1:11" x14ac:dyDescent="0.25">
      <c r="A5610" t="str">
        <f>"7062"</f>
        <v>7062</v>
      </c>
      <c r="B5610" t="str">
        <f t="shared" si="367"/>
        <v>1</v>
      </c>
      <c r="C5610" t="str">
        <f t="shared" si="370"/>
        <v>308</v>
      </c>
      <c r="D5610" t="str">
        <f>"16"</f>
        <v>16</v>
      </c>
      <c r="E5610" t="str">
        <f>"1-308-16"</f>
        <v>1-308-16</v>
      </c>
      <c r="F5610" t="s">
        <v>15</v>
      </c>
      <c r="G5610" t="s">
        <v>16</v>
      </c>
      <c r="H5610" t="s">
        <v>17</v>
      </c>
      <c r="I5610">
        <v>0</v>
      </c>
      <c r="J5610">
        <v>0</v>
      </c>
      <c r="K5610">
        <v>1</v>
      </c>
    </row>
    <row r="5611" spans="1:11" x14ac:dyDescent="0.25">
      <c r="A5611" t="str">
        <f>"7063"</f>
        <v>7063</v>
      </c>
      <c r="B5611" t="str">
        <f t="shared" si="367"/>
        <v>1</v>
      </c>
      <c r="C5611" t="str">
        <f t="shared" si="370"/>
        <v>308</v>
      </c>
      <c r="D5611" t="str">
        <f>"3"</f>
        <v>3</v>
      </c>
      <c r="E5611" t="str">
        <f>"1-308-3"</f>
        <v>1-308-3</v>
      </c>
      <c r="F5611" t="s">
        <v>15</v>
      </c>
      <c r="G5611" t="s">
        <v>18</v>
      </c>
      <c r="H5611" t="s">
        <v>19</v>
      </c>
      <c r="I5611">
        <v>1</v>
      </c>
      <c r="J5611">
        <v>0</v>
      </c>
      <c r="K5611">
        <v>0</v>
      </c>
    </row>
    <row r="5612" spans="1:11" x14ac:dyDescent="0.25">
      <c r="A5612" t="str">
        <f>"7064"</f>
        <v>7064</v>
      </c>
      <c r="B5612" t="str">
        <f t="shared" si="367"/>
        <v>1</v>
      </c>
      <c r="C5612" t="str">
        <f t="shared" si="370"/>
        <v>308</v>
      </c>
      <c r="D5612" t="str">
        <f>"18"</f>
        <v>18</v>
      </c>
      <c r="E5612" t="str">
        <f>"1-308-18"</f>
        <v>1-308-18</v>
      </c>
      <c r="F5612" t="s">
        <v>15</v>
      </c>
      <c r="G5612" t="s">
        <v>16</v>
      </c>
      <c r="H5612" t="s">
        <v>17</v>
      </c>
      <c r="I5612">
        <v>0</v>
      </c>
      <c r="J5612">
        <v>0</v>
      </c>
      <c r="K5612">
        <v>1</v>
      </c>
    </row>
    <row r="5613" spans="1:11" x14ac:dyDescent="0.25">
      <c r="A5613" t="str">
        <f>"7065"</f>
        <v>7065</v>
      </c>
      <c r="B5613" t="str">
        <f t="shared" si="367"/>
        <v>1</v>
      </c>
      <c r="C5613" t="str">
        <f t="shared" si="370"/>
        <v>308</v>
      </c>
      <c r="D5613" t="str">
        <f>"11"</f>
        <v>11</v>
      </c>
      <c r="E5613" t="str">
        <f>"1-308-11"</f>
        <v>1-308-11</v>
      </c>
      <c r="F5613" t="s">
        <v>15</v>
      </c>
      <c r="G5613" t="s">
        <v>16</v>
      </c>
      <c r="H5613" t="s">
        <v>17</v>
      </c>
      <c r="I5613">
        <v>1</v>
      </c>
      <c r="J5613">
        <v>0</v>
      </c>
      <c r="K5613">
        <v>0</v>
      </c>
    </row>
    <row r="5614" spans="1:11" x14ac:dyDescent="0.25">
      <c r="A5614" t="str">
        <f>"7066"</f>
        <v>7066</v>
      </c>
      <c r="B5614" t="str">
        <f t="shared" ref="B5614:B5677" si="371">"1"</f>
        <v>1</v>
      </c>
      <c r="C5614" t="str">
        <f t="shared" si="370"/>
        <v>308</v>
      </c>
      <c r="D5614" t="str">
        <f>"2"</f>
        <v>2</v>
      </c>
      <c r="E5614" t="str">
        <f>"1-308-2"</f>
        <v>1-308-2</v>
      </c>
      <c r="F5614" t="s">
        <v>15</v>
      </c>
      <c r="G5614" t="s">
        <v>18</v>
      </c>
      <c r="H5614" t="s">
        <v>19</v>
      </c>
      <c r="I5614">
        <v>1</v>
      </c>
      <c r="J5614">
        <v>0</v>
      </c>
      <c r="K5614">
        <v>0</v>
      </c>
    </row>
    <row r="5615" spans="1:11" x14ac:dyDescent="0.25">
      <c r="A5615" t="str">
        <f>"7067"</f>
        <v>7067</v>
      </c>
      <c r="B5615" t="str">
        <f t="shared" si="371"/>
        <v>1</v>
      </c>
      <c r="C5615" t="str">
        <f t="shared" si="370"/>
        <v>308</v>
      </c>
      <c r="D5615" t="str">
        <f>"20"</f>
        <v>20</v>
      </c>
      <c r="E5615" t="str">
        <f>"1-308-20"</f>
        <v>1-308-20</v>
      </c>
      <c r="F5615" t="s">
        <v>15</v>
      </c>
      <c r="G5615" t="s">
        <v>16</v>
      </c>
      <c r="H5615" t="s">
        <v>17</v>
      </c>
      <c r="I5615">
        <v>0</v>
      </c>
      <c r="J5615">
        <v>1</v>
      </c>
      <c r="K5615">
        <v>0</v>
      </c>
    </row>
    <row r="5616" spans="1:11" x14ac:dyDescent="0.25">
      <c r="A5616" t="str">
        <f>"7068"</f>
        <v>7068</v>
      </c>
      <c r="B5616" t="str">
        <f t="shared" si="371"/>
        <v>1</v>
      </c>
      <c r="C5616" t="str">
        <f t="shared" si="370"/>
        <v>308</v>
      </c>
      <c r="D5616" t="str">
        <f>"9"</f>
        <v>9</v>
      </c>
      <c r="E5616" t="str">
        <f>"1-308-9"</f>
        <v>1-308-9</v>
      </c>
      <c r="F5616" t="s">
        <v>15</v>
      </c>
      <c r="G5616" t="s">
        <v>18</v>
      </c>
      <c r="H5616" t="s">
        <v>19</v>
      </c>
      <c r="I5616">
        <v>0</v>
      </c>
      <c r="J5616">
        <v>0</v>
      </c>
      <c r="K5616">
        <v>1</v>
      </c>
    </row>
    <row r="5617" spans="1:11" x14ac:dyDescent="0.25">
      <c r="A5617" t="str">
        <f>"7069"</f>
        <v>7069</v>
      </c>
      <c r="B5617" t="str">
        <f t="shared" si="371"/>
        <v>1</v>
      </c>
      <c r="C5617" t="str">
        <f t="shared" si="370"/>
        <v>308</v>
      </c>
      <c r="D5617" t="str">
        <f>"23"</f>
        <v>23</v>
      </c>
      <c r="E5617" t="str">
        <f>"1-308-23"</f>
        <v>1-308-23</v>
      </c>
      <c r="F5617" t="s">
        <v>15</v>
      </c>
      <c r="G5617" t="s">
        <v>16</v>
      </c>
      <c r="H5617" t="s">
        <v>17</v>
      </c>
      <c r="I5617">
        <v>1</v>
      </c>
      <c r="J5617">
        <v>0</v>
      </c>
      <c r="K5617">
        <v>0</v>
      </c>
    </row>
    <row r="5618" spans="1:11" x14ac:dyDescent="0.25">
      <c r="A5618" t="str">
        <f>"7070"</f>
        <v>7070</v>
      </c>
      <c r="B5618" t="str">
        <f t="shared" si="371"/>
        <v>1</v>
      </c>
      <c r="C5618" t="str">
        <f t="shared" si="370"/>
        <v>308</v>
      </c>
      <c r="D5618" t="str">
        <f>"13"</f>
        <v>13</v>
      </c>
      <c r="E5618" t="str">
        <f>"1-308-13"</f>
        <v>1-308-13</v>
      </c>
      <c r="F5618" t="s">
        <v>15</v>
      </c>
      <c r="G5618" t="s">
        <v>16</v>
      </c>
      <c r="H5618" t="s">
        <v>17</v>
      </c>
      <c r="I5618">
        <v>1</v>
      </c>
      <c r="J5618">
        <v>0</v>
      </c>
      <c r="K5618">
        <v>0</v>
      </c>
    </row>
    <row r="5619" spans="1:11" x14ac:dyDescent="0.25">
      <c r="A5619" t="str">
        <f>"7071"</f>
        <v>7071</v>
      </c>
      <c r="B5619" t="str">
        <f t="shared" si="371"/>
        <v>1</v>
      </c>
      <c r="C5619" t="str">
        <f t="shared" si="370"/>
        <v>308</v>
      </c>
      <c r="D5619" t="str">
        <f>"24"</f>
        <v>24</v>
      </c>
      <c r="E5619" t="str">
        <f>"1-308-24"</f>
        <v>1-308-24</v>
      </c>
      <c r="F5619" t="s">
        <v>15</v>
      </c>
      <c r="G5619" t="s">
        <v>16</v>
      </c>
      <c r="H5619" t="s">
        <v>17</v>
      </c>
      <c r="I5619">
        <v>1</v>
      </c>
      <c r="J5619">
        <v>0</v>
      </c>
      <c r="K5619">
        <v>0</v>
      </c>
    </row>
    <row r="5620" spans="1:11" x14ac:dyDescent="0.25">
      <c r="A5620" t="str">
        <f>"7072"</f>
        <v>7072</v>
      </c>
      <c r="B5620" t="str">
        <f t="shared" si="371"/>
        <v>1</v>
      </c>
      <c r="C5620" t="str">
        <f t="shared" si="370"/>
        <v>308</v>
      </c>
      <c r="D5620" t="str">
        <f>"14"</f>
        <v>14</v>
      </c>
      <c r="E5620" t="str">
        <f>"1-308-14"</f>
        <v>1-308-14</v>
      </c>
      <c r="F5620" t="s">
        <v>15</v>
      </c>
      <c r="G5620" t="s">
        <v>16</v>
      </c>
      <c r="H5620" t="s">
        <v>17</v>
      </c>
      <c r="I5620">
        <v>1</v>
      </c>
      <c r="J5620">
        <v>0</v>
      </c>
      <c r="K5620">
        <v>0</v>
      </c>
    </row>
    <row r="5621" spans="1:11" x14ac:dyDescent="0.25">
      <c r="A5621" t="str">
        <f>"7073"</f>
        <v>7073</v>
      </c>
      <c r="B5621" t="str">
        <f t="shared" si="371"/>
        <v>1</v>
      </c>
      <c r="C5621" t="str">
        <f t="shared" si="370"/>
        <v>308</v>
      </c>
      <c r="D5621" t="str">
        <f>"26"</f>
        <v>26</v>
      </c>
      <c r="E5621" t="str">
        <f>"1-308-26"</f>
        <v>1-308-26</v>
      </c>
      <c r="F5621" t="s">
        <v>15</v>
      </c>
      <c r="G5621" t="s">
        <v>18</v>
      </c>
      <c r="H5621" t="s">
        <v>19</v>
      </c>
      <c r="I5621">
        <v>0</v>
      </c>
      <c r="J5621">
        <v>0</v>
      </c>
      <c r="K5621">
        <v>1</v>
      </c>
    </row>
    <row r="5622" spans="1:11" x14ac:dyDescent="0.25">
      <c r="A5622" t="str">
        <f>"7074"</f>
        <v>7074</v>
      </c>
      <c r="B5622" t="str">
        <f t="shared" si="371"/>
        <v>1</v>
      </c>
      <c r="C5622" t="str">
        <f t="shared" si="370"/>
        <v>308</v>
      </c>
      <c r="D5622" t="str">
        <f>"27"</f>
        <v>27</v>
      </c>
      <c r="E5622" t="str">
        <f>"1-308-27"</f>
        <v>1-308-27</v>
      </c>
      <c r="F5622" t="s">
        <v>15</v>
      </c>
      <c r="G5622" t="s">
        <v>16</v>
      </c>
      <c r="H5622" t="s">
        <v>17</v>
      </c>
      <c r="I5622">
        <v>1</v>
      </c>
      <c r="J5622">
        <v>0</v>
      </c>
      <c r="K5622">
        <v>0</v>
      </c>
    </row>
    <row r="5623" spans="1:11" x14ac:dyDescent="0.25">
      <c r="A5623" t="str">
        <f>"7075"</f>
        <v>7075</v>
      </c>
      <c r="B5623" t="str">
        <f t="shared" si="371"/>
        <v>1</v>
      </c>
      <c r="C5623" t="str">
        <f t="shared" si="370"/>
        <v>308</v>
      </c>
      <c r="D5623" t="str">
        <f>"8"</f>
        <v>8</v>
      </c>
      <c r="E5623" t="str">
        <f>"1-308-8"</f>
        <v>1-308-8</v>
      </c>
      <c r="F5623" t="s">
        <v>15</v>
      </c>
      <c r="G5623" t="s">
        <v>16</v>
      </c>
      <c r="H5623" t="s">
        <v>17</v>
      </c>
      <c r="I5623">
        <v>1</v>
      </c>
      <c r="J5623">
        <v>0</v>
      </c>
      <c r="K5623">
        <v>0</v>
      </c>
    </row>
    <row r="5624" spans="1:11" x14ac:dyDescent="0.25">
      <c r="A5624" t="str">
        <f>"7076"</f>
        <v>7076</v>
      </c>
      <c r="B5624" t="str">
        <f t="shared" si="371"/>
        <v>1</v>
      </c>
      <c r="C5624" t="str">
        <f t="shared" si="370"/>
        <v>308</v>
      </c>
      <c r="D5624" t="str">
        <f>"28"</f>
        <v>28</v>
      </c>
      <c r="E5624" t="str">
        <f>"1-308-28"</f>
        <v>1-308-28</v>
      </c>
      <c r="F5624" t="s">
        <v>15</v>
      </c>
      <c r="G5624" t="s">
        <v>16</v>
      </c>
      <c r="H5624" t="s">
        <v>17</v>
      </c>
      <c r="I5624">
        <v>1</v>
      </c>
      <c r="J5624">
        <v>0</v>
      </c>
      <c r="K5624">
        <v>0</v>
      </c>
    </row>
    <row r="5625" spans="1:11" x14ac:dyDescent="0.25">
      <c r="A5625" t="str">
        <f>"7077"</f>
        <v>7077</v>
      </c>
      <c r="B5625" t="str">
        <f t="shared" si="371"/>
        <v>1</v>
      </c>
      <c r="C5625" t="str">
        <f t="shared" si="370"/>
        <v>308</v>
      </c>
      <c r="D5625" t="str">
        <f>"12"</f>
        <v>12</v>
      </c>
      <c r="E5625" t="str">
        <f>"1-308-12"</f>
        <v>1-308-12</v>
      </c>
      <c r="F5625" t="s">
        <v>15</v>
      </c>
      <c r="G5625" t="s">
        <v>16</v>
      </c>
      <c r="H5625" t="s">
        <v>17</v>
      </c>
      <c r="I5625">
        <v>1</v>
      </c>
      <c r="J5625">
        <v>0</v>
      </c>
      <c r="K5625">
        <v>0</v>
      </c>
    </row>
    <row r="5626" spans="1:11" x14ac:dyDescent="0.25">
      <c r="A5626" t="str">
        <f>"7078"</f>
        <v>7078</v>
      </c>
      <c r="B5626" t="str">
        <f t="shared" si="371"/>
        <v>1</v>
      </c>
      <c r="C5626" t="str">
        <f t="shared" si="370"/>
        <v>308</v>
      </c>
      <c r="D5626" t="str">
        <f>"29"</f>
        <v>29</v>
      </c>
      <c r="E5626" t="str">
        <f>"1-308-29"</f>
        <v>1-308-29</v>
      </c>
      <c r="F5626" t="s">
        <v>15</v>
      </c>
      <c r="G5626" t="s">
        <v>16</v>
      </c>
      <c r="H5626" t="s">
        <v>17</v>
      </c>
      <c r="I5626">
        <v>1</v>
      </c>
      <c r="J5626">
        <v>0</v>
      </c>
      <c r="K5626">
        <v>0</v>
      </c>
    </row>
    <row r="5627" spans="1:11" x14ac:dyDescent="0.25">
      <c r="A5627" t="str">
        <f>"7079"</f>
        <v>7079</v>
      </c>
      <c r="B5627" t="str">
        <f t="shared" si="371"/>
        <v>1</v>
      </c>
      <c r="C5627" t="str">
        <f t="shared" si="370"/>
        <v>308</v>
      </c>
      <c r="D5627" t="str">
        <f>"4"</f>
        <v>4</v>
      </c>
      <c r="E5627" t="str">
        <f>"1-308-4"</f>
        <v>1-308-4</v>
      </c>
      <c r="F5627" t="s">
        <v>15</v>
      </c>
      <c r="G5627" t="s">
        <v>20</v>
      </c>
      <c r="H5627" t="s">
        <v>21</v>
      </c>
      <c r="I5627">
        <v>0</v>
      </c>
      <c r="J5627">
        <v>0</v>
      </c>
      <c r="K5627">
        <v>1</v>
      </c>
    </row>
    <row r="5628" spans="1:11" x14ac:dyDescent="0.25">
      <c r="A5628" t="str">
        <f>"7080"</f>
        <v>7080</v>
      </c>
      <c r="B5628" t="str">
        <f t="shared" si="371"/>
        <v>1</v>
      </c>
      <c r="C5628" t="str">
        <f t="shared" si="370"/>
        <v>308</v>
      </c>
      <c r="D5628" t="str">
        <f>"5"</f>
        <v>5</v>
      </c>
      <c r="E5628" t="str">
        <f>"1-308-5"</f>
        <v>1-308-5</v>
      </c>
      <c r="F5628" t="s">
        <v>15</v>
      </c>
      <c r="G5628" t="s">
        <v>16</v>
      </c>
      <c r="H5628" t="s">
        <v>17</v>
      </c>
      <c r="I5628">
        <v>1</v>
      </c>
      <c r="J5628">
        <v>0</v>
      </c>
      <c r="K5628">
        <v>0</v>
      </c>
    </row>
    <row r="5629" spans="1:11" x14ac:dyDescent="0.25">
      <c r="A5629" t="str">
        <f>"7081"</f>
        <v>7081</v>
      </c>
      <c r="B5629" t="str">
        <f t="shared" si="371"/>
        <v>1</v>
      </c>
      <c r="C5629" t="str">
        <f t="shared" si="370"/>
        <v>308</v>
      </c>
      <c r="D5629" t="str">
        <f>"1"</f>
        <v>1</v>
      </c>
      <c r="E5629" t="str">
        <f>"1-308-1"</f>
        <v>1-308-1</v>
      </c>
      <c r="F5629" t="s">
        <v>15</v>
      </c>
      <c r="G5629" t="s">
        <v>16</v>
      </c>
      <c r="H5629" t="s">
        <v>17</v>
      </c>
      <c r="I5629">
        <v>1</v>
      </c>
      <c r="J5629">
        <v>0</v>
      </c>
      <c r="K5629">
        <v>0</v>
      </c>
    </row>
    <row r="5630" spans="1:11" x14ac:dyDescent="0.25">
      <c r="A5630" t="str">
        <f>"7082"</f>
        <v>7082</v>
      </c>
      <c r="B5630" t="str">
        <f t="shared" si="371"/>
        <v>1</v>
      </c>
      <c r="C5630" t="str">
        <f t="shared" si="370"/>
        <v>308</v>
      </c>
      <c r="D5630" t="str">
        <f>"10"</f>
        <v>10</v>
      </c>
      <c r="E5630" t="str">
        <f>"1-308-10"</f>
        <v>1-308-10</v>
      </c>
      <c r="F5630" t="s">
        <v>15</v>
      </c>
      <c r="G5630" t="s">
        <v>16</v>
      </c>
      <c r="H5630" t="s">
        <v>17</v>
      </c>
      <c r="I5630">
        <v>0</v>
      </c>
      <c r="J5630">
        <v>0</v>
      </c>
      <c r="K5630">
        <v>0</v>
      </c>
    </row>
    <row r="5631" spans="1:11" x14ac:dyDescent="0.25">
      <c r="A5631" t="str">
        <f>"7083"</f>
        <v>7083</v>
      </c>
      <c r="B5631" t="str">
        <f t="shared" si="371"/>
        <v>1</v>
      </c>
      <c r="C5631" t="str">
        <f t="shared" si="370"/>
        <v>308</v>
      </c>
      <c r="D5631" t="str">
        <f>"19"</f>
        <v>19</v>
      </c>
      <c r="E5631" t="str">
        <f>"1-308-19"</f>
        <v>1-308-19</v>
      </c>
      <c r="F5631" t="s">
        <v>15</v>
      </c>
      <c r="G5631" t="s">
        <v>16</v>
      </c>
      <c r="H5631" t="s">
        <v>17</v>
      </c>
      <c r="I5631">
        <v>0</v>
      </c>
      <c r="J5631">
        <v>0</v>
      </c>
      <c r="K5631">
        <v>0</v>
      </c>
    </row>
    <row r="5632" spans="1:11" x14ac:dyDescent="0.25">
      <c r="A5632" t="str">
        <f>"7084"</f>
        <v>7084</v>
      </c>
      <c r="B5632" t="str">
        <f t="shared" si="371"/>
        <v>1</v>
      </c>
      <c r="C5632" t="str">
        <f t="shared" si="370"/>
        <v>308</v>
      </c>
      <c r="D5632" t="str">
        <f>"22"</f>
        <v>22</v>
      </c>
      <c r="E5632" t="str">
        <f>"1-308-22"</f>
        <v>1-308-22</v>
      </c>
      <c r="F5632" t="s">
        <v>15</v>
      </c>
      <c r="G5632" t="s">
        <v>16</v>
      </c>
      <c r="H5632" t="s">
        <v>17</v>
      </c>
      <c r="I5632">
        <v>0</v>
      </c>
      <c r="J5632">
        <v>0</v>
      </c>
      <c r="K5632">
        <v>0</v>
      </c>
    </row>
    <row r="5633" spans="1:11" x14ac:dyDescent="0.25">
      <c r="A5633" t="str">
        <f>"7085"</f>
        <v>7085</v>
      </c>
      <c r="B5633" t="str">
        <f t="shared" si="371"/>
        <v>1</v>
      </c>
      <c r="C5633" t="str">
        <f t="shared" si="370"/>
        <v>308</v>
      </c>
      <c r="D5633" t="str">
        <f>"7"</f>
        <v>7</v>
      </c>
      <c r="E5633" t="str">
        <f>"1-308-7"</f>
        <v>1-308-7</v>
      </c>
      <c r="F5633" t="s">
        <v>15</v>
      </c>
      <c r="G5633" t="s">
        <v>16</v>
      </c>
      <c r="H5633" t="s">
        <v>17</v>
      </c>
      <c r="I5633">
        <v>0</v>
      </c>
      <c r="J5633">
        <v>0</v>
      </c>
      <c r="K5633">
        <v>0</v>
      </c>
    </row>
    <row r="5634" spans="1:11" x14ac:dyDescent="0.25">
      <c r="A5634" t="str">
        <f>"7086"</f>
        <v>7086</v>
      </c>
      <c r="B5634" t="str">
        <f t="shared" si="371"/>
        <v>1</v>
      </c>
      <c r="C5634" t="str">
        <f t="shared" ref="C5634:C5661" si="372">"309"</f>
        <v>309</v>
      </c>
      <c r="D5634" t="str">
        <f>"23"</f>
        <v>23</v>
      </c>
      <c r="E5634" t="str">
        <f>"1-309-23"</f>
        <v>1-309-23</v>
      </c>
      <c r="F5634" t="s">
        <v>15</v>
      </c>
      <c r="G5634" t="s">
        <v>16</v>
      </c>
      <c r="H5634" t="s">
        <v>17</v>
      </c>
      <c r="I5634">
        <v>0</v>
      </c>
      <c r="J5634">
        <v>0</v>
      </c>
      <c r="K5634">
        <v>1</v>
      </c>
    </row>
    <row r="5635" spans="1:11" x14ac:dyDescent="0.25">
      <c r="A5635" t="str">
        <f>"7087"</f>
        <v>7087</v>
      </c>
      <c r="B5635" t="str">
        <f t="shared" si="371"/>
        <v>1</v>
      </c>
      <c r="C5635" t="str">
        <f t="shared" si="372"/>
        <v>309</v>
      </c>
      <c r="D5635" t="str">
        <f>"15"</f>
        <v>15</v>
      </c>
      <c r="E5635" t="str">
        <f>"1-309-15"</f>
        <v>1-309-15</v>
      </c>
      <c r="F5635" t="s">
        <v>15</v>
      </c>
      <c r="G5635" t="s">
        <v>18</v>
      </c>
      <c r="H5635" t="s">
        <v>19</v>
      </c>
      <c r="I5635">
        <v>1</v>
      </c>
      <c r="J5635">
        <v>0</v>
      </c>
      <c r="K5635">
        <v>0</v>
      </c>
    </row>
    <row r="5636" spans="1:11" x14ac:dyDescent="0.25">
      <c r="A5636" t="str">
        <f>"7088"</f>
        <v>7088</v>
      </c>
      <c r="B5636" t="str">
        <f t="shared" si="371"/>
        <v>1</v>
      </c>
      <c r="C5636" t="str">
        <f t="shared" si="372"/>
        <v>309</v>
      </c>
      <c r="D5636" t="str">
        <f>"2"</f>
        <v>2</v>
      </c>
      <c r="E5636" t="str">
        <f>"1-309-2"</f>
        <v>1-309-2</v>
      </c>
      <c r="F5636" t="s">
        <v>15</v>
      </c>
      <c r="G5636" t="s">
        <v>16</v>
      </c>
      <c r="H5636" t="s">
        <v>17</v>
      </c>
      <c r="I5636">
        <v>0</v>
      </c>
      <c r="J5636">
        <v>1</v>
      </c>
      <c r="K5636">
        <v>0</v>
      </c>
    </row>
    <row r="5637" spans="1:11" x14ac:dyDescent="0.25">
      <c r="A5637" t="str">
        <f>"7089"</f>
        <v>7089</v>
      </c>
      <c r="B5637" t="str">
        <f t="shared" si="371"/>
        <v>1</v>
      </c>
      <c r="C5637" t="str">
        <f t="shared" si="372"/>
        <v>309</v>
      </c>
      <c r="D5637" t="str">
        <f>"22"</f>
        <v>22</v>
      </c>
      <c r="E5637" t="str">
        <f>"1-309-22"</f>
        <v>1-309-22</v>
      </c>
      <c r="F5637" t="s">
        <v>15</v>
      </c>
      <c r="G5637" t="s">
        <v>16</v>
      </c>
      <c r="H5637" t="s">
        <v>17</v>
      </c>
      <c r="I5637">
        <v>0</v>
      </c>
      <c r="J5637">
        <v>0</v>
      </c>
      <c r="K5637">
        <v>1</v>
      </c>
    </row>
    <row r="5638" spans="1:11" x14ac:dyDescent="0.25">
      <c r="A5638" t="str">
        <f>"7090"</f>
        <v>7090</v>
      </c>
      <c r="B5638" t="str">
        <f t="shared" si="371"/>
        <v>1</v>
      </c>
      <c r="C5638" t="str">
        <f t="shared" si="372"/>
        <v>309</v>
      </c>
      <c r="D5638" t="str">
        <f>"16"</f>
        <v>16</v>
      </c>
      <c r="E5638" t="str">
        <f>"1-309-16"</f>
        <v>1-309-16</v>
      </c>
      <c r="F5638" t="s">
        <v>15</v>
      </c>
      <c r="G5638" t="s">
        <v>18</v>
      </c>
      <c r="H5638" t="s">
        <v>19</v>
      </c>
      <c r="I5638">
        <v>1</v>
      </c>
      <c r="J5638">
        <v>0</v>
      </c>
      <c r="K5638">
        <v>0</v>
      </c>
    </row>
    <row r="5639" spans="1:11" x14ac:dyDescent="0.25">
      <c r="A5639" t="str">
        <f>"7091"</f>
        <v>7091</v>
      </c>
      <c r="B5639" t="str">
        <f t="shared" si="371"/>
        <v>1</v>
      </c>
      <c r="C5639" t="str">
        <f t="shared" si="372"/>
        <v>309</v>
      </c>
      <c r="D5639" t="str">
        <f>"17"</f>
        <v>17</v>
      </c>
      <c r="E5639" t="str">
        <f>"1-309-17"</f>
        <v>1-309-17</v>
      </c>
      <c r="F5639" t="s">
        <v>15</v>
      </c>
      <c r="G5639" t="s">
        <v>16</v>
      </c>
      <c r="H5639" t="s">
        <v>17</v>
      </c>
      <c r="I5639">
        <v>0</v>
      </c>
      <c r="J5639">
        <v>1</v>
      </c>
      <c r="K5639">
        <v>0</v>
      </c>
    </row>
    <row r="5640" spans="1:11" x14ac:dyDescent="0.25">
      <c r="A5640" t="str">
        <f>"7092"</f>
        <v>7092</v>
      </c>
      <c r="B5640" t="str">
        <f t="shared" si="371"/>
        <v>1</v>
      </c>
      <c r="C5640" t="str">
        <f t="shared" si="372"/>
        <v>309</v>
      </c>
      <c r="D5640" t="str">
        <f>"12"</f>
        <v>12</v>
      </c>
      <c r="E5640" t="str">
        <f>"1-309-12"</f>
        <v>1-309-12</v>
      </c>
      <c r="F5640" t="s">
        <v>15</v>
      </c>
      <c r="G5640" t="s">
        <v>16</v>
      </c>
      <c r="H5640" t="s">
        <v>17</v>
      </c>
      <c r="I5640">
        <v>0</v>
      </c>
      <c r="J5640">
        <v>1</v>
      </c>
      <c r="K5640">
        <v>0</v>
      </c>
    </row>
    <row r="5641" spans="1:11" x14ac:dyDescent="0.25">
      <c r="A5641" t="str">
        <f>"7093"</f>
        <v>7093</v>
      </c>
      <c r="B5641" t="str">
        <f t="shared" si="371"/>
        <v>1</v>
      </c>
      <c r="C5641" t="str">
        <f t="shared" si="372"/>
        <v>309</v>
      </c>
      <c r="D5641" t="str">
        <f>"18"</f>
        <v>18</v>
      </c>
      <c r="E5641" t="str">
        <f>"1-309-18"</f>
        <v>1-309-18</v>
      </c>
      <c r="F5641" t="s">
        <v>15</v>
      </c>
      <c r="G5641" t="s">
        <v>16</v>
      </c>
      <c r="H5641" t="s">
        <v>17</v>
      </c>
      <c r="I5641">
        <v>0</v>
      </c>
      <c r="J5641">
        <v>1</v>
      </c>
      <c r="K5641">
        <v>0</v>
      </c>
    </row>
    <row r="5642" spans="1:11" x14ac:dyDescent="0.25">
      <c r="A5642" t="str">
        <f>"7094"</f>
        <v>7094</v>
      </c>
      <c r="B5642" t="str">
        <f t="shared" si="371"/>
        <v>1</v>
      </c>
      <c r="C5642" t="str">
        <f t="shared" si="372"/>
        <v>309</v>
      </c>
      <c r="D5642" t="str">
        <f>"9"</f>
        <v>9</v>
      </c>
      <c r="E5642" t="str">
        <f>"1-309-9"</f>
        <v>1-309-9</v>
      </c>
      <c r="F5642" t="s">
        <v>15</v>
      </c>
      <c r="G5642" t="s">
        <v>16</v>
      </c>
      <c r="H5642" t="s">
        <v>17</v>
      </c>
      <c r="I5642">
        <v>1</v>
      </c>
      <c r="J5642">
        <v>0</v>
      </c>
      <c r="K5642">
        <v>0</v>
      </c>
    </row>
    <row r="5643" spans="1:11" x14ac:dyDescent="0.25">
      <c r="A5643" t="str">
        <f>"7095"</f>
        <v>7095</v>
      </c>
      <c r="B5643" t="str">
        <f t="shared" si="371"/>
        <v>1</v>
      </c>
      <c r="C5643" t="str">
        <f t="shared" si="372"/>
        <v>309</v>
      </c>
      <c r="D5643" t="str">
        <f>"19"</f>
        <v>19</v>
      </c>
      <c r="E5643" t="str">
        <f>"1-309-19"</f>
        <v>1-309-19</v>
      </c>
      <c r="F5643" t="s">
        <v>15</v>
      </c>
      <c r="G5643" t="s">
        <v>20</v>
      </c>
      <c r="H5643" t="s">
        <v>21</v>
      </c>
      <c r="I5643">
        <v>0</v>
      </c>
      <c r="J5643">
        <v>0</v>
      </c>
      <c r="K5643">
        <v>1</v>
      </c>
    </row>
    <row r="5644" spans="1:11" x14ac:dyDescent="0.25">
      <c r="A5644" t="str">
        <f>"7096"</f>
        <v>7096</v>
      </c>
      <c r="B5644" t="str">
        <f t="shared" si="371"/>
        <v>1</v>
      </c>
      <c r="C5644" t="str">
        <f t="shared" si="372"/>
        <v>309</v>
      </c>
      <c r="D5644" t="str">
        <f>"13"</f>
        <v>13</v>
      </c>
      <c r="E5644" t="str">
        <f>"1-309-13"</f>
        <v>1-309-13</v>
      </c>
      <c r="F5644" t="s">
        <v>15</v>
      </c>
      <c r="G5644" t="s">
        <v>16</v>
      </c>
      <c r="H5644" t="s">
        <v>17</v>
      </c>
      <c r="I5644">
        <v>0</v>
      </c>
      <c r="J5644">
        <v>1</v>
      </c>
      <c r="K5644">
        <v>0</v>
      </c>
    </row>
    <row r="5645" spans="1:11" x14ac:dyDescent="0.25">
      <c r="A5645" t="str">
        <f>"7097"</f>
        <v>7097</v>
      </c>
      <c r="B5645" t="str">
        <f t="shared" si="371"/>
        <v>1</v>
      </c>
      <c r="C5645" t="str">
        <f t="shared" si="372"/>
        <v>309</v>
      </c>
      <c r="D5645" t="str">
        <f>"20"</f>
        <v>20</v>
      </c>
      <c r="E5645" t="str">
        <f>"1-309-20"</f>
        <v>1-309-20</v>
      </c>
      <c r="F5645" t="s">
        <v>15</v>
      </c>
      <c r="G5645" t="s">
        <v>20</v>
      </c>
      <c r="H5645" t="s">
        <v>21</v>
      </c>
      <c r="I5645">
        <v>0</v>
      </c>
      <c r="J5645">
        <v>0</v>
      </c>
      <c r="K5645">
        <v>1</v>
      </c>
    </row>
    <row r="5646" spans="1:11" x14ac:dyDescent="0.25">
      <c r="A5646" t="str">
        <f>"7098"</f>
        <v>7098</v>
      </c>
      <c r="B5646" t="str">
        <f t="shared" si="371"/>
        <v>1</v>
      </c>
      <c r="C5646" t="str">
        <f t="shared" si="372"/>
        <v>309</v>
      </c>
      <c r="D5646" t="str">
        <f>"5"</f>
        <v>5</v>
      </c>
      <c r="E5646" t="str">
        <f>"1-309-5"</f>
        <v>1-309-5</v>
      </c>
      <c r="F5646" t="s">
        <v>15</v>
      </c>
      <c r="G5646" t="s">
        <v>20</v>
      </c>
      <c r="H5646" t="s">
        <v>21</v>
      </c>
      <c r="I5646">
        <v>0</v>
      </c>
      <c r="J5646">
        <v>0</v>
      </c>
      <c r="K5646">
        <v>1</v>
      </c>
    </row>
    <row r="5647" spans="1:11" x14ac:dyDescent="0.25">
      <c r="A5647" t="str">
        <f>"7099"</f>
        <v>7099</v>
      </c>
      <c r="B5647" t="str">
        <f t="shared" si="371"/>
        <v>1</v>
      </c>
      <c r="C5647" t="str">
        <f t="shared" si="372"/>
        <v>309</v>
      </c>
      <c r="D5647" t="str">
        <f>"21"</f>
        <v>21</v>
      </c>
      <c r="E5647" t="str">
        <f>"1-309-21"</f>
        <v>1-309-21</v>
      </c>
      <c r="F5647" t="s">
        <v>15</v>
      </c>
      <c r="G5647" t="s">
        <v>16</v>
      </c>
      <c r="H5647" t="s">
        <v>17</v>
      </c>
      <c r="I5647">
        <v>1</v>
      </c>
      <c r="J5647">
        <v>0</v>
      </c>
      <c r="K5647">
        <v>0</v>
      </c>
    </row>
    <row r="5648" spans="1:11" x14ac:dyDescent="0.25">
      <c r="A5648" t="str">
        <f>"7100"</f>
        <v>7100</v>
      </c>
      <c r="B5648" t="str">
        <f t="shared" si="371"/>
        <v>1</v>
      </c>
      <c r="C5648" t="str">
        <f t="shared" si="372"/>
        <v>309</v>
      </c>
      <c r="D5648" t="str">
        <f>"14"</f>
        <v>14</v>
      </c>
      <c r="E5648" t="str">
        <f>"1-309-14"</f>
        <v>1-309-14</v>
      </c>
      <c r="F5648" t="s">
        <v>15</v>
      </c>
      <c r="G5648" t="s">
        <v>16</v>
      </c>
      <c r="H5648" t="s">
        <v>17</v>
      </c>
      <c r="I5648">
        <v>0</v>
      </c>
      <c r="J5648">
        <v>1</v>
      </c>
      <c r="K5648">
        <v>0</v>
      </c>
    </row>
    <row r="5649" spans="1:11" x14ac:dyDescent="0.25">
      <c r="A5649" t="str">
        <f>"7101"</f>
        <v>7101</v>
      </c>
      <c r="B5649" t="str">
        <f t="shared" si="371"/>
        <v>1</v>
      </c>
      <c r="C5649" t="str">
        <f t="shared" si="372"/>
        <v>309</v>
      </c>
      <c r="D5649" t="str">
        <f>"7"</f>
        <v>7</v>
      </c>
      <c r="E5649" t="str">
        <f>"1-309-7"</f>
        <v>1-309-7</v>
      </c>
      <c r="F5649" t="s">
        <v>15</v>
      </c>
      <c r="G5649" t="s">
        <v>16</v>
      </c>
      <c r="H5649" t="s">
        <v>17</v>
      </c>
      <c r="I5649">
        <v>1</v>
      </c>
      <c r="J5649">
        <v>0</v>
      </c>
      <c r="K5649">
        <v>0</v>
      </c>
    </row>
    <row r="5650" spans="1:11" x14ac:dyDescent="0.25">
      <c r="A5650" t="str">
        <f>"7102"</f>
        <v>7102</v>
      </c>
      <c r="B5650" t="str">
        <f t="shared" si="371"/>
        <v>1</v>
      </c>
      <c r="C5650" t="str">
        <f t="shared" si="372"/>
        <v>309</v>
      </c>
      <c r="D5650" t="str">
        <f>"26"</f>
        <v>26</v>
      </c>
      <c r="E5650" t="str">
        <f>"1-309-26"</f>
        <v>1-309-26</v>
      </c>
      <c r="F5650" t="s">
        <v>15</v>
      </c>
      <c r="G5650" t="s">
        <v>16</v>
      </c>
      <c r="H5650" t="s">
        <v>17</v>
      </c>
      <c r="I5650">
        <v>0</v>
      </c>
      <c r="J5650">
        <v>0</v>
      </c>
      <c r="K5650">
        <v>1</v>
      </c>
    </row>
    <row r="5651" spans="1:11" x14ac:dyDescent="0.25">
      <c r="A5651" t="str">
        <f>"7103"</f>
        <v>7103</v>
      </c>
      <c r="B5651" t="str">
        <f t="shared" si="371"/>
        <v>1</v>
      </c>
      <c r="C5651" t="str">
        <f t="shared" si="372"/>
        <v>309</v>
      </c>
      <c r="D5651" t="str">
        <f>"3"</f>
        <v>3</v>
      </c>
      <c r="E5651" t="str">
        <f>"1-309-3"</f>
        <v>1-309-3</v>
      </c>
      <c r="F5651" t="s">
        <v>15</v>
      </c>
      <c r="G5651" t="s">
        <v>16</v>
      </c>
      <c r="H5651" t="s">
        <v>17</v>
      </c>
      <c r="I5651">
        <v>0</v>
      </c>
      <c r="J5651">
        <v>0</v>
      </c>
      <c r="K5651">
        <v>1</v>
      </c>
    </row>
    <row r="5652" spans="1:11" x14ac:dyDescent="0.25">
      <c r="A5652" t="str">
        <f>"7104"</f>
        <v>7104</v>
      </c>
      <c r="B5652" t="str">
        <f t="shared" si="371"/>
        <v>1</v>
      </c>
      <c r="C5652" t="str">
        <f t="shared" si="372"/>
        <v>309</v>
      </c>
      <c r="D5652" t="str">
        <f>"27"</f>
        <v>27</v>
      </c>
      <c r="E5652" t="str">
        <f>"1-309-27"</f>
        <v>1-309-27</v>
      </c>
      <c r="F5652" t="s">
        <v>15</v>
      </c>
      <c r="G5652" t="s">
        <v>16</v>
      </c>
      <c r="H5652" t="s">
        <v>17</v>
      </c>
      <c r="I5652">
        <v>0</v>
      </c>
      <c r="J5652">
        <v>1</v>
      </c>
      <c r="K5652">
        <v>0</v>
      </c>
    </row>
    <row r="5653" spans="1:11" x14ac:dyDescent="0.25">
      <c r="A5653" t="str">
        <f>"7105"</f>
        <v>7105</v>
      </c>
      <c r="B5653" t="str">
        <f t="shared" si="371"/>
        <v>1</v>
      </c>
      <c r="C5653" t="str">
        <f t="shared" si="372"/>
        <v>309</v>
      </c>
      <c r="D5653" t="str">
        <f>"11"</f>
        <v>11</v>
      </c>
      <c r="E5653" t="str">
        <f>"1-309-11"</f>
        <v>1-309-11</v>
      </c>
      <c r="F5653" t="s">
        <v>15</v>
      </c>
      <c r="G5653" t="s">
        <v>16</v>
      </c>
      <c r="H5653" t="s">
        <v>17</v>
      </c>
      <c r="I5653">
        <v>1</v>
      </c>
      <c r="J5653">
        <v>0</v>
      </c>
      <c r="K5653">
        <v>0</v>
      </c>
    </row>
    <row r="5654" spans="1:11" x14ac:dyDescent="0.25">
      <c r="A5654" t="str">
        <f>"7106"</f>
        <v>7106</v>
      </c>
      <c r="B5654" t="str">
        <f t="shared" si="371"/>
        <v>1</v>
      </c>
      <c r="C5654" t="str">
        <f t="shared" si="372"/>
        <v>309</v>
      </c>
      <c r="D5654" t="str">
        <f>"28"</f>
        <v>28</v>
      </c>
      <c r="E5654" t="str">
        <f>"1-309-28"</f>
        <v>1-309-28</v>
      </c>
      <c r="F5654" t="s">
        <v>15</v>
      </c>
      <c r="G5654" t="s">
        <v>20</v>
      </c>
      <c r="H5654" t="s">
        <v>21</v>
      </c>
      <c r="I5654">
        <v>1</v>
      </c>
      <c r="J5654">
        <v>0</v>
      </c>
      <c r="K5654">
        <v>0</v>
      </c>
    </row>
    <row r="5655" spans="1:11" x14ac:dyDescent="0.25">
      <c r="A5655" t="str">
        <f>"7107"</f>
        <v>7107</v>
      </c>
      <c r="B5655" t="str">
        <f t="shared" si="371"/>
        <v>1</v>
      </c>
      <c r="C5655" t="str">
        <f t="shared" si="372"/>
        <v>309</v>
      </c>
      <c r="D5655" t="str">
        <f>"6"</f>
        <v>6</v>
      </c>
      <c r="E5655" t="str">
        <f>"1-309-6"</f>
        <v>1-309-6</v>
      </c>
      <c r="F5655" t="s">
        <v>15</v>
      </c>
      <c r="G5655" t="s">
        <v>16</v>
      </c>
      <c r="H5655" t="s">
        <v>17</v>
      </c>
      <c r="I5655">
        <v>1</v>
      </c>
      <c r="J5655">
        <v>0</v>
      </c>
      <c r="K5655">
        <v>0</v>
      </c>
    </row>
    <row r="5656" spans="1:11" x14ac:dyDescent="0.25">
      <c r="A5656" t="str">
        <f>"7108"</f>
        <v>7108</v>
      </c>
      <c r="B5656" t="str">
        <f t="shared" si="371"/>
        <v>1</v>
      </c>
      <c r="C5656" t="str">
        <f t="shared" si="372"/>
        <v>309</v>
      </c>
      <c r="D5656" t="str">
        <f>"10"</f>
        <v>10</v>
      </c>
      <c r="E5656" t="str">
        <f>"1-309-10"</f>
        <v>1-309-10</v>
      </c>
      <c r="F5656" t="s">
        <v>15</v>
      </c>
      <c r="G5656" t="s">
        <v>18</v>
      </c>
      <c r="H5656" t="s">
        <v>19</v>
      </c>
      <c r="I5656">
        <v>0</v>
      </c>
      <c r="J5656">
        <v>0</v>
      </c>
      <c r="K5656">
        <v>1</v>
      </c>
    </row>
    <row r="5657" spans="1:11" x14ac:dyDescent="0.25">
      <c r="A5657" t="str">
        <f>"7109"</f>
        <v>7109</v>
      </c>
      <c r="B5657" t="str">
        <f t="shared" si="371"/>
        <v>1</v>
      </c>
      <c r="C5657" t="str">
        <f t="shared" si="372"/>
        <v>309</v>
      </c>
      <c r="D5657" t="str">
        <f>"4"</f>
        <v>4</v>
      </c>
      <c r="E5657" t="str">
        <f>"1-309-4"</f>
        <v>1-309-4</v>
      </c>
      <c r="F5657" t="s">
        <v>15</v>
      </c>
      <c r="G5657" t="s">
        <v>16</v>
      </c>
      <c r="H5657" t="s">
        <v>17</v>
      </c>
      <c r="I5657">
        <v>0</v>
      </c>
      <c r="J5657">
        <v>0</v>
      </c>
      <c r="K5657">
        <v>0</v>
      </c>
    </row>
    <row r="5658" spans="1:11" x14ac:dyDescent="0.25">
      <c r="A5658" t="str">
        <f>"7110"</f>
        <v>7110</v>
      </c>
      <c r="B5658" t="str">
        <f t="shared" si="371"/>
        <v>1</v>
      </c>
      <c r="C5658" t="str">
        <f t="shared" si="372"/>
        <v>309</v>
      </c>
      <c r="D5658" t="str">
        <f>"24"</f>
        <v>24</v>
      </c>
      <c r="E5658" t="str">
        <f>"1-309-24"</f>
        <v>1-309-24</v>
      </c>
      <c r="F5658" t="s">
        <v>15</v>
      </c>
      <c r="G5658" t="s">
        <v>16</v>
      </c>
      <c r="H5658" t="s">
        <v>17</v>
      </c>
      <c r="I5658">
        <v>0</v>
      </c>
      <c r="J5658">
        <v>0</v>
      </c>
      <c r="K5658">
        <v>0</v>
      </c>
    </row>
    <row r="5659" spans="1:11" x14ac:dyDescent="0.25">
      <c r="A5659" t="str">
        <f>"7111"</f>
        <v>7111</v>
      </c>
      <c r="B5659" t="str">
        <f t="shared" si="371"/>
        <v>1</v>
      </c>
      <c r="C5659" t="str">
        <f t="shared" si="372"/>
        <v>309</v>
      </c>
      <c r="D5659" t="str">
        <f>"25"</f>
        <v>25</v>
      </c>
      <c r="E5659" t="str">
        <f>"1-309-25"</f>
        <v>1-309-25</v>
      </c>
      <c r="F5659" t="s">
        <v>15</v>
      </c>
      <c r="G5659" t="s">
        <v>16</v>
      </c>
      <c r="H5659" t="s">
        <v>17</v>
      </c>
      <c r="I5659">
        <v>0</v>
      </c>
      <c r="J5659">
        <v>0</v>
      </c>
      <c r="K5659">
        <v>0</v>
      </c>
    </row>
    <row r="5660" spans="1:11" x14ac:dyDescent="0.25">
      <c r="A5660" t="str">
        <f>"7112"</f>
        <v>7112</v>
      </c>
      <c r="B5660" t="str">
        <f t="shared" si="371"/>
        <v>1</v>
      </c>
      <c r="C5660" t="str">
        <f t="shared" si="372"/>
        <v>309</v>
      </c>
      <c r="D5660" t="str">
        <f>"8"</f>
        <v>8</v>
      </c>
      <c r="E5660" t="str">
        <f>"1-309-8"</f>
        <v>1-309-8</v>
      </c>
      <c r="F5660" t="s">
        <v>15</v>
      </c>
      <c r="G5660" t="s">
        <v>16</v>
      </c>
      <c r="H5660" t="s">
        <v>17</v>
      </c>
      <c r="I5660">
        <v>0</v>
      </c>
      <c r="J5660">
        <v>0</v>
      </c>
      <c r="K5660">
        <v>0</v>
      </c>
    </row>
    <row r="5661" spans="1:11" x14ac:dyDescent="0.25">
      <c r="A5661" t="str">
        <f>"7113"</f>
        <v>7113</v>
      </c>
      <c r="B5661" t="str">
        <f t="shared" si="371"/>
        <v>1</v>
      </c>
      <c r="C5661" t="str">
        <f t="shared" si="372"/>
        <v>309</v>
      </c>
      <c r="D5661" t="str">
        <f>"1"</f>
        <v>1</v>
      </c>
      <c r="E5661" t="str">
        <f>"1-309-1"</f>
        <v>1-309-1</v>
      </c>
      <c r="F5661" t="s">
        <v>15</v>
      </c>
      <c r="G5661" t="s">
        <v>16</v>
      </c>
      <c r="H5661" t="s">
        <v>17</v>
      </c>
      <c r="I5661">
        <v>0</v>
      </c>
      <c r="J5661">
        <v>0</v>
      </c>
      <c r="K5661">
        <v>0</v>
      </c>
    </row>
    <row r="5662" spans="1:11" x14ac:dyDescent="0.25">
      <c r="A5662" t="str">
        <f>"7114"</f>
        <v>7114</v>
      </c>
      <c r="B5662" t="str">
        <f t="shared" si="371"/>
        <v>1</v>
      </c>
      <c r="C5662" t="str">
        <f t="shared" ref="C5662:C5681" si="373">"310"</f>
        <v>310</v>
      </c>
      <c r="D5662" t="str">
        <f>"2"</f>
        <v>2</v>
      </c>
      <c r="E5662" t="str">
        <f>"1-310-2"</f>
        <v>1-310-2</v>
      </c>
      <c r="F5662" t="s">
        <v>15</v>
      </c>
      <c r="G5662" t="s">
        <v>18</v>
      </c>
      <c r="H5662" t="s">
        <v>19</v>
      </c>
      <c r="I5662">
        <v>0</v>
      </c>
      <c r="J5662">
        <v>0</v>
      </c>
      <c r="K5662">
        <v>1</v>
      </c>
    </row>
    <row r="5663" spans="1:11" x14ac:dyDescent="0.25">
      <c r="A5663" t="str">
        <f>"7115"</f>
        <v>7115</v>
      </c>
      <c r="B5663" t="str">
        <f t="shared" si="371"/>
        <v>1</v>
      </c>
      <c r="C5663" t="str">
        <f t="shared" si="373"/>
        <v>310</v>
      </c>
      <c r="D5663" t="str">
        <f>"16"</f>
        <v>16</v>
      </c>
      <c r="E5663" t="str">
        <f>"1-310-16"</f>
        <v>1-310-16</v>
      </c>
      <c r="F5663" t="s">
        <v>15</v>
      </c>
      <c r="G5663" t="s">
        <v>16</v>
      </c>
      <c r="H5663" t="s">
        <v>17</v>
      </c>
      <c r="I5663">
        <v>1</v>
      </c>
      <c r="J5663">
        <v>0</v>
      </c>
      <c r="K5663">
        <v>0</v>
      </c>
    </row>
    <row r="5664" spans="1:11" x14ac:dyDescent="0.25">
      <c r="A5664" t="str">
        <f>"7116"</f>
        <v>7116</v>
      </c>
      <c r="B5664" t="str">
        <f t="shared" si="371"/>
        <v>1</v>
      </c>
      <c r="C5664" t="str">
        <f t="shared" si="373"/>
        <v>310</v>
      </c>
      <c r="D5664" t="str">
        <f>"1"</f>
        <v>1</v>
      </c>
      <c r="E5664" t="str">
        <f>"1-310-1"</f>
        <v>1-310-1</v>
      </c>
      <c r="F5664" t="s">
        <v>15</v>
      </c>
      <c r="G5664" t="s">
        <v>18</v>
      </c>
      <c r="H5664" t="s">
        <v>19</v>
      </c>
      <c r="I5664">
        <v>0</v>
      </c>
      <c r="J5664">
        <v>1</v>
      </c>
      <c r="K5664">
        <v>0</v>
      </c>
    </row>
    <row r="5665" spans="1:11" x14ac:dyDescent="0.25">
      <c r="A5665" t="str">
        <f>"7117"</f>
        <v>7117</v>
      </c>
      <c r="B5665" t="str">
        <f t="shared" si="371"/>
        <v>1</v>
      </c>
      <c r="C5665" t="str">
        <f t="shared" si="373"/>
        <v>310</v>
      </c>
      <c r="D5665" t="str">
        <f>"17"</f>
        <v>17</v>
      </c>
      <c r="E5665" t="str">
        <f>"1-310-17"</f>
        <v>1-310-17</v>
      </c>
      <c r="F5665" t="s">
        <v>15</v>
      </c>
      <c r="G5665" t="s">
        <v>18</v>
      </c>
      <c r="H5665" t="s">
        <v>19</v>
      </c>
      <c r="I5665">
        <v>0</v>
      </c>
      <c r="J5665">
        <v>0</v>
      </c>
      <c r="K5665">
        <v>1</v>
      </c>
    </row>
    <row r="5666" spans="1:11" x14ac:dyDescent="0.25">
      <c r="A5666" t="str">
        <f>"7118"</f>
        <v>7118</v>
      </c>
      <c r="B5666" t="str">
        <f t="shared" si="371"/>
        <v>1</v>
      </c>
      <c r="C5666" t="str">
        <f t="shared" si="373"/>
        <v>310</v>
      </c>
      <c r="D5666" t="str">
        <f>"9"</f>
        <v>9</v>
      </c>
      <c r="E5666" t="str">
        <f>"1-310-9"</f>
        <v>1-310-9</v>
      </c>
      <c r="F5666" t="s">
        <v>15</v>
      </c>
      <c r="G5666" t="s">
        <v>18</v>
      </c>
      <c r="H5666" t="s">
        <v>19</v>
      </c>
      <c r="I5666">
        <v>0</v>
      </c>
      <c r="J5666">
        <v>1</v>
      </c>
      <c r="K5666">
        <v>0</v>
      </c>
    </row>
    <row r="5667" spans="1:11" x14ac:dyDescent="0.25">
      <c r="A5667" t="str">
        <f>"7119"</f>
        <v>7119</v>
      </c>
      <c r="B5667" t="str">
        <f t="shared" si="371"/>
        <v>1</v>
      </c>
      <c r="C5667" t="str">
        <f t="shared" si="373"/>
        <v>310</v>
      </c>
      <c r="D5667" t="str">
        <f>"18"</f>
        <v>18</v>
      </c>
      <c r="E5667" t="str">
        <f>"1-310-18"</f>
        <v>1-310-18</v>
      </c>
      <c r="F5667" t="s">
        <v>15</v>
      </c>
      <c r="G5667" t="s">
        <v>18</v>
      </c>
      <c r="H5667" t="s">
        <v>19</v>
      </c>
      <c r="I5667">
        <v>0</v>
      </c>
      <c r="J5667">
        <v>0</v>
      </c>
      <c r="K5667">
        <v>1</v>
      </c>
    </row>
    <row r="5668" spans="1:11" x14ac:dyDescent="0.25">
      <c r="A5668" t="str">
        <f>"7120"</f>
        <v>7120</v>
      </c>
      <c r="B5668" t="str">
        <f t="shared" si="371"/>
        <v>1</v>
      </c>
      <c r="C5668" t="str">
        <f t="shared" si="373"/>
        <v>310</v>
      </c>
      <c r="D5668" t="str">
        <f>"6"</f>
        <v>6</v>
      </c>
      <c r="E5668" t="str">
        <f>"1-310-6"</f>
        <v>1-310-6</v>
      </c>
      <c r="F5668" t="s">
        <v>15</v>
      </c>
      <c r="G5668" t="s">
        <v>18</v>
      </c>
      <c r="H5668" t="s">
        <v>19</v>
      </c>
      <c r="I5668">
        <v>0</v>
      </c>
      <c r="J5668">
        <v>0</v>
      </c>
      <c r="K5668">
        <v>1</v>
      </c>
    </row>
    <row r="5669" spans="1:11" x14ac:dyDescent="0.25">
      <c r="A5669" t="str">
        <f>"7121"</f>
        <v>7121</v>
      </c>
      <c r="B5669" t="str">
        <f t="shared" si="371"/>
        <v>1</v>
      </c>
      <c r="C5669" t="str">
        <f t="shared" si="373"/>
        <v>310</v>
      </c>
      <c r="D5669" t="str">
        <f>"19"</f>
        <v>19</v>
      </c>
      <c r="E5669" t="str">
        <f>"1-310-19"</f>
        <v>1-310-19</v>
      </c>
      <c r="F5669" t="s">
        <v>15</v>
      </c>
      <c r="G5669" t="s">
        <v>18</v>
      </c>
      <c r="H5669" t="s">
        <v>19</v>
      </c>
      <c r="I5669">
        <v>0</v>
      </c>
      <c r="J5669">
        <v>0</v>
      </c>
      <c r="K5669">
        <v>1</v>
      </c>
    </row>
    <row r="5670" spans="1:11" x14ac:dyDescent="0.25">
      <c r="A5670" t="str">
        <f>"7122"</f>
        <v>7122</v>
      </c>
      <c r="B5670" t="str">
        <f t="shared" si="371"/>
        <v>1</v>
      </c>
      <c r="C5670" t="str">
        <f t="shared" si="373"/>
        <v>310</v>
      </c>
      <c r="D5670" t="str">
        <f>"12"</f>
        <v>12</v>
      </c>
      <c r="E5670" t="str">
        <f>"1-310-12"</f>
        <v>1-310-12</v>
      </c>
      <c r="F5670" t="s">
        <v>15</v>
      </c>
      <c r="G5670" t="s">
        <v>16</v>
      </c>
      <c r="H5670" t="s">
        <v>17</v>
      </c>
      <c r="I5670">
        <v>0</v>
      </c>
      <c r="J5670">
        <v>1</v>
      </c>
      <c r="K5670">
        <v>0</v>
      </c>
    </row>
    <row r="5671" spans="1:11" x14ac:dyDescent="0.25">
      <c r="A5671" t="str">
        <f>"7123"</f>
        <v>7123</v>
      </c>
      <c r="B5671" t="str">
        <f t="shared" si="371"/>
        <v>1</v>
      </c>
      <c r="C5671" t="str">
        <f t="shared" si="373"/>
        <v>310</v>
      </c>
      <c r="D5671" t="str">
        <f>"20"</f>
        <v>20</v>
      </c>
      <c r="E5671" t="str">
        <f>"1-310-20"</f>
        <v>1-310-20</v>
      </c>
      <c r="F5671" t="s">
        <v>15</v>
      </c>
      <c r="G5671" t="s">
        <v>20</v>
      </c>
      <c r="H5671" t="s">
        <v>21</v>
      </c>
      <c r="I5671">
        <v>0</v>
      </c>
      <c r="J5671">
        <v>1</v>
      </c>
      <c r="K5671">
        <v>0</v>
      </c>
    </row>
    <row r="5672" spans="1:11" x14ac:dyDescent="0.25">
      <c r="A5672" t="str">
        <f>"7124"</f>
        <v>7124</v>
      </c>
      <c r="B5672" t="str">
        <f t="shared" si="371"/>
        <v>1</v>
      </c>
      <c r="C5672" t="str">
        <f t="shared" si="373"/>
        <v>310</v>
      </c>
      <c r="D5672" t="str">
        <f>"3"</f>
        <v>3</v>
      </c>
      <c r="E5672" t="str">
        <f>"1-310-3"</f>
        <v>1-310-3</v>
      </c>
      <c r="F5672" t="s">
        <v>15</v>
      </c>
      <c r="G5672" t="s">
        <v>18</v>
      </c>
      <c r="H5672" t="s">
        <v>19</v>
      </c>
      <c r="I5672">
        <v>0</v>
      </c>
      <c r="J5672">
        <v>1</v>
      </c>
      <c r="K5672">
        <v>0</v>
      </c>
    </row>
    <row r="5673" spans="1:11" x14ac:dyDescent="0.25">
      <c r="A5673" t="str">
        <f>"7125"</f>
        <v>7125</v>
      </c>
      <c r="B5673" t="str">
        <f t="shared" si="371"/>
        <v>1</v>
      </c>
      <c r="C5673" t="str">
        <f t="shared" si="373"/>
        <v>310</v>
      </c>
      <c r="D5673" t="str">
        <f>"7"</f>
        <v>7</v>
      </c>
      <c r="E5673" t="str">
        <f>"1-310-7"</f>
        <v>1-310-7</v>
      </c>
      <c r="F5673" t="s">
        <v>15</v>
      </c>
      <c r="G5673" t="s">
        <v>18</v>
      </c>
      <c r="H5673" t="s">
        <v>19</v>
      </c>
      <c r="I5673">
        <v>0</v>
      </c>
      <c r="J5673">
        <v>0</v>
      </c>
      <c r="K5673">
        <v>1</v>
      </c>
    </row>
    <row r="5674" spans="1:11" x14ac:dyDescent="0.25">
      <c r="A5674" t="str">
        <f>"7126"</f>
        <v>7126</v>
      </c>
      <c r="B5674" t="str">
        <f t="shared" si="371"/>
        <v>1</v>
      </c>
      <c r="C5674" t="str">
        <f t="shared" si="373"/>
        <v>310</v>
      </c>
      <c r="D5674" t="str">
        <f>"4"</f>
        <v>4</v>
      </c>
      <c r="E5674" t="str">
        <f>"1-310-4"</f>
        <v>1-310-4</v>
      </c>
      <c r="F5674" t="s">
        <v>15</v>
      </c>
      <c r="G5674" t="s">
        <v>18</v>
      </c>
      <c r="H5674" t="s">
        <v>19</v>
      </c>
      <c r="I5674">
        <v>0</v>
      </c>
      <c r="J5674">
        <v>1</v>
      </c>
      <c r="K5674">
        <v>0</v>
      </c>
    </row>
    <row r="5675" spans="1:11" x14ac:dyDescent="0.25">
      <c r="A5675" t="str">
        <f>"7127"</f>
        <v>7127</v>
      </c>
      <c r="B5675" t="str">
        <f t="shared" si="371"/>
        <v>1</v>
      </c>
      <c r="C5675" t="str">
        <f t="shared" si="373"/>
        <v>310</v>
      </c>
      <c r="D5675" t="str">
        <f>"14"</f>
        <v>14</v>
      </c>
      <c r="E5675" t="str">
        <f>"1-310-14"</f>
        <v>1-310-14</v>
      </c>
      <c r="F5675" t="s">
        <v>15</v>
      </c>
      <c r="G5675" t="s">
        <v>18</v>
      </c>
      <c r="H5675" t="s">
        <v>19</v>
      </c>
      <c r="I5675">
        <v>1</v>
      </c>
      <c r="J5675">
        <v>0</v>
      </c>
      <c r="K5675">
        <v>0</v>
      </c>
    </row>
    <row r="5676" spans="1:11" x14ac:dyDescent="0.25">
      <c r="A5676" t="str">
        <f>"7128"</f>
        <v>7128</v>
      </c>
      <c r="B5676" t="str">
        <f t="shared" si="371"/>
        <v>1</v>
      </c>
      <c r="C5676" t="str">
        <f t="shared" si="373"/>
        <v>310</v>
      </c>
      <c r="D5676" t="str">
        <f>"8"</f>
        <v>8</v>
      </c>
      <c r="E5676" t="str">
        <f>"1-310-8"</f>
        <v>1-310-8</v>
      </c>
      <c r="F5676" t="s">
        <v>15</v>
      </c>
      <c r="G5676" t="s">
        <v>18</v>
      </c>
      <c r="H5676" t="s">
        <v>19</v>
      </c>
      <c r="I5676">
        <v>1</v>
      </c>
      <c r="J5676">
        <v>0</v>
      </c>
      <c r="K5676">
        <v>0</v>
      </c>
    </row>
    <row r="5677" spans="1:11" x14ac:dyDescent="0.25">
      <c r="A5677" t="str">
        <f>"7129"</f>
        <v>7129</v>
      </c>
      <c r="B5677" t="str">
        <f t="shared" si="371"/>
        <v>1</v>
      </c>
      <c r="C5677" t="str">
        <f t="shared" si="373"/>
        <v>310</v>
      </c>
      <c r="D5677" t="str">
        <f>"11"</f>
        <v>11</v>
      </c>
      <c r="E5677" t="str">
        <f>"1-310-11"</f>
        <v>1-310-11</v>
      </c>
      <c r="F5677" t="s">
        <v>15</v>
      </c>
      <c r="G5677" t="s">
        <v>18</v>
      </c>
      <c r="H5677" t="s">
        <v>19</v>
      </c>
      <c r="I5677">
        <v>1</v>
      </c>
      <c r="J5677">
        <v>0</v>
      </c>
      <c r="K5677">
        <v>0</v>
      </c>
    </row>
    <row r="5678" spans="1:11" x14ac:dyDescent="0.25">
      <c r="A5678" t="str">
        <f>"7130"</f>
        <v>7130</v>
      </c>
      <c r="B5678" t="str">
        <f t="shared" ref="B5678:B5717" si="374">"1"</f>
        <v>1</v>
      </c>
      <c r="C5678" t="str">
        <f t="shared" si="373"/>
        <v>310</v>
      </c>
      <c r="D5678" t="str">
        <f>"10"</f>
        <v>10</v>
      </c>
      <c r="E5678" t="str">
        <f>"1-310-10"</f>
        <v>1-310-10</v>
      </c>
      <c r="F5678" t="s">
        <v>15</v>
      </c>
      <c r="G5678" t="s">
        <v>18</v>
      </c>
      <c r="H5678" t="s">
        <v>19</v>
      </c>
      <c r="I5678">
        <v>1</v>
      </c>
      <c r="J5678">
        <v>0</v>
      </c>
      <c r="K5678">
        <v>0</v>
      </c>
    </row>
    <row r="5679" spans="1:11" x14ac:dyDescent="0.25">
      <c r="A5679" t="str">
        <f>"7131"</f>
        <v>7131</v>
      </c>
      <c r="B5679" t="str">
        <f t="shared" si="374"/>
        <v>1</v>
      </c>
      <c r="C5679" t="str">
        <f t="shared" si="373"/>
        <v>310</v>
      </c>
      <c r="D5679" t="str">
        <f>"5"</f>
        <v>5</v>
      </c>
      <c r="E5679" t="str">
        <f>"1-310-5"</f>
        <v>1-310-5</v>
      </c>
      <c r="F5679" t="s">
        <v>15</v>
      </c>
      <c r="G5679" t="s">
        <v>16</v>
      </c>
      <c r="H5679" t="s">
        <v>17</v>
      </c>
      <c r="I5679">
        <v>0</v>
      </c>
      <c r="J5679">
        <v>0</v>
      </c>
      <c r="K5679">
        <v>1</v>
      </c>
    </row>
    <row r="5680" spans="1:11" x14ac:dyDescent="0.25">
      <c r="A5680" t="str">
        <f>"7132"</f>
        <v>7132</v>
      </c>
      <c r="B5680" t="str">
        <f t="shared" si="374"/>
        <v>1</v>
      </c>
      <c r="C5680" t="str">
        <f t="shared" si="373"/>
        <v>310</v>
      </c>
      <c r="D5680" t="str">
        <f>"13"</f>
        <v>13</v>
      </c>
      <c r="E5680" t="str">
        <f>"1-310-13"</f>
        <v>1-310-13</v>
      </c>
      <c r="F5680" t="s">
        <v>15</v>
      </c>
      <c r="G5680" t="s">
        <v>16</v>
      </c>
      <c r="H5680" t="s">
        <v>17</v>
      </c>
      <c r="I5680">
        <v>0</v>
      </c>
      <c r="J5680">
        <v>1</v>
      </c>
      <c r="K5680">
        <v>0</v>
      </c>
    </row>
    <row r="5681" spans="1:11" x14ac:dyDescent="0.25">
      <c r="A5681" t="str">
        <f>"7133"</f>
        <v>7133</v>
      </c>
      <c r="B5681" t="str">
        <f t="shared" si="374"/>
        <v>1</v>
      </c>
      <c r="C5681" t="str">
        <f t="shared" si="373"/>
        <v>310</v>
      </c>
      <c r="D5681" t="str">
        <f>"15"</f>
        <v>15</v>
      </c>
      <c r="E5681" t="str">
        <f>"1-310-15"</f>
        <v>1-310-15</v>
      </c>
      <c r="F5681" t="s">
        <v>15</v>
      </c>
      <c r="G5681" t="s">
        <v>18</v>
      </c>
      <c r="H5681" t="s">
        <v>19</v>
      </c>
      <c r="I5681">
        <v>0</v>
      </c>
      <c r="J5681">
        <v>0</v>
      </c>
      <c r="K5681">
        <v>0</v>
      </c>
    </row>
    <row r="5682" spans="1:11" x14ac:dyDescent="0.25">
      <c r="A5682" t="str">
        <f>"7158"</f>
        <v>7158</v>
      </c>
      <c r="B5682" t="str">
        <f t="shared" si="374"/>
        <v>1</v>
      </c>
      <c r="C5682" t="str">
        <f t="shared" ref="C5682:C5708" si="375">"312"</f>
        <v>312</v>
      </c>
      <c r="D5682" t="str">
        <f>"24"</f>
        <v>24</v>
      </c>
      <c r="E5682" t="str">
        <f>"1-312-24"</f>
        <v>1-312-24</v>
      </c>
      <c r="F5682" t="s">
        <v>15</v>
      </c>
      <c r="G5682" t="s">
        <v>16</v>
      </c>
      <c r="H5682" t="s">
        <v>17</v>
      </c>
      <c r="I5682">
        <v>0</v>
      </c>
      <c r="J5682">
        <v>0</v>
      </c>
      <c r="K5682">
        <v>1</v>
      </c>
    </row>
    <row r="5683" spans="1:11" x14ac:dyDescent="0.25">
      <c r="A5683" t="str">
        <f>"7159"</f>
        <v>7159</v>
      </c>
      <c r="B5683" t="str">
        <f t="shared" si="374"/>
        <v>1</v>
      </c>
      <c r="C5683" t="str">
        <f t="shared" si="375"/>
        <v>312</v>
      </c>
      <c r="D5683" t="str">
        <f>"15"</f>
        <v>15</v>
      </c>
      <c r="E5683" t="str">
        <f>"1-312-15"</f>
        <v>1-312-15</v>
      </c>
      <c r="F5683" t="s">
        <v>15</v>
      </c>
      <c r="G5683" t="s">
        <v>16</v>
      </c>
      <c r="H5683" t="s">
        <v>17</v>
      </c>
      <c r="I5683">
        <v>1</v>
      </c>
      <c r="J5683">
        <v>0</v>
      </c>
      <c r="K5683">
        <v>0</v>
      </c>
    </row>
    <row r="5684" spans="1:11" x14ac:dyDescent="0.25">
      <c r="A5684" t="str">
        <f>"7160"</f>
        <v>7160</v>
      </c>
      <c r="B5684" t="str">
        <f t="shared" si="374"/>
        <v>1</v>
      </c>
      <c r="C5684" t="str">
        <f t="shared" si="375"/>
        <v>312</v>
      </c>
      <c r="D5684" t="str">
        <f>"3"</f>
        <v>3</v>
      </c>
      <c r="E5684" t="str">
        <f>"1-312-3"</f>
        <v>1-312-3</v>
      </c>
      <c r="F5684" t="s">
        <v>15</v>
      </c>
      <c r="G5684" t="s">
        <v>16</v>
      </c>
      <c r="H5684" t="s">
        <v>17</v>
      </c>
      <c r="I5684">
        <v>1</v>
      </c>
      <c r="J5684">
        <v>0</v>
      </c>
      <c r="K5684">
        <v>0</v>
      </c>
    </row>
    <row r="5685" spans="1:11" x14ac:dyDescent="0.25">
      <c r="A5685" t="str">
        <f>"7161"</f>
        <v>7161</v>
      </c>
      <c r="B5685" t="str">
        <f t="shared" si="374"/>
        <v>1</v>
      </c>
      <c r="C5685" t="str">
        <f t="shared" si="375"/>
        <v>312</v>
      </c>
      <c r="D5685" t="str">
        <f>"20"</f>
        <v>20</v>
      </c>
      <c r="E5685" t="str">
        <f>"1-312-20"</f>
        <v>1-312-20</v>
      </c>
      <c r="F5685" t="s">
        <v>15</v>
      </c>
      <c r="G5685" t="s">
        <v>16</v>
      </c>
      <c r="H5685" t="s">
        <v>17</v>
      </c>
      <c r="I5685">
        <v>1</v>
      </c>
      <c r="J5685">
        <v>0</v>
      </c>
      <c r="K5685">
        <v>0</v>
      </c>
    </row>
    <row r="5686" spans="1:11" x14ac:dyDescent="0.25">
      <c r="A5686" t="str">
        <f>"7162"</f>
        <v>7162</v>
      </c>
      <c r="B5686" t="str">
        <f t="shared" si="374"/>
        <v>1</v>
      </c>
      <c r="C5686" t="str">
        <f t="shared" si="375"/>
        <v>312</v>
      </c>
      <c r="D5686" t="str">
        <f>"16"</f>
        <v>16</v>
      </c>
      <c r="E5686" t="str">
        <f>"1-312-16"</f>
        <v>1-312-16</v>
      </c>
      <c r="F5686" t="s">
        <v>15</v>
      </c>
      <c r="G5686" t="s">
        <v>16</v>
      </c>
      <c r="H5686" t="s">
        <v>17</v>
      </c>
      <c r="I5686">
        <v>1</v>
      </c>
      <c r="J5686">
        <v>0</v>
      </c>
      <c r="K5686">
        <v>0</v>
      </c>
    </row>
    <row r="5687" spans="1:11" x14ac:dyDescent="0.25">
      <c r="A5687" t="str">
        <f>"7163"</f>
        <v>7163</v>
      </c>
      <c r="B5687" t="str">
        <f t="shared" si="374"/>
        <v>1</v>
      </c>
      <c r="C5687" t="str">
        <f t="shared" si="375"/>
        <v>312</v>
      </c>
      <c r="D5687" t="str">
        <f>"4"</f>
        <v>4</v>
      </c>
      <c r="E5687" t="str">
        <f>"1-312-4"</f>
        <v>1-312-4</v>
      </c>
      <c r="F5687" t="s">
        <v>15</v>
      </c>
      <c r="G5687" t="s">
        <v>16</v>
      </c>
      <c r="H5687" t="s">
        <v>17</v>
      </c>
      <c r="I5687">
        <v>0</v>
      </c>
      <c r="J5687">
        <v>1</v>
      </c>
      <c r="K5687">
        <v>0</v>
      </c>
    </row>
    <row r="5688" spans="1:11" x14ac:dyDescent="0.25">
      <c r="A5688" t="str">
        <f>"7164"</f>
        <v>7164</v>
      </c>
      <c r="B5688" t="str">
        <f t="shared" si="374"/>
        <v>1</v>
      </c>
      <c r="C5688" t="str">
        <f t="shared" si="375"/>
        <v>312</v>
      </c>
      <c r="D5688" t="str">
        <f>"17"</f>
        <v>17</v>
      </c>
      <c r="E5688" t="str">
        <f>"1-312-17"</f>
        <v>1-312-17</v>
      </c>
      <c r="F5688" t="s">
        <v>15</v>
      </c>
      <c r="G5688" t="s">
        <v>16</v>
      </c>
      <c r="H5688" t="s">
        <v>17</v>
      </c>
      <c r="I5688">
        <v>1</v>
      </c>
      <c r="J5688">
        <v>0</v>
      </c>
      <c r="K5688">
        <v>0</v>
      </c>
    </row>
    <row r="5689" spans="1:11" x14ac:dyDescent="0.25">
      <c r="A5689" t="str">
        <f>"7165"</f>
        <v>7165</v>
      </c>
      <c r="B5689" t="str">
        <f t="shared" si="374"/>
        <v>1</v>
      </c>
      <c r="C5689" t="str">
        <f t="shared" si="375"/>
        <v>312</v>
      </c>
      <c r="D5689" t="str">
        <f>"7"</f>
        <v>7</v>
      </c>
      <c r="E5689" t="str">
        <f>"1-312-7"</f>
        <v>1-312-7</v>
      </c>
      <c r="F5689" t="s">
        <v>15</v>
      </c>
      <c r="G5689" t="s">
        <v>16</v>
      </c>
      <c r="H5689" t="s">
        <v>17</v>
      </c>
      <c r="I5689">
        <v>0</v>
      </c>
      <c r="J5689">
        <v>1</v>
      </c>
      <c r="K5689">
        <v>0</v>
      </c>
    </row>
    <row r="5690" spans="1:11" x14ac:dyDescent="0.25">
      <c r="A5690" t="str">
        <f>"7166"</f>
        <v>7166</v>
      </c>
      <c r="B5690" t="str">
        <f t="shared" si="374"/>
        <v>1</v>
      </c>
      <c r="C5690" t="str">
        <f t="shared" si="375"/>
        <v>312</v>
      </c>
      <c r="D5690" t="str">
        <f>"18"</f>
        <v>18</v>
      </c>
      <c r="E5690" t="str">
        <f>"1-312-18"</f>
        <v>1-312-18</v>
      </c>
      <c r="F5690" t="s">
        <v>15</v>
      </c>
      <c r="G5690" t="s">
        <v>16</v>
      </c>
      <c r="H5690" t="s">
        <v>17</v>
      </c>
      <c r="I5690">
        <v>1</v>
      </c>
      <c r="J5690">
        <v>0</v>
      </c>
      <c r="K5690">
        <v>0</v>
      </c>
    </row>
    <row r="5691" spans="1:11" x14ac:dyDescent="0.25">
      <c r="A5691" t="str">
        <f>"7167"</f>
        <v>7167</v>
      </c>
      <c r="B5691" t="str">
        <f t="shared" si="374"/>
        <v>1</v>
      </c>
      <c r="C5691" t="str">
        <f t="shared" si="375"/>
        <v>312</v>
      </c>
      <c r="D5691" t="str">
        <f>"9"</f>
        <v>9</v>
      </c>
      <c r="E5691" t="str">
        <f>"1-312-9"</f>
        <v>1-312-9</v>
      </c>
      <c r="F5691" t="s">
        <v>15</v>
      </c>
      <c r="G5691" t="s">
        <v>16</v>
      </c>
      <c r="H5691" t="s">
        <v>17</v>
      </c>
      <c r="I5691">
        <v>0</v>
      </c>
      <c r="J5691">
        <v>1</v>
      </c>
      <c r="K5691">
        <v>0</v>
      </c>
    </row>
    <row r="5692" spans="1:11" x14ac:dyDescent="0.25">
      <c r="A5692" t="str">
        <f>"7168"</f>
        <v>7168</v>
      </c>
      <c r="B5692" t="str">
        <f t="shared" si="374"/>
        <v>1</v>
      </c>
      <c r="C5692" t="str">
        <f t="shared" si="375"/>
        <v>312</v>
      </c>
      <c r="D5692" t="str">
        <f>"19"</f>
        <v>19</v>
      </c>
      <c r="E5692" t="str">
        <f>"1-312-19"</f>
        <v>1-312-19</v>
      </c>
      <c r="F5692" t="s">
        <v>15</v>
      </c>
      <c r="G5692" t="s">
        <v>16</v>
      </c>
      <c r="H5692" t="s">
        <v>17</v>
      </c>
      <c r="I5692">
        <v>1</v>
      </c>
      <c r="J5692">
        <v>0</v>
      </c>
      <c r="K5692">
        <v>0</v>
      </c>
    </row>
    <row r="5693" spans="1:11" x14ac:dyDescent="0.25">
      <c r="A5693" t="str">
        <f>"7169"</f>
        <v>7169</v>
      </c>
      <c r="B5693" t="str">
        <f t="shared" si="374"/>
        <v>1</v>
      </c>
      <c r="C5693" t="str">
        <f t="shared" si="375"/>
        <v>312</v>
      </c>
      <c r="D5693" t="str">
        <f>"14"</f>
        <v>14</v>
      </c>
      <c r="E5693" t="str">
        <f>"1-312-14"</f>
        <v>1-312-14</v>
      </c>
      <c r="F5693" t="s">
        <v>15</v>
      </c>
      <c r="G5693" t="s">
        <v>16</v>
      </c>
      <c r="H5693" t="s">
        <v>17</v>
      </c>
      <c r="I5693">
        <v>1</v>
      </c>
      <c r="J5693">
        <v>0</v>
      </c>
      <c r="K5693">
        <v>0</v>
      </c>
    </row>
    <row r="5694" spans="1:11" x14ac:dyDescent="0.25">
      <c r="A5694" t="str">
        <f>"7170"</f>
        <v>7170</v>
      </c>
      <c r="B5694" t="str">
        <f t="shared" si="374"/>
        <v>1</v>
      </c>
      <c r="C5694" t="str">
        <f t="shared" si="375"/>
        <v>312</v>
      </c>
      <c r="D5694" t="str">
        <f>"21"</f>
        <v>21</v>
      </c>
      <c r="E5694" t="str">
        <f>"1-312-21"</f>
        <v>1-312-21</v>
      </c>
      <c r="F5694" t="s">
        <v>15</v>
      </c>
      <c r="G5694" t="s">
        <v>16</v>
      </c>
      <c r="H5694" t="s">
        <v>17</v>
      </c>
      <c r="I5694">
        <v>1</v>
      </c>
      <c r="J5694">
        <v>0</v>
      </c>
      <c r="K5694">
        <v>0</v>
      </c>
    </row>
    <row r="5695" spans="1:11" x14ac:dyDescent="0.25">
      <c r="A5695" t="str">
        <f>"7171"</f>
        <v>7171</v>
      </c>
      <c r="B5695" t="str">
        <f t="shared" si="374"/>
        <v>1</v>
      </c>
      <c r="C5695" t="str">
        <f t="shared" si="375"/>
        <v>312</v>
      </c>
      <c r="D5695" t="str">
        <f>"6"</f>
        <v>6</v>
      </c>
      <c r="E5695" t="str">
        <f>"1-312-6"</f>
        <v>1-312-6</v>
      </c>
      <c r="F5695" t="s">
        <v>15</v>
      </c>
      <c r="G5695" t="s">
        <v>16</v>
      </c>
      <c r="H5695" t="s">
        <v>17</v>
      </c>
      <c r="I5695">
        <v>0</v>
      </c>
      <c r="J5695">
        <v>1</v>
      </c>
      <c r="K5695">
        <v>0</v>
      </c>
    </row>
    <row r="5696" spans="1:11" x14ac:dyDescent="0.25">
      <c r="A5696" t="str">
        <f>"7172"</f>
        <v>7172</v>
      </c>
      <c r="B5696" t="str">
        <f t="shared" si="374"/>
        <v>1</v>
      </c>
      <c r="C5696" t="str">
        <f t="shared" si="375"/>
        <v>312</v>
      </c>
      <c r="D5696" t="str">
        <f>"22"</f>
        <v>22</v>
      </c>
      <c r="E5696" t="str">
        <f>"1-312-22"</f>
        <v>1-312-22</v>
      </c>
      <c r="F5696" t="s">
        <v>15</v>
      </c>
      <c r="G5696" t="s">
        <v>18</v>
      </c>
      <c r="H5696" t="s">
        <v>19</v>
      </c>
      <c r="I5696">
        <v>0</v>
      </c>
      <c r="J5696">
        <v>1</v>
      </c>
      <c r="K5696">
        <v>0</v>
      </c>
    </row>
    <row r="5697" spans="1:11" x14ac:dyDescent="0.25">
      <c r="A5697" t="str">
        <f>"7173"</f>
        <v>7173</v>
      </c>
      <c r="B5697" t="str">
        <f t="shared" si="374"/>
        <v>1</v>
      </c>
      <c r="C5697" t="str">
        <f t="shared" si="375"/>
        <v>312</v>
      </c>
      <c r="D5697" t="str">
        <f>"11"</f>
        <v>11</v>
      </c>
      <c r="E5697" t="str">
        <f>"1-312-11"</f>
        <v>1-312-11</v>
      </c>
      <c r="F5697" t="s">
        <v>15</v>
      </c>
      <c r="G5697" t="s">
        <v>16</v>
      </c>
      <c r="H5697" t="s">
        <v>17</v>
      </c>
      <c r="I5697">
        <v>0</v>
      </c>
      <c r="J5697">
        <v>1</v>
      </c>
      <c r="K5697">
        <v>0</v>
      </c>
    </row>
    <row r="5698" spans="1:11" x14ac:dyDescent="0.25">
      <c r="A5698" t="str">
        <f>"7174"</f>
        <v>7174</v>
      </c>
      <c r="B5698" t="str">
        <f t="shared" si="374"/>
        <v>1</v>
      </c>
      <c r="C5698" t="str">
        <f t="shared" si="375"/>
        <v>312</v>
      </c>
      <c r="D5698" t="str">
        <f>"23"</f>
        <v>23</v>
      </c>
      <c r="E5698" t="str">
        <f>"1-312-23"</f>
        <v>1-312-23</v>
      </c>
      <c r="F5698" t="s">
        <v>15</v>
      </c>
      <c r="G5698" t="s">
        <v>16</v>
      </c>
      <c r="H5698" t="s">
        <v>17</v>
      </c>
      <c r="I5698">
        <v>1</v>
      </c>
      <c r="J5698">
        <v>0</v>
      </c>
      <c r="K5698">
        <v>0</v>
      </c>
    </row>
    <row r="5699" spans="1:11" x14ac:dyDescent="0.25">
      <c r="A5699" t="str">
        <f>"7175"</f>
        <v>7175</v>
      </c>
      <c r="B5699" t="str">
        <f t="shared" si="374"/>
        <v>1</v>
      </c>
      <c r="C5699" t="str">
        <f t="shared" si="375"/>
        <v>312</v>
      </c>
      <c r="D5699" t="str">
        <f>"25"</f>
        <v>25</v>
      </c>
      <c r="E5699" t="str">
        <f>"1-312-25"</f>
        <v>1-312-25</v>
      </c>
      <c r="F5699" t="s">
        <v>15</v>
      </c>
      <c r="G5699" t="s">
        <v>16</v>
      </c>
      <c r="H5699" t="s">
        <v>17</v>
      </c>
      <c r="I5699">
        <v>1</v>
      </c>
      <c r="J5699">
        <v>0</v>
      </c>
      <c r="K5699">
        <v>0</v>
      </c>
    </row>
    <row r="5700" spans="1:11" x14ac:dyDescent="0.25">
      <c r="A5700" t="str">
        <f>"7176"</f>
        <v>7176</v>
      </c>
      <c r="B5700" t="str">
        <f t="shared" si="374"/>
        <v>1</v>
      </c>
      <c r="C5700" t="str">
        <f t="shared" si="375"/>
        <v>312</v>
      </c>
      <c r="D5700" t="str">
        <f>"1"</f>
        <v>1</v>
      </c>
      <c r="E5700" t="str">
        <f>"1-312-1"</f>
        <v>1-312-1</v>
      </c>
      <c r="F5700" t="s">
        <v>15</v>
      </c>
      <c r="G5700" t="s">
        <v>20</v>
      </c>
      <c r="H5700" t="s">
        <v>21</v>
      </c>
      <c r="I5700">
        <v>0</v>
      </c>
      <c r="J5700">
        <v>1</v>
      </c>
      <c r="K5700">
        <v>0</v>
      </c>
    </row>
    <row r="5701" spans="1:11" x14ac:dyDescent="0.25">
      <c r="A5701" t="str">
        <f>"7177"</f>
        <v>7177</v>
      </c>
      <c r="B5701" t="str">
        <f t="shared" si="374"/>
        <v>1</v>
      </c>
      <c r="C5701" t="str">
        <f t="shared" si="375"/>
        <v>312</v>
      </c>
      <c r="D5701" t="str">
        <f>"26"</f>
        <v>26</v>
      </c>
      <c r="E5701" t="str">
        <f>"1-312-26"</f>
        <v>1-312-26</v>
      </c>
      <c r="F5701" t="s">
        <v>15</v>
      </c>
      <c r="G5701" t="s">
        <v>18</v>
      </c>
      <c r="H5701" t="s">
        <v>19</v>
      </c>
      <c r="I5701">
        <v>0</v>
      </c>
      <c r="J5701">
        <v>1</v>
      </c>
      <c r="K5701">
        <v>0</v>
      </c>
    </row>
    <row r="5702" spans="1:11" x14ac:dyDescent="0.25">
      <c r="A5702" t="str">
        <f>"7178"</f>
        <v>7178</v>
      </c>
      <c r="B5702" t="str">
        <f t="shared" si="374"/>
        <v>1</v>
      </c>
      <c r="C5702" t="str">
        <f t="shared" si="375"/>
        <v>312</v>
      </c>
      <c r="D5702" t="str">
        <f>"12"</f>
        <v>12</v>
      </c>
      <c r="E5702" t="str">
        <f>"1-312-12"</f>
        <v>1-312-12</v>
      </c>
      <c r="F5702" t="s">
        <v>15</v>
      </c>
      <c r="G5702" t="s">
        <v>16</v>
      </c>
      <c r="H5702" t="s">
        <v>17</v>
      </c>
      <c r="I5702">
        <v>0</v>
      </c>
      <c r="J5702">
        <v>1</v>
      </c>
      <c r="K5702">
        <v>0</v>
      </c>
    </row>
    <row r="5703" spans="1:11" x14ac:dyDescent="0.25">
      <c r="A5703" t="str">
        <f>"7179"</f>
        <v>7179</v>
      </c>
      <c r="B5703" t="str">
        <f t="shared" si="374"/>
        <v>1</v>
      </c>
      <c r="C5703" t="str">
        <f t="shared" si="375"/>
        <v>312</v>
      </c>
      <c r="D5703" t="str">
        <f>"27"</f>
        <v>27</v>
      </c>
      <c r="E5703" t="str">
        <f>"1-312-27"</f>
        <v>1-312-27</v>
      </c>
      <c r="F5703" t="s">
        <v>15</v>
      </c>
      <c r="G5703" t="s">
        <v>16</v>
      </c>
      <c r="H5703" t="s">
        <v>17</v>
      </c>
      <c r="I5703">
        <v>0</v>
      </c>
      <c r="J5703">
        <v>1</v>
      </c>
      <c r="K5703">
        <v>0</v>
      </c>
    </row>
    <row r="5704" spans="1:11" x14ac:dyDescent="0.25">
      <c r="A5704" t="str">
        <f>"7180"</f>
        <v>7180</v>
      </c>
      <c r="B5704" t="str">
        <f t="shared" si="374"/>
        <v>1</v>
      </c>
      <c r="C5704" t="str">
        <f t="shared" si="375"/>
        <v>312</v>
      </c>
      <c r="D5704" t="str">
        <f>"5"</f>
        <v>5</v>
      </c>
      <c r="E5704" t="str">
        <f>"1-312-5"</f>
        <v>1-312-5</v>
      </c>
      <c r="F5704" t="s">
        <v>15</v>
      </c>
      <c r="G5704" t="s">
        <v>16</v>
      </c>
      <c r="H5704" t="s">
        <v>17</v>
      </c>
      <c r="I5704">
        <v>0</v>
      </c>
      <c r="J5704">
        <v>1</v>
      </c>
      <c r="K5704">
        <v>0</v>
      </c>
    </row>
    <row r="5705" spans="1:11" x14ac:dyDescent="0.25">
      <c r="A5705" t="str">
        <f>"7181"</f>
        <v>7181</v>
      </c>
      <c r="B5705" t="str">
        <f t="shared" si="374"/>
        <v>1</v>
      </c>
      <c r="C5705" t="str">
        <f t="shared" si="375"/>
        <v>312</v>
      </c>
      <c r="D5705" t="str">
        <f>"8"</f>
        <v>8</v>
      </c>
      <c r="E5705" t="str">
        <f>"1-312-8"</f>
        <v>1-312-8</v>
      </c>
      <c r="F5705" t="s">
        <v>15</v>
      </c>
      <c r="G5705" t="s">
        <v>16</v>
      </c>
      <c r="H5705" t="s">
        <v>17</v>
      </c>
      <c r="I5705">
        <v>0</v>
      </c>
      <c r="J5705">
        <v>1</v>
      </c>
      <c r="K5705">
        <v>0</v>
      </c>
    </row>
    <row r="5706" spans="1:11" x14ac:dyDescent="0.25">
      <c r="A5706" t="str">
        <f>"7182"</f>
        <v>7182</v>
      </c>
      <c r="B5706" t="str">
        <f t="shared" si="374"/>
        <v>1</v>
      </c>
      <c r="C5706" t="str">
        <f t="shared" si="375"/>
        <v>312</v>
      </c>
      <c r="D5706" t="str">
        <f>"10"</f>
        <v>10</v>
      </c>
      <c r="E5706" t="str">
        <f>"1-312-10"</f>
        <v>1-312-10</v>
      </c>
      <c r="F5706" t="s">
        <v>15</v>
      </c>
      <c r="G5706" t="s">
        <v>16</v>
      </c>
      <c r="H5706" t="s">
        <v>17</v>
      </c>
      <c r="I5706">
        <v>0</v>
      </c>
      <c r="J5706">
        <v>1</v>
      </c>
      <c r="K5706">
        <v>0</v>
      </c>
    </row>
    <row r="5707" spans="1:11" x14ac:dyDescent="0.25">
      <c r="A5707" t="str">
        <f>"7183"</f>
        <v>7183</v>
      </c>
      <c r="B5707" t="str">
        <f t="shared" si="374"/>
        <v>1</v>
      </c>
      <c r="C5707" t="str">
        <f t="shared" si="375"/>
        <v>312</v>
      </c>
      <c r="D5707" t="str">
        <f>"2"</f>
        <v>2</v>
      </c>
      <c r="E5707" t="str">
        <f>"1-312-2"</f>
        <v>1-312-2</v>
      </c>
      <c r="F5707" t="s">
        <v>15</v>
      </c>
      <c r="G5707" t="s">
        <v>16</v>
      </c>
      <c r="H5707" t="s">
        <v>17</v>
      </c>
      <c r="I5707">
        <v>0</v>
      </c>
      <c r="J5707">
        <v>0</v>
      </c>
      <c r="K5707">
        <v>1</v>
      </c>
    </row>
    <row r="5708" spans="1:11" x14ac:dyDescent="0.25">
      <c r="A5708" t="str">
        <f>"7184"</f>
        <v>7184</v>
      </c>
      <c r="B5708" t="str">
        <f t="shared" si="374"/>
        <v>1</v>
      </c>
      <c r="C5708" t="str">
        <f t="shared" si="375"/>
        <v>312</v>
      </c>
      <c r="D5708" t="str">
        <f>"13"</f>
        <v>13</v>
      </c>
      <c r="E5708" t="str">
        <f>"1-312-13"</f>
        <v>1-312-13</v>
      </c>
      <c r="F5708" t="s">
        <v>15</v>
      </c>
      <c r="G5708" t="s">
        <v>16</v>
      </c>
      <c r="H5708" t="s">
        <v>17</v>
      </c>
      <c r="I5708">
        <v>0</v>
      </c>
      <c r="J5708">
        <v>1</v>
      </c>
      <c r="K5708">
        <v>0</v>
      </c>
    </row>
    <row r="5709" spans="1:11" x14ac:dyDescent="0.25">
      <c r="A5709" t="str">
        <f>"7185"</f>
        <v>7185</v>
      </c>
      <c r="B5709" t="str">
        <f t="shared" si="374"/>
        <v>1</v>
      </c>
      <c r="C5709" t="str">
        <f t="shared" ref="C5709:C5731" si="376">"313"</f>
        <v>313</v>
      </c>
      <c r="D5709" t="str">
        <f>"21"</f>
        <v>21</v>
      </c>
      <c r="E5709" t="str">
        <f>"1-313-21"</f>
        <v>1-313-21</v>
      </c>
      <c r="F5709" t="s">
        <v>15</v>
      </c>
      <c r="G5709" t="s">
        <v>20</v>
      </c>
      <c r="H5709" t="s">
        <v>21</v>
      </c>
      <c r="I5709">
        <v>0</v>
      </c>
      <c r="J5709">
        <v>1</v>
      </c>
      <c r="K5709">
        <v>0</v>
      </c>
    </row>
    <row r="5710" spans="1:11" x14ac:dyDescent="0.25">
      <c r="A5710" t="str">
        <f>"7186"</f>
        <v>7186</v>
      </c>
      <c r="B5710" t="str">
        <f t="shared" si="374"/>
        <v>1</v>
      </c>
      <c r="C5710" t="str">
        <f t="shared" si="376"/>
        <v>313</v>
      </c>
      <c r="D5710" t="str">
        <f>"15"</f>
        <v>15</v>
      </c>
      <c r="E5710" t="str">
        <f>"1-313-15"</f>
        <v>1-313-15</v>
      </c>
      <c r="F5710" t="s">
        <v>15</v>
      </c>
      <c r="G5710" t="s">
        <v>20</v>
      </c>
      <c r="H5710" t="s">
        <v>21</v>
      </c>
      <c r="I5710">
        <v>1</v>
      </c>
      <c r="J5710">
        <v>0</v>
      </c>
      <c r="K5710">
        <v>0</v>
      </c>
    </row>
    <row r="5711" spans="1:11" x14ac:dyDescent="0.25">
      <c r="A5711" t="str">
        <f>"7187"</f>
        <v>7187</v>
      </c>
      <c r="B5711" t="str">
        <f t="shared" si="374"/>
        <v>1</v>
      </c>
      <c r="C5711" t="str">
        <f t="shared" si="376"/>
        <v>313</v>
      </c>
      <c r="D5711" t="str">
        <f>"2"</f>
        <v>2</v>
      </c>
      <c r="E5711" t="str">
        <f>"1-313-2"</f>
        <v>1-313-2</v>
      </c>
      <c r="F5711" t="s">
        <v>15</v>
      </c>
      <c r="G5711" t="s">
        <v>20</v>
      </c>
      <c r="H5711" t="s">
        <v>21</v>
      </c>
      <c r="I5711">
        <v>0</v>
      </c>
      <c r="J5711">
        <v>1</v>
      </c>
      <c r="K5711">
        <v>0</v>
      </c>
    </row>
    <row r="5712" spans="1:11" x14ac:dyDescent="0.25">
      <c r="A5712" t="str">
        <f>"7188"</f>
        <v>7188</v>
      </c>
      <c r="B5712" t="str">
        <f t="shared" si="374"/>
        <v>1</v>
      </c>
      <c r="C5712" t="str">
        <f t="shared" si="376"/>
        <v>313</v>
      </c>
      <c r="D5712" t="str">
        <f>"20"</f>
        <v>20</v>
      </c>
      <c r="E5712" t="str">
        <f>"1-313-20"</f>
        <v>1-313-20</v>
      </c>
      <c r="F5712" t="s">
        <v>15</v>
      </c>
      <c r="G5712" t="s">
        <v>20</v>
      </c>
      <c r="H5712" t="s">
        <v>21</v>
      </c>
      <c r="I5712">
        <v>1</v>
      </c>
      <c r="J5712">
        <v>0</v>
      </c>
      <c r="K5712">
        <v>0</v>
      </c>
    </row>
    <row r="5713" spans="1:11" x14ac:dyDescent="0.25">
      <c r="A5713" t="str">
        <f>"7189"</f>
        <v>7189</v>
      </c>
      <c r="B5713" t="str">
        <f t="shared" si="374"/>
        <v>1</v>
      </c>
      <c r="C5713" t="str">
        <f t="shared" si="376"/>
        <v>313</v>
      </c>
      <c r="D5713" t="str">
        <f>"6"</f>
        <v>6</v>
      </c>
      <c r="E5713" t="str">
        <f>"1-313-6"</f>
        <v>1-313-6</v>
      </c>
      <c r="F5713" t="s">
        <v>15</v>
      </c>
      <c r="G5713" t="s">
        <v>20</v>
      </c>
      <c r="H5713" t="s">
        <v>21</v>
      </c>
      <c r="I5713">
        <v>0</v>
      </c>
      <c r="J5713">
        <v>0</v>
      </c>
      <c r="K5713">
        <v>1</v>
      </c>
    </row>
    <row r="5714" spans="1:11" x14ac:dyDescent="0.25">
      <c r="A5714" t="str">
        <f>"7190"</f>
        <v>7190</v>
      </c>
      <c r="B5714" t="str">
        <f t="shared" si="374"/>
        <v>1</v>
      </c>
      <c r="C5714" t="str">
        <f t="shared" si="376"/>
        <v>313</v>
      </c>
      <c r="D5714" t="str">
        <f>"17"</f>
        <v>17</v>
      </c>
      <c r="E5714" t="str">
        <f>"1-313-17"</f>
        <v>1-313-17</v>
      </c>
      <c r="F5714" t="s">
        <v>15</v>
      </c>
      <c r="G5714" t="s">
        <v>20</v>
      </c>
      <c r="H5714" t="s">
        <v>21</v>
      </c>
      <c r="I5714">
        <v>0</v>
      </c>
      <c r="J5714">
        <v>1</v>
      </c>
      <c r="K5714">
        <v>0</v>
      </c>
    </row>
    <row r="5715" spans="1:11" x14ac:dyDescent="0.25">
      <c r="A5715" t="str">
        <f>"7191"</f>
        <v>7191</v>
      </c>
      <c r="B5715" t="str">
        <f t="shared" si="374"/>
        <v>1</v>
      </c>
      <c r="C5715" t="str">
        <f t="shared" si="376"/>
        <v>313</v>
      </c>
      <c r="D5715" t="str">
        <f>"7"</f>
        <v>7</v>
      </c>
      <c r="E5715" t="str">
        <f>"1-313-7"</f>
        <v>1-313-7</v>
      </c>
      <c r="F5715" t="s">
        <v>15</v>
      </c>
      <c r="G5715" t="s">
        <v>20</v>
      </c>
      <c r="H5715" t="s">
        <v>21</v>
      </c>
      <c r="I5715">
        <v>1</v>
      </c>
      <c r="J5715">
        <v>0</v>
      </c>
      <c r="K5715">
        <v>0</v>
      </c>
    </row>
    <row r="5716" spans="1:11" x14ac:dyDescent="0.25">
      <c r="A5716" t="str">
        <f>"7192"</f>
        <v>7192</v>
      </c>
      <c r="B5716" t="str">
        <f t="shared" si="374"/>
        <v>1</v>
      </c>
      <c r="C5716" t="str">
        <f t="shared" si="376"/>
        <v>313</v>
      </c>
      <c r="D5716" t="str">
        <f>"18"</f>
        <v>18</v>
      </c>
      <c r="E5716" t="str">
        <f>"1-313-18"</f>
        <v>1-313-18</v>
      </c>
      <c r="F5716" t="s">
        <v>15</v>
      </c>
      <c r="G5716" t="s">
        <v>20</v>
      </c>
      <c r="H5716" t="s">
        <v>21</v>
      </c>
      <c r="I5716">
        <v>0</v>
      </c>
      <c r="J5716">
        <v>1</v>
      </c>
      <c r="K5716">
        <v>0</v>
      </c>
    </row>
    <row r="5717" spans="1:11" x14ac:dyDescent="0.25">
      <c r="A5717" t="str">
        <f>"7193"</f>
        <v>7193</v>
      </c>
      <c r="B5717" t="str">
        <f t="shared" si="374"/>
        <v>1</v>
      </c>
      <c r="C5717" t="str">
        <f t="shared" si="376"/>
        <v>313</v>
      </c>
      <c r="D5717" t="str">
        <f>"14"</f>
        <v>14</v>
      </c>
      <c r="E5717" t="str">
        <f>"1-313-14"</f>
        <v>1-313-14</v>
      </c>
      <c r="F5717" t="s">
        <v>15</v>
      </c>
      <c r="G5717" t="s">
        <v>20</v>
      </c>
      <c r="H5717" t="s">
        <v>21</v>
      </c>
      <c r="I5717">
        <v>0</v>
      </c>
      <c r="J5717">
        <v>1</v>
      </c>
      <c r="K5717">
        <v>0</v>
      </c>
    </row>
    <row r="5718" spans="1:11" x14ac:dyDescent="0.25">
      <c r="A5718" t="str">
        <f>"7194"</f>
        <v>7194</v>
      </c>
      <c r="B5718" t="str">
        <f t="shared" ref="B5718:B5781" si="377">"1"</f>
        <v>1</v>
      </c>
      <c r="C5718" t="str">
        <f t="shared" si="376"/>
        <v>313</v>
      </c>
      <c r="D5718" t="str">
        <f>"19"</f>
        <v>19</v>
      </c>
      <c r="E5718" t="str">
        <f>"1-313-19"</f>
        <v>1-313-19</v>
      </c>
      <c r="F5718" t="s">
        <v>15</v>
      </c>
      <c r="G5718" t="s">
        <v>20</v>
      </c>
      <c r="H5718" t="s">
        <v>21</v>
      </c>
      <c r="I5718">
        <v>0</v>
      </c>
      <c r="J5718">
        <v>1</v>
      </c>
      <c r="K5718">
        <v>0</v>
      </c>
    </row>
    <row r="5719" spans="1:11" x14ac:dyDescent="0.25">
      <c r="A5719" t="str">
        <f>"7195"</f>
        <v>7195</v>
      </c>
      <c r="B5719" t="str">
        <f t="shared" si="377"/>
        <v>1</v>
      </c>
      <c r="C5719" t="str">
        <f t="shared" si="376"/>
        <v>313</v>
      </c>
      <c r="D5719" t="str">
        <f>"10"</f>
        <v>10</v>
      </c>
      <c r="E5719" t="str">
        <f>"1-313-10"</f>
        <v>1-313-10</v>
      </c>
      <c r="F5719" t="s">
        <v>15</v>
      </c>
      <c r="G5719" t="s">
        <v>20</v>
      </c>
      <c r="H5719" t="s">
        <v>21</v>
      </c>
      <c r="I5719">
        <v>0</v>
      </c>
      <c r="J5719">
        <v>0</v>
      </c>
      <c r="K5719">
        <v>1</v>
      </c>
    </row>
    <row r="5720" spans="1:11" x14ac:dyDescent="0.25">
      <c r="A5720" t="str">
        <f>"7196"</f>
        <v>7196</v>
      </c>
      <c r="B5720" t="str">
        <f t="shared" si="377"/>
        <v>1</v>
      </c>
      <c r="C5720" t="str">
        <f t="shared" si="376"/>
        <v>313</v>
      </c>
      <c r="D5720" t="str">
        <f>"22"</f>
        <v>22</v>
      </c>
      <c r="E5720" t="str">
        <f>"1-313-22"</f>
        <v>1-313-22</v>
      </c>
      <c r="F5720" t="s">
        <v>15</v>
      </c>
      <c r="G5720" t="s">
        <v>20</v>
      </c>
      <c r="H5720" t="s">
        <v>21</v>
      </c>
      <c r="I5720">
        <v>0</v>
      </c>
      <c r="J5720">
        <v>1</v>
      </c>
      <c r="K5720">
        <v>0</v>
      </c>
    </row>
    <row r="5721" spans="1:11" x14ac:dyDescent="0.25">
      <c r="A5721" t="str">
        <f>"7197"</f>
        <v>7197</v>
      </c>
      <c r="B5721" t="str">
        <f t="shared" si="377"/>
        <v>1</v>
      </c>
      <c r="C5721" t="str">
        <f t="shared" si="376"/>
        <v>313</v>
      </c>
      <c r="D5721" t="str">
        <f>"11"</f>
        <v>11</v>
      </c>
      <c r="E5721" t="str">
        <f>"1-313-11"</f>
        <v>1-313-11</v>
      </c>
      <c r="F5721" t="s">
        <v>15</v>
      </c>
      <c r="G5721" t="s">
        <v>20</v>
      </c>
      <c r="H5721" t="s">
        <v>21</v>
      </c>
      <c r="I5721">
        <v>1</v>
      </c>
      <c r="J5721">
        <v>0</v>
      </c>
      <c r="K5721">
        <v>0</v>
      </c>
    </row>
    <row r="5722" spans="1:11" x14ac:dyDescent="0.25">
      <c r="A5722" t="str">
        <f>"7198"</f>
        <v>7198</v>
      </c>
      <c r="B5722" t="str">
        <f t="shared" si="377"/>
        <v>1</v>
      </c>
      <c r="C5722" t="str">
        <f t="shared" si="376"/>
        <v>313</v>
      </c>
      <c r="D5722" t="str">
        <f>"23"</f>
        <v>23</v>
      </c>
      <c r="E5722" t="str">
        <f>"1-313-23"</f>
        <v>1-313-23</v>
      </c>
      <c r="F5722" t="s">
        <v>15</v>
      </c>
      <c r="G5722" t="s">
        <v>20</v>
      </c>
      <c r="H5722" t="s">
        <v>21</v>
      </c>
      <c r="I5722">
        <v>0</v>
      </c>
      <c r="J5722">
        <v>0</v>
      </c>
      <c r="K5722">
        <v>1</v>
      </c>
    </row>
    <row r="5723" spans="1:11" x14ac:dyDescent="0.25">
      <c r="A5723" t="str">
        <f>"7199"</f>
        <v>7199</v>
      </c>
      <c r="B5723" t="str">
        <f t="shared" si="377"/>
        <v>1</v>
      </c>
      <c r="C5723" t="str">
        <f t="shared" si="376"/>
        <v>313</v>
      </c>
      <c r="D5723" t="str">
        <f>"4"</f>
        <v>4</v>
      </c>
      <c r="E5723" t="str">
        <f>"1-313-4"</f>
        <v>1-313-4</v>
      </c>
      <c r="F5723" t="s">
        <v>15</v>
      </c>
      <c r="G5723" t="s">
        <v>20</v>
      </c>
      <c r="H5723" t="s">
        <v>21</v>
      </c>
      <c r="I5723">
        <v>0</v>
      </c>
      <c r="J5723">
        <v>1</v>
      </c>
      <c r="K5723">
        <v>0</v>
      </c>
    </row>
    <row r="5724" spans="1:11" x14ac:dyDescent="0.25">
      <c r="A5724" t="str">
        <f>"7200"</f>
        <v>7200</v>
      </c>
      <c r="B5724" t="str">
        <f t="shared" si="377"/>
        <v>1</v>
      </c>
      <c r="C5724" t="str">
        <f t="shared" si="376"/>
        <v>313</v>
      </c>
      <c r="D5724" t="str">
        <f>"12"</f>
        <v>12</v>
      </c>
      <c r="E5724" t="str">
        <f>"1-313-12"</f>
        <v>1-313-12</v>
      </c>
      <c r="F5724" t="s">
        <v>15</v>
      </c>
      <c r="G5724" t="s">
        <v>20</v>
      </c>
      <c r="H5724" t="s">
        <v>21</v>
      </c>
      <c r="I5724">
        <v>0</v>
      </c>
      <c r="J5724">
        <v>1</v>
      </c>
      <c r="K5724">
        <v>0</v>
      </c>
    </row>
    <row r="5725" spans="1:11" x14ac:dyDescent="0.25">
      <c r="A5725" t="str">
        <f>"7201"</f>
        <v>7201</v>
      </c>
      <c r="B5725" t="str">
        <f t="shared" si="377"/>
        <v>1</v>
      </c>
      <c r="C5725" t="str">
        <f t="shared" si="376"/>
        <v>313</v>
      </c>
      <c r="D5725" t="str">
        <f>"8"</f>
        <v>8</v>
      </c>
      <c r="E5725" t="str">
        <f>"1-313-8"</f>
        <v>1-313-8</v>
      </c>
      <c r="F5725" t="s">
        <v>15</v>
      </c>
      <c r="G5725" t="s">
        <v>20</v>
      </c>
      <c r="H5725" t="s">
        <v>21</v>
      </c>
      <c r="I5725">
        <v>1</v>
      </c>
      <c r="J5725">
        <v>0</v>
      </c>
      <c r="K5725">
        <v>0</v>
      </c>
    </row>
    <row r="5726" spans="1:11" x14ac:dyDescent="0.25">
      <c r="A5726" t="str">
        <f>"7202"</f>
        <v>7202</v>
      </c>
      <c r="B5726" t="str">
        <f t="shared" si="377"/>
        <v>1</v>
      </c>
      <c r="C5726" t="str">
        <f t="shared" si="376"/>
        <v>313</v>
      </c>
      <c r="D5726" t="str">
        <f>"3"</f>
        <v>3</v>
      </c>
      <c r="E5726" t="str">
        <f>"1-313-3"</f>
        <v>1-313-3</v>
      </c>
      <c r="F5726" t="s">
        <v>15</v>
      </c>
      <c r="G5726" t="s">
        <v>20</v>
      </c>
      <c r="H5726" t="s">
        <v>21</v>
      </c>
      <c r="I5726">
        <v>0</v>
      </c>
      <c r="J5726">
        <v>0</v>
      </c>
      <c r="K5726">
        <v>1</v>
      </c>
    </row>
    <row r="5727" spans="1:11" x14ac:dyDescent="0.25">
      <c r="A5727" t="str">
        <f>"7203"</f>
        <v>7203</v>
      </c>
      <c r="B5727" t="str">
        <f t="shared" si="377"/>
        <v>1</v>
      </c>
      <c r="C5727" t="str">
        <f t="shared" si="376"/>
        <v>313</v>
      </c>
      <c r="D5727" t="str">
        <f>"9"</f>
        <v>9</v>
      </c>
      <c r="E5727" t="str">
        <f>"1-313-9"</f>
        <v>1-313-9</v>
      </c>
      <c r="F5727" t="s">
        <v>15</v>
      </c>
      <c r="G5727" t="s">
        <v>20</v>
      </c>
      <c r="H5727" t="s">
        <v>21</v>
      </c>
      <c r="I5727">
        <v>0</v>
      </c>
      <c r="J5727">
        <v>0</v>
      </c>
      <c r="K5727">
        <v>1</v>
      </c>
    </row>
    <row r="5728" spans="1:11" x14ac:dyDescent="0.25">
      <c r="A5728" t="str">
        <f>"7204"</f>
        <v>7204</v>
      </c>
      <c r="B5728" t="str">
        <f t="shared" si="377"/>
        <v>1</v>
      </c>
      <c r="C5728" t="str">
        <f t="shared" si="376"/>
        <v>313</v>
      </c>
      <c r="D5728" t="str">
        <f>"13"</f>
        <v>13</v>
      </c>
      <c r="E5728" t="str">
        <f>"1-313-13"</f>
        <v>1-313-13</v>
      </c>
      <c r="F5728" t="s">
        <v>15</v>
      </c>
      <c r="G5728" t="s">
        <v>20</v>
      </c>
      <c r="H5728" t="s">
        <v>21</v>
      </c>
      <c r="I5728">
        <v>1</v>
      </c>
      <c r="J5728">
        <v>0</v>
      </c>
      <c r="K5728">
        <v>0</v>
      </c>
    </row>
    <row r="5729" spans="1:11" x14ac:dyDescent="0.25">
      <c r="A5729" t="str">
        <f>"7205"</f>
        <v>7205</v>
      </c>
      <c r="B5729" t="str">
        <f t="shared" si="377"/>
        <v>1</v>
      </c>
      <c r="C5729" t="str">
        <f t="shared" si="376"/>
        <v>313</v>
      </c>
      <c r="D5729" t="str">
        <f>"5"</f>
        <v>5</v>
      </c>
      <c r="E5729" t="str">
        <f>"1-313-5"</f>
        <v>1-313-5</v>
      </c>
      <c r="F5729" t="s">
        <v>15</v>
      </c>
      <c r="G5729" t="s">
        <v>20</v>
      </c>
      <c r="H5729" t="s">
        <v>21</v>
      </c>
      <c r="I5729">
        <v>0</v>
      </c>
      <c r="J5729">
        <v>0</v>
      </c>
      <c r="K5729">
        <v>1</v>
      </c>
    </row>
    <row r="5730" spans="1:11" x14ac:dyDescent="0.25">
      <c r="A5730" t="str">
        <f>"7206"</f>
        <v>7206</v>
      </c>
      <c r="B5730" t="str">
        <f t="shared" si="377"/>
        <v>1</v>
      </c>
      <c r="C5730" t="str">
        <f t="shared" si="376"/>
        <v>313</v>
      </c>
      <c r="D5730" t="str">
        <f>"1"</f>
        <v>1</v>
      </c>
      <c r="E5730" t="str">
        <f>"1-313-1"</f>
        <v>1-313-1</v>
      </c>
      <c r="F5730" t="s">
        <v>15</v>
      </c>
      <c r="G5730" t="s">
        <v>20</v>
      </c>
      <c r="H5730" t="s">
        <v>21</v>
      </c>
      <c r="I5730">
        <v>1</v>
      </c>
      <c r="J5730">
        <v>0</v>
      </c>
      <c r="K5730">
        <v>0</v>
      </c>
    </row>
    <row r="5731" spans="1:11" x14ac:dyDescent="0.25">
      <c r="A5731" t="str">
        <f>"7207"</f>
        <v>7207</v>
      </c>
      <c r="B5731" t="str">
        <f t="shared" si="377"/>
        <v>1</v>
      </c>
      <c r="C5731" t="str">
        <f t="shared" si="376"/>
        <v>313</v>
      </c>
      <c r="D5731" t="str">
        <f>"16"</f>
        <v>16</v>
      </c>
      <c r="E5731" t="str">
        <f>"1-313-16"</f>
        <v>1-313-16</v>
      </c>
      <c r="F5731" t="s">
        <v>15</v>
      </c>
      <c r="G5731" t="s">
        <v>20</v>
      </c>
      <c r="H5731" t="s">
        <v>21</v>
      </c>
      <c r="I5731">
        <v>0</v>
      </c>
      <c r="J5731">
        <v>0</v>
      </c>
      <c r="K5731">
        <v>0</v>
      </c>
    </row>
    <row r="5732" spans="1:11" x14ac:dyDescent="0.25">
      <c r="A5732" t="str">
        <f>"7208"</f>
        <v>7208</v>
      </c>
      <c r="B5732" t="str">
        <f t="shared" si="377"/>
        <v>1</v>
      </c>
      <c r="C5732" t="str">
        <f t="shared" ref="C5732:C5760" si="378">"314"</f>
        <v>314</v>
      </c>
      <c r="D5732" t="str">
        <f>"20"</f>
        <v>20</v>
      </c>
      <c r="E5732" t="str">
        <f>"1-314-20"</f>
        <v>1-314-20</v>
      </c>
      <c r="F5732" t="s">
        <v>15</v>
      </c>
      <c r="G5732" t="s">
        <v>16</v>
      </c>
      <c r="H5732" t="s">
        <v>17</v>
      </c>
      <c r="I5732">
        <v>1</v>
      </c>
      <c r="J5732">
        <v>0</v>
      </c>
      <c r="K5732">
        <v>0</v>
      </c>
    </row>
    <row r="5733" spans="1:11" x14ac:dyDescent="0.25">
      <c r="A5733" t="str">
        <f>"7209"</f>
        <v>7209</v>
      </c>
      <c r="B5733" t="str">
        <f t="shared" si="377"/>
        <v>1</v>
      </c>
      <c r="C5733" t="str">
        <f t="shared" si="378"/>
        <v>314</v>
      </c>
      <c r="D5733" t="str">
        <f>"15"</f>
        <v>15</v>
      </c>
      <c r="E5733" t="str">
        <f>"1-314-15"</f>
        <v>1-314-15</v>
      </c>
      <c r="F5733" t="s">
        <v>15</v>
      </c>
      <c r="G5733" t="s">
        <v>16</v>
      </c>
      <c r="H5733" t="s">
        <v>17</v>
      </c>
      <c r="I5733">
        <v>0</v>
      </c>
      <c r="J5733">
        <v>1</v>
      </c>
      <c r="K5733">
        <v>0</v>
      </c>
    </row>
    <row r="5734" spans="1:11" x14ac:dyDescent="0.25">
      <c r="A5734" t="str">
        <f>"7210"</f>
        <v>7210</v>
      </c>
      <c r="B5734" t="str">
        <f t="shared" si="377"/>
        <v>1</v>
      </c>
      <c r="C5734" t="str">
        <f t="shared" si="378"/>
        <v>314</v>
      </c>
      <c r="D5734" t="str">
        <f>"3"</f>
        <v>3</v>
      </c>
      <c r="E5734" t="str">
        <f>"1-314-3"</f>
        <v>1-314-3</v>
      </c>
      <c r="F5734" t="s">
        <v>15</v>
      </c>
      <c r="G5734" t="s">
        <v>16</v>
      </c>
      <c r="H5734" t="s">
        <v>17</v>
      </c>
      <c r="I5734">
        <v>1</v>
      </c>
      <c r="J5734">
        <v>0</v>
      </c>
      <c r="K5734">
        <v>0</v>
      </c>
    </row>
    <row r="5735" spans="1:11" x14ac:dyDescent="0.25">
      <c r="A5735" t="str">
        <f>"7211"</f>
        <v>7211</v>
      </c>
      <c r="B5735" t="str">
        <f t="shared" si="377"/>
        <v>1</v>
      </c>
      <c r="C5735" t="str">
        <f t="shared" si="378"/>
        <v>314</v>
      </c>
      <c r="D5735" t="str">
        <f>"16"</f>
        <v>16</v>
      </c>
      <c r="E5735" t="str">
        <f>"1-314-16"</f>
        <v>1-314-16</v>
      </c>
      <c r="F5735" t="s">
        <v>15</v>
      </c>
      <c r="G5735" t="s">
        <v>16</v>
      </c>
      <c r="H5735" t="s">
        <v>17</v>
      </c>
      <c r="I5735">
        <v>0</v>
      </c>
      <c r="J5735">
        <v>1</v>
      </c>
      <c r="K5735">
        <v>0</v>
      </c>
    </row>
    <row r="5736" spans="1:11" x14ac:dyDescent="0.25">
      <c r="A5736" t="str">
        <f>"7212"</f>
        <v>7212</v>
      </c>
      <c r="B5736" t="str">
        <f t="shared" si="377"/>
        <v>1</v>
      </c>
      <c r="C5736" t="str">
        <f t="shared" si="378"/>
        <v>314</v>
      </c>
      <c r="D5736" t="str">
        <f>"6"</f>
        <v>6</v>
      </c>
      <c r="E5736" t="str">
        <f>"1-314-6"</f>
        <v>1-314-6</v>
      </c>
      <c r="F5736" t="s">
        <v>15</v>
      </c>
      <c r="G5736" t="s">
        <v>16</v>
      </c>
      <c r="H5736" t="s">
        <v>17</v>
      </c>
      <c r="I5736">
        <v>1</v>
      </c>
      <c r="J5736">
        <v>0</v>
      </c>
      <c r="K5736">
        <v>0</v>
      </c>
    </row>
    <row r="5737" spans="1:11" x14ac:dyDescent="0.25">
      <c r="A5737" t="str">
        <f>"7213"</f>
        <v>7213</v>
      </c>
      <c r="B5737" t="str">
        <f t="shared" si="377"/>
        <v>1</v>
      </c>
      <c r="C5737" t="str">
        <f t="shared" si="378"/>
        <v>314</v>
      </c>
      <c r="D5737" t="str">
        <f>"17"</f>
        <v>17</v>
      </c>
      <c r="E5737" t="str">
        <f>"1-314-17"</f>
        <v>1-314-17</v>
      </c>
      <c r="F5737" t="s">
        <v>15</v>
      </c>
      <c r="G5737" t="s">
        <v>16</v>
      </c>
      <c r="H5737" t="s">
        <v>17</v>
      </c>
      <c r="I5737">
        <v>0</v>
      </c>
      <c r="J5737">
        <v>1</v>
      </c>
      <c r="K5737">
        <v>0</v>
      </c>
    </row>
    <row r="5738" spans="1:11" x14ac:dyDescent="0.25">
      <c r="A5738" t="str">
        <f>"7214"</f>
        <v>7214</v>
      </c>
      <c r="B5738" t="str">
        <f t="shared" si="377"/>
        <v>1</v>
      </c>
      <c r="C5738" t="str">
        <f t="shared" si="378"/>
        <v>314</v>
      </c>
      <c r="D5738" t="str">
        <f>"8"</f>
        <v>8</v>
      </c>
      <c r="E5738" t="str">
        <f>"1-314-8"</f>
        <v>1-314-8</v>
      </c>
      <c r="F5738" t="s">
        <v>15</v>
      </c>
      <c r="G5738" t="s">
        <v>16</v>
      </c>
      <c r="H5738" t="s">
        <v>17</v>
      </c>
      <c r="I5738">
        <v>0</v>
      </c>
      <c r="J5738">
        <v>1</v>
      </c>
      <c r="K5738">
        <v>0</v>
      </c>
    </row>
    <row r="5739" spans="1:11" x14ac:dyDescent="0.25">
      <c r="A5739" t="str">
        <f>"7215"</f>
        <v>7215</v>
      </c>
      <c r="B5739" t="str">
        <f t="shared" si="377"/>
        <v>1</v>
      </c>
      <c r="C5739" t="str">
        <f t="shared" si="378"/>
        <v>314</v>
      </c>
      <c r="D5739" t="str">
        <f>"18"</f>
        <v>18</v>
      </c>
      <c r="E5739" t="str">
        <f>"1-314-18"</f>
        <v>1-314-18</v>
      </c>
      <c r="F5739" t="s">
        <v>15</v>
      </c>
      <c r="G5739" t="s">
        <v>16</v>
      </c>
      <c r="H5739" t="s">
        <v>17</v>
      </c>
      <c r="I5739">
        <v>0</v>
      </c>
      <c r="J5739">
        <v>1</v>
      </c>
      <c r="K5739">
        <v>0</v>
      </c>
    </row>
    <row r="5740" spans="1:11" x14ac:dyDescent="0.25">
      <c r="A5740" t="str">
        <f>"7216"</f>
        <v>7216</v>
      </c>
      <c r="B5740" t="str">
        <f t="shared" si="377"/>
        <v>1</v>
      </c>
      <c r="C5740" t="str">
        <f t="shared" si="378"/>
        <v>314</v>
      </c>
      <c r="D5740" t="str">
        <f>"11"</f>
        <v>11</v>
      </c>
      <c r="E5740" t="str">
        <f>"1-314-11"</f>
        <v>1-314-11</v>
      </c>
      <c r="F5740" t="s">
        <v>15</v>
      </c>
      <c r="G5740" t="s">
        <v>16</v>
      </c>
      <c r="H5740" t="s">
        <v>17</v>
      </c>
      <c r="I5740">
        <v>1</v>
      </c>
      <c r="J5740">
        <v>0</v>
      </c>
      <c r="K5740">
        <v>0</v>
      </c>
    </row>
    <row r="5741" spans="1:11" x14ac:dyDescent="0.25">
      <c r="A5741" t="str">
        <f>"7217"</f>
        <v>7217</v>
      </c>
      <c r="B5741" t="str">
        <f t="shared" si="377"/>
        <v>1</v>
      </c>
      <c r="C5741" t="str">
        <f t="shared" si="378"/>
        <v>314</v>
      </c>
      <c r="D5741" t="str">
        <f>"19"</f>
        <v>19</v>
      </c>
      <c r="E5741" t="str">
        <f>"1-314-19"</f>
        <v>1-314-19</v>
      </c>
      <c r="F5741" t="s">
        <v>15</v>
      </c>
      <c r="G5741" t="s">
        <v>16</v>
      </c>
      <c r="H5741" t="s">
        <v>17</v>
      </c>
      <c r="I5741">
        <v>0</v>
      </c>
      <c r="J5741">
        <v>0</v>
      </c>
      <c r="K5741">
        <v>1</v>
      </c>
    </row>
    <row r="5742" spans="1:11" x14ac:dyDescent="0.25">
      <c r="A5742" t="str">
        <f>"7218"</f>
        <v>7218</v>
      </c>
      <c r="B5742" t="str">
        <f t="shared" si="377"/>
        <v>1</v>
      </c>
      <c r="C5742" t="str">
        <f t="shared" si="378"/>
        <v>314</v>
      </c>
      <c r="D5742" t="str">
        <f>"14"</f>
        <v>14</v>
      </c>
      <c r="E5742" t="str">
        <f>"1-314-14"</f>
        <v>1-314-14</v>
      </c>
      <c r="F5742" t="s">
        <v>15</v>
      </c>
      <c r="G5742" t="s">
        <v>16</v>
      </c>
      <c r="H5742" t="s">
        <v>17</v>
      </c>
      <c r="I5742">
        <v>0</v>
      </c>
      <c r="J5742">
        <v>0</v>
      </c>
      <c r="K5742">
        <v>1</v>
      </c>
    </row>
    <row r="5743" spans="1:11" x14ac:dyDescent="0.25">
      <c r="A5743" t="str">
        <f>"7219"</f>
        <v>7219</v>
      </c>
      <c r="B5743" t="str">
        <f t="shared" si="377"/>
        <v>1</v>
      </c>
      <c r="C5743" t="str">
        <f t="shared" si="378"/>
        <v>314</v>
      </c>
      <c r="D5743" t="str">
        <f>"21"</f>
        <v>21</v>
      </c>
      <c r="E5743" t="str">
        <f>"1-314-21"</f>
        <v>1-314-21</v>
      </c>
      <c r="F5743" t="s">
        <v>15</v>
      </c>
      <c r="G5743" t="s">
        <v>16</v>
      </c>
      <c r="H5743" t="s">
        <v>17</v>
      </c>
      <c r="I5743">
        <v>1</v>
      </c>
      <c r="J5743">
        <v>0</v>
      </c>
      <c r="K5743">
        <v>0</v>
      </c>
    </row>
    <row r="5744" spans="1:11" x14ac:dyDescent="0.25">
      <c r="A5744" t="str">
        <f>"7220"</f>
        <v>7220</v>
      </c>
      <c r="B5744" t="str">
        <f t="shared" si="377"/>
        <v>1</v>
      </c>
      <c r="C5744" t="str">
        <f t="shared" si="378"/>
        <v>314</v>
      </c>
      <c r="D5744" t="str">
        <f>"12"</f>
        <v>12</v>
      </c>
      <c r="E5744" t="str">
        <f>"1-314-12"</f>
        <v>1-314-12</v>
      </c>
      <c r="F5744" t="s">
        <v>15</v>
      </c>
      <c r="G5744" t="s">
        <v>16</v>
      </c>
      <c r="H5744" t="s">
        <v>17</v>
      </c>
      <c r="I5744">
        <v>1</v>
      </c>
      <c r="J5744">
        <v>0</v>
      </c>
      <c r="K5744">
        <v>0</v>
      </c>
    </row>
    <row r="5745" spans="1:11" x14ac:dyDescent="0.25">
      <c r="A5745" t="str">
        <f>"7221"</f>
        <v>7221</v>
      </c>
      <c r="B5745" t="str">
        <f t="shared" si="377"/>
        <v>1</v>
      </c>
      <c r="C5745" t="str">
        <f t="shared" si="378"/>
        <v>314</v>
      </c>
      <c r="D5745" t="str">
        <f>"22"</f>
        <v>22</v>
      </c>
      <c r="E5745" t="str">
        <f>"1-314-22"</f>
        <v>1-314-22</v>
      </c>
      <c r="F5745" t="s">
        <v>15</v>
      </c>
      <c r="G5745" t="s">
        <v>16</v>
      </c>
      <c r="H5745" t="s">
        <v>17</v>
      </c>
      <c r="I5745">
        <v>0</v>
      </c>
      <c r="J5745">
        <v>1</v>
      </c>
      <c r="K5745">
        <v>0</v>
      </c>
    </row>
    <row r="5746" spans="1:11" x14ac:dyDescent="0.25">
      <c r="A5746" t="str">
        <f>"7222"</f>
        <v>7222</v>
      </c>
      <c r="B5746" t="str">
        <f t="shared" si="377"/>
        <v>1</v>
      </c>
      <c r="C5746" t="str">
        <f t="shared" si="378"/>
        <v>314</v>
      </c>
      <c r="D5746" t="str">
        <f>"5"</f>
        <v>5</v>
      </c>
      <c r="E5746" t="str">
        <f>"1-314-5"</f>
        <v>1-314-5</v>
      </c>
      <c r="F5746" t="s">
        <v>15</v>
      </c>
      <c r="G5746" t="s">
        <v>16</v>
      </c>
      <c r="H5746" t="s">
        <v>17</v>
      </c>
      <c r="I5746">
        <v>1</v>
      </c>
      <c r="J5746">
        <v>0</v>
      </c>
      <c r="K5746">
        <v>0</v>
      </c>
    </row>
    <row r="5747" spans="1:11" x14ac:dyDescent="0.25">
      <c r="A5747" t="str">
        <f>"7223"</f>
        <v>7223</v>
      </c>
      <c r="B5747" t="str">
        <f t="shared" si="377"/>
        <v>1</v>
      </c>
      <c r="C5747" t="str">
        <f t="shared" si="378"/>
        <v>314</v>
      </c>
      <c r="D5747" t="str">
        <f>"23"</f>
        <v>23</v>
      </c>
      <c r="E5747" t="str">
        <f>"1-314-23"</f>
        <v>1-314-23</v>
      </c>
      <c r="F5747" t="s">
        <v>15</v>
      </c>
      <c r="G5747" t="s">
        <v>16</v>
      </c>
      <c r="H5747" t="s">
        <v>17</v>
      </c>
      <c r="I5747">
        <v>0</v>
      </c>
      <c r="J5747">
        <v>1</v>
      </c>
      <c r="K5747">
        <v>0</v>
      </c>
    </row>
    <row r="5748" spans="1:11" x14ac:dyDescent="0.25">
      <c r="A5748" t="str">
        <f>"7224"</f>
        <v>7224</v>
      </c>
      <c r="B5748" t="str">
        <f t="shared" si="377"/>
        <v>1</v>
      </c>
      <c r="C5748" t="str">
        <f t="shared" si="378"/>
        <v>314</v>
      </c>
      <c r="D5748" t="str">
        <f>"7"</f>
        <v>7</v>
      </c>
      <c r="E5748" t="str">
        <f>"1-314-7"</f>
        <v>1-314-7</v>
      </c>
      <c r="F5748" t="s">
        <v>15</v>
      </c>
      <c r="G5748" t="s">
        <v>16</v>
      </c>
      <c r="H5748" t="s">
        <v>17</v>
      </c>
      <c r="I5748">
        <v>1</v>
      </c>
      <c r="J5748">
        <v>0</v>
      </c>
      <c r="K5748">
        <v>0</v>
      </c>
    </row>
    <row r="5749" spans="1:11" x14ac:dyDescent="0.25">
      <c r="A5749" t="str">
        <f>"7225"</f>
        <v>7225</v>
      </c>
      <c r="B5749" t="str">
        <f t="shared" si="377"/>
        <v>1</v>
      </c>
      <c r="C5749" t="str">
        <f t="shared" si="378"/>
        <v>314</v>
      </c>
      <c r="D5749" t="str">
        <f>"24"</f>
        <v>24</v>
      </c>
      <c r="E5749" t="str">
        <f>"1-314-24"</f>
        <v>1-314-24</v>
      </c>
      <c r="F5749" t="s">
        <v>15</v>
      </c>
      <c r="G5749" t="s">
        <v>16</v>
      </c>
      <c r="H5749" t="s">
        <v>17</v>
      </c>
      <c r="I5749">
        <v>0</v>
      </c>
      <c r="J5749">
        <v>0</v>
      </c>
      <c r="K5749">
        <v>1</v>
      </c>
    </row>
    <row r="5750" spans="1:11" x14ac:dyDescent="0.25">
      <c r="A5750" t="str">
        <f>"7226"</f>
        <v>7226</v>
      </c>
      <c r="B5750" t="str">
        <f t="shared" si="377"/>
        <v>1</v>
      </c>
      <c r="C5750" t="str">
        <f t="shared" si="378"/>
        <v>314</v>
      </c>
      <c r="D5750" t="str">
        <f>"1"</f>
        <v>1</v>
      </c>
      <c r="E5750" t="str">
        <f>"1-314-1"</f>
        <v>1-314-1</v>
      </c>
      <c r="F5750" t="s">
        <v>15</v>
      </c>
      <c r="G5750" t="s">
        <v>16</v>
      </c>
      <c r="H5750" t="s">
        <v>17</v>
      </c>
      <c r="I5750">
        <v>0</v>
      </c>
      <c r="J5750">
        <v>1</v>
      </c>
      <c r="K5750">
        <v>0</v>
      </c>
    </row>
    <row r="5751" spans="1:11" x14ac:dyDescent="0.25">
      <c r="A5751" t="str">
        <f>"7227"</f>
        <v>7227</v>
      </c>
      <c r="B5751" t="str">
        <f t="shared" si="377"/>
        <v>1</v>
      </c>
      <c r="C5751" t="str">
        <f t="shared" si="378"/>
        <v>314</v>
      </c>
      <c r="D5751" t="str">
        <f>"25"</f>
        <v>25</v>
      </c>
      <c r="E5751" t="str">
        <f>"1-314-25"</f>
        <v>1-314-25</v>
      </c>
      <c r="F5751" t="s">
        <v>15</v>
      </c>
      <c r="G5751" t="s">
        <v>16</v>
      </c>
      <c r="H5751" t="s">
        <v>17</v>
      </c>
      <c r="I5751">
        <v>0</v>
      </c>
      <c r="J5751">
        <v>1</v>
      </c>
      <c r="K5751">
        <v>0</v>
      </c>
    </row>
    <row r="5752" spans="1:11" x14ac:dyDescent="0.25">
      <c r="A5752" t="str">
        <f>"7228"</f>
        <v>7228</v>
      </c>
      <c r="B5752" t="str">
        <f t="shared" si="377"/>
        <v>1</v>
      </c>
      <c r="C5752" t="str">
        <f t="shared" si="378"/>
        <v>314</v>
      </c>
      <c r="D5752" t="str">
        <f>"10"</f>
        <v>10</v>
      </c>
      <c r="E5752" t="str">
        <f>"1-314-10"</f>
        <v>1-314-10</v>
      </c>
      <c r="F5752" t="s">
        <v>15</v>
      </c>
      <c r="G5752" t="s">
        <v>16</v>
      </c>
      <c r="H5752" t="s">
        <v>17</v>
      </c>
      <c r="I5752">
        <v>1</v>
      </c>
      <c r="J5752">
        <v>0</v>
      </c>
      <c r="K5752">
        <v>0</v>
      </c>
    </row>
    <row r="5753" spans="1:11" x14ac:dyDescent="0.25">
      <c r="A5753" t="str">
        <f>"7229"</f>
        <v>7229</v>
      </c>
      <c r="B5753" t="str">
        <f t="shared" si="377"/>
        <v>1</v>
      </c>
      <c r="C5753" t="str">
        <f t="shared" si="378"/>
        <v>314</v>
      </c>
      <c r="D5753" t="str">
        <f>"9"</f>
        <v>9</v>
      </c>
      <c r="E5753" t="str">
        <f>"1-314-9"</f>
        <v>1-314-9</v>
      </c>
      <c r="F5753" t="s">
        <v>15</v>
      </c>
      <c r="G5753" t="s">
        <v>16</v>
      </c>
      <c r="H5753" t="s">
        <v>17</v>
      </c>
      <c r="I5753">
        <v>0</v>
      </c>
      <c r="J5753">
        <v>1</v>
      </c>
      <c r="K5753">
        <v>0</v>
      </c>
    </row>
    <row r="5754" spans="1:11" x14ac:dyDescent="0.25">
      <c r="A5754" t="str">
        <f>"7230"</f>
        <v>7230</v>
      </c>
      <c r="B5754" t="str">
        <f t="shared" si="377"/>
        <v>1</v>
      </c>
      <c r="C5754" t="str">
        <f t="shared" si="378"/>
        <v>314</v>
      </c>
      <c r="D5754" t="str">
        <f>"27"</f>
        <v>27</v>
      </c>
      <c r="E5754" t="str">
        <f>"1-314-27"</f>
        <v>1-314-27</v>
      </c>
      <c r="F5754" t="s">
        <v>15</v>
      </c>
      <c r="G5754" t="s">
        <v>16</v>
      </c>
      <c r="H5754" t="s">
        <v>17</v>
      </c>
      <c r="I5754">
        <v>0</v>
      </c>
      <c r="J5754">
        <v>0</v>
      </c>
      <c r="K5754">
        <v>1</v>
      </c>
    </row>
    <row r="5755" spans="1:11" x14ac:dyDescent="0.25">
      <c r="A5755" t="str">
        <f>"7231"</f>
        <v>7231</v>
      </c>
      <c r="B5755" t="str">
        <f t="shared" si="377"/>
        <v>1</v>
      </c>
      <c r="C5755" t="str">
        <f t="shared" si="378"/>
        <v>314</v>
      </c>
      <c r="D5755" t="str">
        <f>"28"</f>
        <v>28</v>
      </c>
      <c r="E5755" t="str">
        <f>"1-314-28"</f>
        <v>1-314-28</v>
      </c>
      <c r="F5755" t="s">
        <v>15</v>
      </c>
      <c r="G5755" t="s">
        <v>16</v>
      </c>
      <c r="H5755" t="s">
        <v>17</v>
      </c>
      <c r="I5755">
        <v>0</v>
      </c>
      <c r="J5755">
        <v>1</v>
      </c>
      <c r="K5755">
        <v>0</v>
      </c>
    </row>
    <row r="5756" spans="1:11" x14ac:dyDescent="0.25">
      <c r="A5756" t="str">
        <f>"7232"</f>
        <v>7232</v>
      </c>
      <c r="B5756" t="str">
        <f t="shared" si="377"/>
        <v>1</v>
      </c>
      <c r="C5756" t="str">
        <f t="shared" si="378"/>
        <v>314</v>
      </c>
      <c r="D5756" t="str">
        <f>"13"</f>
        <v>13</v>
      </c>
      <c r="E5756" t="str">
        <f>"1-314-13"</f>
        <v>1-314-13</v>
      </c>
      <c r="F5756" t="s">
        <v>15</v>
      </c>
      <c r="G5756" t="s">
        <v>16</v>
      </c>
      <c r="H5756" t="s">
        <v>17</v>
      </c>
      <c r="I5756">
        <v>0</v>
      </c>
      <c r="J5756">
        <v>1</v>
      </c>
      <c r="K5756">
        <v>0</v>
      </c>
    </row>
    <row r="5757" spans="1:11" x14ac:dyDescent="0.25">
      <c r="A5757" t="str">
        <f>"7233"</f>
        <v>7233</v>
      </c>
      <c r="B5757" t="str">
        <f t="shared" si="377"/>
        <v>1</v>
      </c>
      <c r="C5757" t="str">
        <f t="shared" si="378"/>
        <v>314</v>
      </c>
      <c r="D5757" t="str">
        <f>"29"</f>
        <v>29</v>
      </c>
      <c r="E5757" t="str">
        <f>"1-314-29"</f>
        <v>1-314-29</v>
      </c>
      <c r="F5757" t="s">
        <v>15</v>
      </c>
      <c r="G5757" t="s">
        <v>16</v>
      </c>
      <c r="H5757" t="s">
        <v>17</v>
      </c>
      <c r="I5757">
        <v>0</v>
      </c>
      <c r="J5757">
        <v>1</v>
      </c>
      <c r="K5757">
        <v>0</v>
      </c>
    </row>
    <row r="5758" spans="1:11" x14ac:dyDescent="0.25">
      <c r="A5758" t="str">
        <f>"7234"</f>
        <v>7234</v>
      </c>
      <c r="B5758" t="str">
        <f t="shared" si="377"/>
        <v>1</v>
      </c>
      <c r="C5758" t="str">
        <f t="shared" si="378"/>
        <v>314</v>
      </c>
      <c r="D5758" t="str">
        <f>"4"</f>
        <v>4</v>
      </c>
      <c r="E5758" t="str">
        <f>"1-314-4"</f>
        <v>1-314-4</v>
      </c>
      <c r="F5758" t="s">
        <v>15</v>
      </c>
      <c r="G5758" t="s">
        <v>16</v>
      </c>
      <c r="H5758" t="s">
        <v>17</v>
      </c>
      <c r="I5758">
        <v>1</v>
      </c>
      <c r="J5758">
        <v>0</v>
      </c>
      <c r="K5758">
        <v>0</v>
      </c>
    </row>
    <row r="5759" spans="1:11" x14ac:dyDescent="0.25">
      <c r="A5759" t="str">
        <f>"7235"</f>
        <v>7235</v>
      </c>
      <c r="B5759" t="str">
        <f t="shared" si="377"/>
        <v>1</v>
      </c>
      <c r="C5759" t="str">
        <f t="shared" si="378"/>
        <v>314</v>
      </c>
      <c r="D5759" t="str">
        <f>"26"</f>
        <v>26</v>
      </c>
      <c r="E5759" t="str">
        <f>"1-314-26"</f>
        <v>1-314-26</v>
      </c>
      <c r="F5759" t="s">
        <v>15</v>
      </c>
      <c r="G5759" t="s">
        <v>16</v>
      </c>
      <c r="H5759" t="s">
        <v>17</v>
      </c>
      <c r="I5759">
        <v>0</v>
      </c>
      <c r="J5759">
        <v>0</v>
      </c>
      <c r="K5759">
        <v>0</v>
      </c>
    </row>
    <row r="5760" spans="1:11" x14ac:dyDescent="0.25">
      <c r="A5760" t="str">
        <f>"7236"</f>
        <v>7236</v>
      </c>
      <c r="B5760" t="str">
        <f t="shared" si="377"/>
        <v>1</v>
      </c>
      <c r="C5760" t="str">
        <f t="shared" si="378"/>
        <v>314</v>
      </c>
      <c r="D5760" t="str">
        <f>"2"</f>
        <v>2</v>
      </c>
      <c r="E5760" t="str">
        <f>"1-314-2"</f>
        <v>1-314-2</v>
      </c>
      <c r="F5760" t="s">
        <v>15</v>
      </c>
      <c r="G5760" t="s">
        <v>16</v>
      </c>
      <c r="H5760" t="s">
        <v>17</v>
      </c>
      <c r="I5760">
        <v>0</v>
      </c>
      <c r="J5760">
        <v>0</v>
      </c>
      <c r="K5760">
        <v>0</v>
      </c>
    </row>
    <row r="5761" spans="1:11" x14ac:dyDescent="0.25">
      <c r="A5761" t="str">
        <f>"7237"</f>
        <v>7237</v>
      </c>
      <c r="B5761" t="str">
        <f t="shared" si="377"/>
        <v>1</v>
      </c>
      <c r="C5761" t="str">
        <f t="shared" ref="C5761:C5792" si="379">"315"</f>
        <v>315</v>
      </c>
      <c r="D5761" t="str">
        <f>"32"</f>
        <v>32</v>
      </c>
      <c r="E5761" t="str">
        <f>"1-315-32"</f>
        <v>1-315-32</v>
      </c>
      <c r="F5761" t="s">
        <v>15</v>
      </c>
      <c r="G5761" t="s">
        <v>16</v>
      </c>
      <c r="H5761" t="s">
        <v>17</v>
      </c>
      <c r="I5761">
        <v>1</v>
      </c>
      <c r="J5761">
        <v>0</v>
      </c>
      <c r="K5761">
        <v>0</v>
      </c>
    </row>
    <row r="5762" spans="1:11" x14ac:dyDescent="0.25">
      <c r="A5762" t="str">
        <f>"7238"</f>
        <v>7238</v>
      </c>
      <c r="B5762" t="str">
        <f t="shared" si="377"/>
        <v>1</v>
      </c>
      <c r="C5762" t="str">
        <f t="shared" si="379"/>
        <v>315</v>
      </c>
      <c r="D5762" t="str">
        <f>"31"</f>
        <v>31</v>
      </c>
      <c r="E5762" t="str">
        <f>"1-315-31"</f>
        <v>1-315-31</v>
      </c>
      <c r="F5762" t="s">
        <v>15</v>
      </c>
      <c r="G5762" t="s">
        <v>18</v>
      </c>
      <c r="H5762" t="s">
        <v>19</v>
      </c>
      <c r="I5762">
        <v>0</v>
      </c>
      <c r="J5762">
        <v>1</v>
      </c>
      <c r="K5762">
        <v>0</v>
      </c>
    </row>
    <row r="5763" spans="1:11" x14ac:dyDescent="0.25">
      <c r="A5763" t="str">
        <f>"7239"</f>
        <v>7239</v>
      </c>
      <c r="B5763" t="str">
        <f t="shared" si="377"/>
        <v>1</v>
      </c>
      <c r="C5763" t="str">
        <f t="shared" si="379"/>
        <v>315</v>
      </c>
      <c r="D5763" t="str">
        <f>"19"</f>
        <v>19</v>
      </c>
      <c r="E5763" t="str">
        <f>"1-315-19"</f>
        <v>1-315-19</v>
      </c>
      <c r="F5763" t="s">
        <v>15</v>
      </c>
      <c r="G5763" t="s">
        <v>18</v>
      </c>
      <c r="H5763" t="s">
        <v>19</v>
      </c>
      <c r="I5763">
        <v>0</v>
      </c>
      <c r="J5763">
        <v>1</v>
      </c>
      <c r="K5763">
        <v>0</v>
      </c>
    </row>
    <row r="5764" spans="1:11" x14ac:dyDescent="0.25">
      <c r="A5764" t="str">
        <f>"7240"</f>
        <v>7240</v>
      </c>
      <c r="B5764" t="str">
        <f t="shared" si="377"/>
        <v>1</v>
      </c>
      <c r="C5764" t="str">
        <f t="shared" si="379"/>
        <v>315</v>
      </c>
      <c r="D5764" t="str">
        <f>"15"</f>
        <v>15</v>
      </c>
      <c r="E5764" t="str">
        <f>"1-315-15"</f>
        <v>1-315-15</v>
      </c>
      <c r="F5764" t="s">
        <v>15</v>
      </c>
      <c r="G5764" t="s">
        <v>18</v>
      </c>
      <c r="H5764" t="s">
        <v>19</v>
      </c>
      <c r="I5764">
        <v>0</v>
      </c>
      <c r="J5764">
        <v>0</v>
      </c>
      <c r="K5764">
        <v>1</v>
      </c>
    </row>
    <row r="5765" spans="1:11" x14ac:dyDescent="0.25">
      <c r="A5765" t="str">
        <f>"7241"</f>
        <v>7241</v>
      </c>
      <c r="B5765" t="str">
        <f t="shared" si="377"/>
        <v>1</v>
      </c>
      <c r="C5765" t="str">
        <f t="shared" si="379"/>
        <v>315</v>
      </c>
      <c r="D5765" t="str">
        <f>"5"</f>
        <v>5</v>
      </c>
      <c r="E5765" t="str">
        <f>"1-315-5"</f>
        <v>1-315-5</v>
      </c>
      <c r="F5765" t="s">
        <v>15</v>
      </c>
      <c r="G5765" t="s">
        <v>20</v>
      </c>
      <c r="H5765" t="s">
        <v>21</v>
      </c>
      <c r="I5765">
        <v>1</v>
      </c>
      <c r="J5765">
        <v>0</v>
      </c>
      <c r="K5765">
        <v>0</v>
      </c>
    </row>
    <row r="5766" spans="1:11" x14ac:dyDescent="0.25">
      <c r="A5766" t="str">
        <f>"7242"</f>
        <v>7242</v>
      </c>
      <c r="B5766" t="str">
        <f t="shared" si="377"/>
        <v>1</v>
      </c>
      <c r="C5766" t="str">
        <f t="shared" si="379"/>
        <v>315</v>
      </c>
      <c r="D5766" t="str">
        <f>"16"</f>
        <v>16</v>
      </c>
      <c r="E5766" t="str">
        <f>"1-315-16"</f>
        <v>1-315-16</v>
      </c>
      <c r="F5766" t="s">
        <v>15</v>
      </c>
      <c r="G5766" t="s">
        <v>18</v>
      </c>
      <c r="H5766" t="s">
        <v>19</v>
      </c>
      <c r="I5766">
        <v>0</v>
      </c>
      <c r="J5766">
        <v>1</v>
      </c>
      <c r="K5766">
        <v>0</v>
      </c>
    </row>
    <row r="5767" spans="1:11" x14ac:dyDescent="0.25">
      <c r="A5767" t="str">
        <f>"7243"</f>
        <v>7243</v>
      </c>
      <c r="B5767" t="str">
        <f t="shared" si="377"/>
        <v>1</v>
      </c>
      <c r="C5767" t="str">
        <f t="shared" si="379"/>
        <v>315</v>
      </c>
      <c r="D5767" t="str">
        <f>"1"</f>
        <v>1</v>
      </c>
      <c r="E5767" t="str">
        <f>"1-315-1"</f>
        <v>1-315-1</v>
      </c>
      <c r="F5767" t="s">
        <v>15</v>
      </c>
      <c r="G5767" t="s">
        <v>20</v>
      </c>
      <c r="H5767" t="s">
        <v>21</v>
      </c>
      <c r="I5767">
        <v>0</v>
      </c>
      <c r="J5767">
        <v>0</v>
      </c>
      <c r="K5767">
        <v>1</v>
      </c>
    </row>
    <row r="5768" spans="1:11" x14ac:dyDescent="0.25">
      <c r="A5768" t="str">
        <f>"7244"</f>
        <v>7244</v>
      </c>
      <c r="B5768" t="str">
        <f t="shared" si="377"/>
        <v>1</v>
      </c>
      <c r="C5768" t="str">
        <f t="shared" si="379"/>
        <v>315</v>
      </c>
      <c r="D5768" t="str">
        <f>"2"</f>
        <v>2</v>
      </c>
      <c r="E5768" t="str">
        <f>"1-315-2"</f>
        <v>1-315-2</v>
      </c>
      <c r="F5768" t="s">
        <v>15</v>
      </c>
      <c r="G5768" t="s">
        <v>16</v>
      </c>
      <c r="H5768" t="s">
        <v>17</v>
      </c>
      <c r="I5768">
        <v>1</v>
      </c>
      <c r="J5768">
        <v>0</v>
      </c>
      <c r="K5768">
        <v>0</v>
      </c>
    </row>
    <row r="5769" spans="1:11" x14ac:dyDescent="0.25">
      <c r="A5769" t="str">
        <f>"7245"</f>
        <v>7245</v>
      </c>
      <c r="B5769" t="str">
        <f t="shared" si="377"/>
        <v>1</v>
      </c>
      <c r="C5769" t="str">
        <f t="shared" si="379"/>
        <v>315</v>
      </c>
      <c r="D5769" t="str">
        <f>"18"</f>
        <v>18</v>
      </c>
      <c r="E5769" t="str">
        <f>"1-315-18"</f>
        <v>1-315-18</v>
      </c>
      <c r="F5769" t="s">
        <v>15</v>
      </c>
      <c r="G5769" t="s">
        <v>18</v>
      </c>
      <c r="H5769" t="s">
        <v>19</v>
      </c>
      <c r="I5769">
        <v>0</v>
      </c>
      <c r="J5769">
        <v>1</v>
      </c>
      <c r="K5769">
        <v>0</v>
      </c>
    </row>
    <row r="5770" spans="1:11" x14ac:dyDescent="0.25">
      <c r="A5770" t="str">
        <f>"7246"</f>
        <v>7246</v>
      </c>
      <c r="B5770" t="str">
        <f t="shared" si="377"/>
        <v>1</v>
      </c>
      <c r="C5770" t="str">
        <f t="shared" si="379"/>
        <v>315</v>
      </c>
      <c r="D5770" t="str">
        <f>"11"</f>
        <v>11</v>
      </c>
      <c r="E5770" t="str">
        <f>"1-315-11"</f>
        <v>1-315-11</v>
      </c>
      <c r="F5770" t="s">
        <v>15</v>
      </c>
      <c r="G5770" t="s">
        <v>16</v>
      </c>
      <c r="H5770" t="s">
        <v>17</v>
      </c>
      <c r="I5770">
        <v>1</v>
      </c>
      <c r="J5770">
        <v>0</v>
      </c>
      <c r="K5770">
        <v>0</v>
      </c>
    </row>
    <row r="5771" spans="1:11" x14ac:dyDescent="0.25">
      <c r="A5771" t="str">
        <f>"7247"</f>
        <v>7247</v>
      </c>
      <c r="B5771" t="str">
        <f t="shared" si="377"/>
        <v>1</v>
      </c>
      <c r="C5771" t="str">
        <f t="shared" si="379"/>
        <v>315</v>
      </c>
      <c r="D5771" t="str">
        <f>"20"</f>
        <v>20</v>
      </c>
      <c r="E5771" t="str">
        <f>"1-315-20"</f>
        <v>1-315-20</v>
      </c>
      <c r="F5771" t="s">
        <v>15</v>
      </c>
      <c r="G5771" t="s">
        <v>18</v>
      </c>
      <c r="H5771" t="s">
        <v>19</v>
      </c>
      <c r="I5771">
        <v>0</v>
      </c>
      <c r="J5771">
        <v>1</v>
      </c>
      <c r="K5771">
        <v>0</v>
      </c>
    </row>
    <row r="5772" spans="1:11" x14ac:dyDescent="0.25">
      <c r="A5772" t="str">
        <f>"7248"</f>
        <v>7248</v>
      </c>
      <c r="B5772" t="str">
        <f t="shared" si="377"/>
        <v>1</v>
      </c>
      <c r="C5772" t="str">
        <f t="shared" si="379"/>
        <v>315</v>
      </c>
      <c r="D5772" t="str">
        <f>"12"</f>
        <v>12</v>
      </c>
      <c r="E5772" t="str">
        <f>"1-315-12"</f>
        <v>1-315-12</v>
      </c>
      <c r="F5772" t="s">
        <v>15</v>
      </c>
      <c r="G5772" t="s">
        <v>16</v>
      </c>
      <c r="H5772" t="s">
        <v>17</v>
      </c>
      <c r="I5772">
        <v>0</v>
      </c>
      <c r="J5772">
        <v>0</v>
      </c>
      <c r="K5772">
        <v>1</v>
      </c>
    </row>
    <row r="5773" spans="1:11" x14ac:dyDescent="0.25">
      <c r="A5773" t="str">
        <f>"7249"</f>
        <v>7249</v>
      </c>
      <c r="B5773" t="str">
        <f t="shared" si="377"/>
        <v>1</v>
      </c>
      <c r="C5773" t="str">
        <f t="shared" si="379"/>
        <v>315</v>
      </c>
      <c r="D5773" t="str">
        <f>"21"</f>
        <v>21</v>
      </c>
      <c r="E5773" t="str">
        <f>"1-315-21"</f>
        <v>1-315-21</v>
      </c>
      <c r="F5773" t="s">
        <v>15</v>
      </c>
      <c r="G5773" t="s">
        <v>18</v>
      </c>
      <c r="H5773" t="s">
        <v>19</v>
      </c>
      <c r="I5773">
        <v>0</v>
      </c>
      <c r="J5773">
        <v>0</v>
      </c>
      <c r="K5773">
        <v>1</v>
      </c>
    </row>
    <row r="5774" spans="1:11" x14ac:dyDescent="0.25">
      <c r="A5774" t="str">
        <f>"7250"</f>
        <v>7250</v>
      </c>
      <c r="B5774" t="str">
        <f t="shared" si="377"/>
        <v>1</v>
      </c>
      <c r="C5774" t="str">
        <f t="shared" si="379"/>
        <v>315</v>
      </c>
      <c r="D5774" t="str">
        <f>"13"</f>
        <v>13</v>
      </c>
      <c r="E5774" t="str">
        <f>"1-315-13"</f>
        <v>1-315-13</v>
      </c>
      <c r="F5774" t="s">
        <v>15</v>
      </c>
      <c r="G5774" t="s">
        <v>16</v>
      </c>
      <c r="H5774" t="s">
        <v>17</v>
      </c>
      <c r="I5774">
        <v>1</v>
      </c>
      <c r="J5774">
        <v>0</v>
      </c>
      <c r="K5774">
        <v>0</v>
      </c>
    </row>
    <row r="5775" spans="1:11" x14ac:dyDescent="0.25">
      <c r="A5775" t="str">
        <f>"7251"</f>
        <v>7251</v>
      </c>
      <c r="B5775" t="str">
        <f t="shared" si="377"/>
        <v>1</v>
      </c>
      <c r="C5775" t="str">
        <f t="shared" si="379"/>
        <v>315</v>
      </c>
      <c r="D5775" t="str">
        <f>"22"</f>
        <v>22</v>
      </c>
      <c r="E5775" t="str">
        <f>"1-315-22"</f>
        <v>1-315-22</v>
      </c>
      <c r="F5775" t="s">
        <v>15</v>
      </c>
      <c r="G5775" t="s">
        <v>18</v>
      </c>
      <c r="H5775" t="s">
        <v>19</v>
      </c>
      <c r="I5775">
        <v>0</v>
      </c>
      <c r="J5775">
        <v>1</v>
      </c>
      <c r="K5775">
        <v>0</v>
      </c>
    </row>
    <row r="5776" spans="1:11" x14ac:dyDescent="0.25">
      <c r="A5776" t="str">
        <f>"7252"</f>
        <v>7252</v>
      </c>
      <c r="B5776" t="str">
        <f t="shared" si="377"/>
        <v>1</v>
      </c>
      <c r="C5776" t="str">
        <f t="shared" si="379"/>
        <v>315</v>
      </c>
      <c r="D5776" t="str">
        <f>"10"</f>
        <v>10</v>
      </c>
      <c r="E5776" t="str">
        <f>"1-315-10"</f>
        <v>1-315-10</v>
      </c>
      <c r="F5776" t="s">
        <v>15</v>
      </c>
      <c r="G5776" t="s">
        <v>16</v>
      </c>
      <c r="H5776" t="s">
        <v>17</v>
      </c>
      <c r="I5776">
        <v>1</v>
      </c>
      <c r="J5776">
        <v>0</v>
      </c>
      <c r="K5776">
        <v>0</v>
      </c>
    </row>
    <row r="5777" spans="1:11" x14ac:dyDescent="0.25">
      <c r="A5777" t="str">
        <f>"7253"</f>
        <v>7253</v>
      </c>
      <c r="B5777" t="str">
        <f t="shared" si="377"/>
        <v>1</v>
      </c>
      <c r="C5777" t="str">
        <f t="shared" si="379"/>
        <v>315</v>
      </c>
      <c r="D5777" t="str">
        <f>"3"</f>
        <v>3</v>
      </c>
      <c r="E5777" t="str">
        <f>"1-315-3"</f>
        <v>1-315-3</v>
      </c>
      <c r="F5777" t="s">
        <v>15</v>
      </c>
      <c r="G5777" t="s">
        <v>18</v>
      </c>
      <c r="H5777" t="s">
        <v>19</v>
      </c>
      <c r="I5777">
        <v>1</v>
      </c>
      <c r="J5777">
        <v>0</v>
      </c>
      <c r="K5777">
        <v>0</v>
      </c>
    </row>
    <row r="5778" spans="1:11" x14ac:dyDescent="0.25">
      <c r="A5778" t="str">
        <f>"7254"</f>
        <v>7254</v>
      </c>
      <c r="B5778" t="str">
        <f t="shared" si="377"/>
        <v>1</v>
      </c>
      <c r="C5778" t="str">
        <f t="shared" si="379"/>
        <v>315</v>
      </c>
      <c r="D5778" t="str">
        <f>"24"</f>
        <v>24</v>
      </c>
      <c r="E5778" t="str">
        <f>"1-315-24"</f>
        <v>1-315-24</v>
      </c>
      <c r="F5778" t="s">
        <v>15</v>
      </c>
      <c r="G5778" t="s">
        <v>20</v>
      </c>
      <c r="H5778" t="s">
        <v>21</v>
      </c>
      <c r="I5778">
        <v>1</v>
      </c>
      <c r="J5778">
        <v>0</v>
      </c>
      <c r="K5778">
        <v>0</v>
      </c>
    </row>
    <row r="5779" spans="1:11" x14ac:dyDescent="0.25">
      <c r="A5779" t="str">
        <f>"7255"</f>
        <v>7255</v>
      </c>
      <c r="B5779" t="str">
        <f t="shared" si="377"/>
        <v>1</v>
      </c>
      <c r="C5779" t="str">
        <f t="shared" si="379"/>
        <v>315</v>
      </c>
      <c r="D5779" t="str">
        <f>"4"</f>
        <v>4</v>
      </c>
      <c r="E5779" t="str">
        <f>"1-315-4"</f>
        <v>1-315-4</v>
      </c>
      <c r="F5779" t="s">
        <v>15</v>
      </c>
      <c r="G5779" t="s">
        <v>16</v>
      </c>
      <c r="H5779" t="s">
        <v>17</v>
      </c>
      <c r="I5779">
        <v>0</v>
      </c>
      <c r="J5779">
        <v>1</v>
      </c>
      <c r="K5779">
        <v>0</v>
      </c>
    </row>
    <row r="5780" spans="1:11" x14ac:dyDescent="0.25">
      <c r="A5780" t="str">
        <f>"7256"</f>
        <v>7256</v>
      </c>
      <c r="B5780" t="str">
        <f t="shared" si="377"/>
        <v>1</v>
      </c>
      <c r="C5780" t="str">
        <f t="shared" si="379"/>
        <v>315</v>
      </c>
      <c r="D5780" t="str">
        <f>"25"</f>
        <v>25</v>
      </c>
      <c r="E5780" t="str">
        <f>"1-315-25"</f>
        <v>1-315-25</v>
      </c>
      <c r="F5780" t="s">
        <v>15</v>
      </c>
      <c r="G5780" t="s">
        <v>18</v>
      </c>
      <c r="H5780" t="s">
        <v>19</v>
      </c>
      <c r="I5780">
        <v>0</v>
      </c>
      <c r="J5780">
        <v>1</v>
      </c>
      <c r="K5780">
        <v>0</v>
      </c>
    </row>
    <row r="5781" spans="1:11" x14ac:dyDescent="0.25">
      <c r="A5781" t="str">
        <f>"7257"</f>
        <v>7257</v>
      </c>
      <c r="B5781" t="str">
        <f t="shared" si="377"/>
        <v>1</v>
      </c>
      <c r="C5781" t="str">
        <f t="shared" si="379"/>
        <v>315</v>
      </c>
      <c r="D5781" t="str">
        <f>"8"</f>
        <v>8</v>
      </c>
      <c r="E5781" t="str">
        <f>"1-315-8"</f>
        <v>1-315-8</v>
      </c>
      <c r="F5781" t="s">
        <v>15</v>
      </c>
      <c r="G5781" t="s">
        <v>20</v>
      </c>
      <c r="H5781" t="s">
        <v>21</v>
      </c>
      <c r="I5781">
        <v>0</v>
      </c>
      <c r="J5781">
        <v>1</v>
      </c>
      <c r="K5781">
        <v>0</v>
      </c>
    </row>
    <row r="5782" spans="1:11" x14ac:dyDescent="0.25">
      <c r="A5782" t="str">
        <f>"7258"</f>
        <v>7258</v>
      </c>
      <c r="B5782" t="str">
        <f t="shared" ref="B5782:B5845" si="380">"1"</f>
        <v>1</v>
      </c>
      <c r="C5782" t="str">
        <f t="shared" si="379"/>
        <v>315</v>
      </c>
      <c r="D5782" t="str">
        <f>"6"</f>
        <v>6</v>
      </c>
      <c r="E5782" t="str">
        <f>"1-315-6"</f>
        <v>1-315-6</v>
      </c>
      <c r="F5782" t="s">
        <v>15</v>
      </c>
      <c r="G5782" t="s">
        <v>16</v>
      </c>
      <c r="H5782" t="s">
        <v>17</v>
      </c>
      <c r="I5782">
        <v>1</v>
      </c>
      <c r="J5782">
        <v>0</v>
      </c>
      <c r="K5782">
        <v>0</v>
      </c>
    </row>
    <row r="5783" spans="1:11" x14ac:dyDescent="0.25">
      <c r="A5783" t="str">
        <f>"7259"</f>
        <v>7259</v>
      </c>
      <c r="B5783" t="str">
        <f t="shared" si="380"/>
        <v>1</v>
      </c>
      <c r="C5783" t="str">
        <f t="shared" si="379"/>
        <v>315</v>
      </c>
      <c r="D5783" t="str">
        <f>"14"</f>
        <v>14</v>
      </c>
      <c r="E5783" t="str">
        <f>"1-315-14"</f>
        <v>1-315-14</v>
      </c>
      <c r="F5783" t="s">
        <v>15</v>
      </c>
      <c r="G5783" t="s">
        <v>18</v>
      </c>
      <c r="H5783" t="s">
        <v>19</v>
      </c>
      <c r="I5783">
        <v>0</v>
      </c>
      <c r="J5783">
        <v>0</v>
      </c>
      <c r="K5783">
        <v>1</v>
      </c>
    </row>
    <row r="5784" spans="1:11" x14ac:dyDescent="0.25">
      <c r="A5784" t="str">
        <f>"7260"</f>
        <v>7260</v>
      </c>
      <c r="B5784" t="str">
        <f t="shared" si="380"/>
        <v>1</v>
      </c>
      <c r="C5784" t="str">
        <f t="shared" si="379"/>
        <v>315</v>
      </c>
      <c r="D5784" t="str">
        <f>"29"</f>
        <v>29</v>
      </c>
      <c r="E5784" t="str">
        <f>"1-315-29"</f>
        <v>1-315-29</v>
      </c>
      <c r="F5784" t="s">
        <v>15</v>
      </c>
      <c r="G5784" t="s">
        <v>18</v>
      </c>
      <c r="H5784" t="s">
        <v>19</v>
      </c>
      <c r="I5784">
        <v>0</v>
      </c>
      <c r="J5784">
        <v>1</v>
      </c>
      <c r="K5784">
        <v>0</v>
      </c>
    </row>
    <row r="5785" spans="1:11" x14ac:dyDescent="0.25">
      <c r="A5785" t="str">
        <f>"7261"</f>
        <v>7261</v>
      </c>
      <c r="B5785" t="str">
        <f t="shared" si="380"/>
        <v>1</v>
      </c>
      <c r="C5785" t="str">
        <f t="shared" si="379"/>
        <v>315</v>
      </c>
      <c r="D5785" t="str">
        <f>"7"</f>
        <v>7</v>
      </c>
      <c r="E5785" t="str">
        <f>"1-315-7"</f>
        <v>1-315-7</v>
      </c>
      <c r="F5785" t="s">
        <v>15</v>
      </c>
      <c r="G5785" t="s">
        <v>20</v>
      </c>
      <c r="H5785" t="s">
        <v>21</v>
      </c>
      <c r="I5785">
        <v>1</v>
      </c>
      <c r="J5785">
        <v>0</v>
      </c>
      <c r="K5785">
        <v>0</v>
      </c>
    </row>
    <row r="5786" spans="1:11" x14ac:dyDescent="0.25">
      <c r="A5786" t="str">
        <f>"7262"</f>
        <v>7262</v>
      </c>
      <c r="B5786" t="str">
        <f t="shared" si="380"/>
        <v>1</v>
      </c>
      <c r="C5786" t="str">
        <f t="shared" si="379"/>
        <v>315</v>
      </c>
      <c r="D5786" t="str">
        <f>"30"</f>
        <v>30</v>
      </c>
      <c r="E5786" t="str">
        <f>"1-315-30"</f>
        <v>1-315-30</v>
      </c>
      <c r="F5786" t="s">
        <v>15</v>
      </c>
      <c r="G5786" t="s">
        <v>18</v>
      </c>
      <c r="H5786" t="s">
        <v>19</v>
      </c>
      <c r="I5786">
        <v>0</v>
      </c>
      <c r="J5786">
        <v>1</v>
      </c>
      <c r="K5786">
        <v>0</v>
      </c>
    </row>
    <row r="5787" spans="1:11" x14ac:dyDescent="0.25">
      <c r="A5787" t="str">
        <f>"7263"</f>
        <v>7263</v>
      </c>
      <c r="B5787" t="str">
        <f t="shared" si="380"/>
        <v>1</v>
      </c>
      <c r="C5787" t="str">
        <f t="shared" si="379"/>
        <v>315</v>
      </c>
      <c r="D5787" t="str">
        <f>"9"</f>
        <v>9</v>
      </c>
      <c r="E5787" t="str">
        <f>"1-315-9"</f>
        <v>1-315-9</v>
      </c>
      <c r="F5787" t="s">
        <v>15</v>
      </c>
      <c r="G5787" t="s">
        <v>18</v>
      </c>
      <c r="H5787" t="s">
        <v>19</v>
      </c>
      <c r="I5787">
        <v>1</v>
      </c>
      <c r="J5787">
        <v>0</v>
      </c>
      <c r="K5787">
        <v>0</v>
      </c>
    </row>
    <row r="5788" spans="1:11" x14ac:dyDescent="0.25">
      <c r="A5788" t="str">
        <f>"7264"</f>
        <v>7264</v>
      </c>
      <c r="B5788" t="str">
        <f t="shared" si="380"/>
        <v>1</v>
      </c>
      <c r="C5788" t="str">
        <f t="shared" si="379"/>
        <v>315</v>
      </c>
      <c r="D5788" t="str">
        <f>"28"</f>
        <v>28</v>
      </c>
      <c r="E5788" t="str">
        <f>"1-315-28"</f>
        <v>1-315-28</v>
      </c>
      <c r="F5788" t="s">
        <v>15</v>
      </c>
      <c r="G5788" t="s">
        <v>18</v>
      </c>
      <c r="H5788" t="s">
        <v>19</v>
      </c>
      <c r="I5788">
        <v>0</v>
      </c>
      <c r="J5788">
        <v>0</v>
      </c>
      <c r="K5788">
        <v>0</v>
      </c>
    </row>
    <row r="5789" spans="1:11" x14ac:dyDescent="0.25">
      <c r="A5789" t="str">
        <f>"7265"</f>
        <v>7265</v>
      </c>
      <c r="B5789" t="str">
        <f t="shared" si="380"/>
        <v>1</v>
      </c>
      <c r="C5789" t="str">
        <f t="shared" si="379"/>
        <v>315</v>
      </c>
      <c r="D5789" t="str">
        <f>"23"</f>
        <v>23</v>
      </c>
      <c r="E5789" t="str">
        <f>"1-315-23"</f>
        <v>1-315-23</v>
      </c>
      <c r="F5789" t="s">
        <v>15</v>
      </c>
      <c r="G5789" t="s">
        <v>18</v>
      </c>
      <c r="H5789" t="s">
        <v>19</v>
      </c>
      <c r="I5789">
        <v>0</v>
      </c>
      <c r="J5789">
        <v>0</v>
      </c>
      <c r="K5789">
        <v>0</v>
      </c>
    </row>
    <row r="5790" spans="1:11" x14ac:dyDescent="0.25">
      <c r="A5790" t="str">
        <f>"7266"</f>
        <v>7266</v>
      </c>
      <c r="B5790" t="str">
        <f t="shared" si="380"/>
        <v>1</v>
      </c>
      <c r="C5790" t="str">
        <f t="shared" si="379"/>
        <v>315</v>
      </c>
      <c r="D5790" t="str">
        <f>"26"</f>
        <v>26</v>
      </c>
      <c r="E5790" t="str">
        <f>"1-315-26"</f>
        <v>1-315-26</v>
      </c>
      <c r="F5790" t="s">
        <v>15</v>
      </c>
      <c r="G5790" t="s">
        <v>18</v>
      </c>
      <c r="H5790" t="s">
        <v>19</v>
      </c>
      <c r="I5790">
        <v>0</v>
      </c>
      <c r="J5790">
        <v>0</v>
      </c>
      <c r="K5790">
        <v>0</v>
      </c>
    </row>
    <row r="5791" spans="1:11" x14ac:dyDescent="0.25">
      <c r="A5791" t="str">
        <f>"7267"</f>
        <v>7267</v>
      </c>
      <c r="B5791" t="str">
        <f t="shared" si="380"/>
        <v>1</v>
      </c>
      <c r="C5791" t="str">
        <f t="shared" si="379"/>
        <v>315</v>
      </c>
      <c r="D5791" t="str">
        <f>"27"</f>
        <v>27</v>
      </c>
      <c r="E5791" t="str">
        <f>"1-315-27"</f>
        <v>1-315-27</v>
      </c>
      <c r="F5791" t="s">
        <v>15</v>
      </c>
      <c r="G5791" t="s">
        <v>18</v>
      </c>
      <c r="H5791" t="s">
        <v>19</v>
      </c>
      <c r="I5791">
        <v>0</v>
      </c>
      <c r="J5791">
        <v>0</v>
      </c>
      <c r="K5791">
        <v>0</v>
      </c>
    </row>
    <row r="5792" spans="1:11" x14ac:dyDescent="0.25">
      <c r="A5792" t="str">
        <f>"7268"</f>
        <v>7268</v>
      </c>
      <c r="B5792" t="str">
        <f t="shared" si="380"/>
        <v>1</v>
      </c>
      <c r="C5792" t="str">
        <f t="shared" si="379"/>
        <v>315</v>
      </c>
      <c r="D5792" t="str">
        <f>"17"</f>
        <v>17</v>
      </c>
      <c r="E5792" t="str">
        <f>"1-315-17"</f>
        <v>1-315-17</v>
      </c>
      <c r="F5792" t="s">
        <v>15</v>
      </c>
      <c r="G5792" t="s">
        <v>18</v>
      </c>
      <c r="H5792" t="s">
        <v>19</v>
      </c>
      <c r="I5792">
        <v>0</v>
      </c>
      <c r="J5792">
        <v>0</v>
      </c>
      <c r="K5792">
        <v>0</v>
      </c>
    </row>
    <row r="5793" spans="1:11" x14ac:dyDescent="0.25">
      <c r="A5793" t="str">
        <f>"7269"</f>
        <v>7269</v>
      </c>
      <c r="B5793" t="str">
        <f t="shared" si="380"/>
        <v>1</v>
      </c>
      <c r="C5793" t="str">
        <f t="shared" ref="C5793:C5817" si="381">"316"</f>
        <v>316</v>
      </c>
      <c r="D5793" t="str">
        <f>"17"</f>
        <v>17</v>
      </c>
      <c r="E5793" t="str">
        <f>"1-316-17"</f>
        <v>1-316-17</v>
      </c>
      <c r="F5793" t="s">
        <v>15</v>
      </c>
      <c r="G5793" t="s">
        <v>20</v>
      </c>
      <c r="H5793" t="s">
        <v>21</v>
      </c>
      <c r="I5793">
        <v>0</v>
      </c>
      <c r="J5793">
        <v>1</v>
      </c>
      <c r="K5793">
        <v>0</v>
      </c>
    </row>
    <row r="5794" spans="1:11" x14ac:dyDescent="0.25">
      <c r="A5794" t="str">
        <f>"7270"</f>
        <v>7270</v>
      </c>
      <c r="B5794" t="str">
        <f t="shared" si="380"/>
        <v>1</v>
      </c>
      <c r="C5794" t="str">
        <f t="shared" si="381"/>
        <v>316</v>
      </c>
      <c r="D5794" t="str">
        <f>"15"</f>
        <v>15</v>
      </c>
      <c r="E5794" t="str">
        <f>"1-316-15"</f>
        <v>1-316-15</v>
      </c>
      <c r="F5794" t="s">
        <v>15</v>
      </c>
      <c r="G5794" t="s">
        <v>20</v>
      </c>
      <c r="H5794" t="s">
        <v>21</v>
      </c>
      <c r="I5794">
        <v>1</v>
      </c>
      <c r="J5794">
        <v>0</v>
      </c>
      <c r="K5794">
        <v>0</v>
      </c>
    </row>
    <row r="5795" spans="1:11" x14ac:dyDescent="0.25">
      <c r="A5795" t="str">
        <f>"7271"</f>
        <v>7271</v>
      </c>
      <c r="B5795" t="str">
        <f t="shared" si="380"/>
        <v>1</v>
      </c>
      <c r="C5795" t="str">
        <f t="shared" si="381"/>
        <v>316</v>
      </c>
      <c r="D5795" t="str">
        <f>"8"</f>
        <v>8</v>
      </c>
      <c r="E5795" t="str">
        <f>"1-316-8"</f>
        <v>1-316-8</v>
      </c>
      <c r="F5795" t="s">
        <v>15</v>
      </c>
      <c r="G5795" t="s">
        <v>20</v>
      </c>
      <c r="H5795" t="s">
        <v>21</v>
      </c>
      <c r="I5795">
        <v>1</v>
      </c>
      <c r="J5795">
        <v>0</v>
      </c>
      <c r="K5795">
        <v>0</v>
      </c>
    </row>
    <row r="5796" spans="1:11" x14ac:dyDescent="0.25">
      <c r="A5796" t="str">
        <f>"7272"</f>
        <v>7272</v>
      </c>
      <c r="B5796" t="str">
        <f t="shared" si="380"/>
        <v>1</v>
      </c>
      <c r="C5796" t="str">
        <f t="shared" si="381"/>
        <v>316</v>
      </c>
      <c r="D5796" t="str">
        <f>"24"</f>
        <v>24</v>
      </c>
      <c r="E5796" t="str">
        <f>"1-316-24"</f>
        <v>1-316-24</v>
      </c>
      <c r="F5796" t="s">
        <v>15</v>
      </c>
      <c r="G5796" t="s">
        <v>20</v>
      </c>
      <c r="H5796" t="s">
        <v>21</v>
      </c>
      <c r="I5796">
        <v>0</v>
      </c>
      <c r="J5796">
        <v>0</v>
      </c>
      <c r="K5796">
        <v>1</v>
      </c>
    </row>
    <row r="5797" spans="1:11" x14ac:dyDescent="0.25">
      <c r="A5797" t="str">
        <f>"7273"</f>
        <v>7273</v>
      </c>
      <c r="B5797" t="str">
        <f t="shared" si="380"/>
        <v>1</v>
      </c>
      <c r="C5797" t="str">
        <f t="shared" si="381"/>
        <v>316</v>
      </c>
      <c r="D5797" t="str">
        <f>"16"</f>
        <v>16</v>
      </c>
      <c r="E5797" t="str">
        <f>"1-316-16"</f>
        <v>1-316-16</v>
      </c>
      <c r="F5797" t="s">
        <v>15</v>
      </c>
      <c r="G5797" t="s">
        <v>20</v>
      </c>
      <c r="H5797" t="s">
        <v>21</v>
      </c>
      <c r="I5797">
        <v>1</v>
      </c>
      <c r="J5797">
        <v>0</v>
      </c>
      <c r="K5797">
        <v>0</v>
      </c>
    </row>
    <row r="5798" spans="1:11" x14ac:dyDescent="0.25">
      <c r="A5798" t="str">
        <f>"7274"</f>
        <v>7274</v>
      </c>
      <c r="B5798" t="str">
        <f t="shared" si="380"/>
        <v>1</v>
      </c>
      <c r="C5798" t="str">
        <f t="shared" si="381"/>
        <v>316</v>
      </c>
      <c r="D5798" t="str">
        <f>"5"</f>
        <v>5</v>
      </c>
      <c r="E5798" t="str">
        <f>"1-316-5"</f>
        <v>1-316-5</v>
      </c>
      <c r="F5798" t="s">
        <v>15</v>
      </c>
      <c r="G5798" t="s">
        <v>20</v>
      </c>
      <c r="H5798" t="s">
        <v>21</v>
      </c>
      <c r="I5798">
        <v>1</v>
      </c>
      <c r="J5798">
        <v>0</v>
      </c>
      <c r="K5798">
        <v>0</v>
      </c>
    </row>
    <row r="5799" spans="1:11" x14ac:dyDescent="0.25">
      <c r="A5799" t="str">
        <f>"7275"</f>
        <v>7275</v>
      </c>
      <c r="B5799" t="str">
        <f t="shared" si="380"/>
        <v>1</v>
      </c>
      <c r="C5799" t="str">
        <f t="shared" si="381"/>
        <v>316</v>
      </c>
      <c r="D5799" t="str">
        <f>"18"</f>
        <v>18</v>
      </c>
      <c r="E5799" t="str">
        <f>"1-316-18"</f>
        <v>1-316-18</v>
      </c>
      <c r="F5799" t="s">
        <v>15</v>
      </c>
      <c r="G5799" t="s">
        <v>16</v>
      </c>
      <c r="H5799" t="s">
        <v>17</v>
      </c>
      <c r="I5799">
        <v>0</v>
      </c>
      <c r="J5799">
        <v>1</v>
      </c>
      <c r="K5799">
        <v>0</v>
      </c>
    </row>
    <row r="5800" spans="1:11" x14ac:dyDescent="0.25">
      <c r="A5800" t="str">
        <f>"7276"</f>
        <v>7276</v>
      </c>
      <c r="B5800" t="str">
        <f t="shared" si="380"/>
        <v>1</v>
      </c>
      <c r="C5800" t="str">
        <f t="shared" si="381"/>
        <v>316</v>
      </c>
      <c r="D5800" t="str">
        <f>"19"</f>
        <v>19</v>
      </c>
      <c r="E5800" t="str">
        <f>"1-316-19"</f>
        <v>1-316-19</v>
      </c>
      <c r="F5800" t="s">
        <v>15</v>
      </c>
      <c r="G5800" t="s">
        <v>20</v>
      </c>
      <c r="H5800" t="s">
        <v>21</v>
      </c>
      <c r="I5800">
        <v>0</v>
      </c>
      <c r="J5800">
        <v>1</v>
      </c>
      <c r="K5800">
        <v>0</v>
      </c>
    </row>
    <row r="5801" spans="1:11" x14ac:dyDescent="0.25">
      <c r="A5801" t="str">
        <f>"7277"</f>
        <v>7277</v>
      </c>
      <c r="B5801" t="str">
        <f t="shared" si="380"/>
        <v>1</v>
      </c>
      <c r="C5801" t="str">
        <f t="shared" si="381"/>
        <v>316</v>
      </c>
      <c r="D5801" t="str">
        <f>"12"</f>
        <v>12</v>
      </c>
      <c r="E5801" t="str">
        <f>"1-316-12"</f>
        <v>1-316-12</v>
      </c>
      <c r="F5801" t="s">
        <v>15</v>
      </c>
      <c r="G5801" t="s">
        <v>20</v>
      </c>
      <c r="H5801" t="s">
        <v>21</v>
      </c>
      <c r="I5801">
        <v>0</v>
      </c>
      <c r="J5801">
        <v>1</v>
      </c>
      <c r="K5801">
        <v>0</v>
      </c>
    </row>
    <row r="5802" spans="1:11" x14ac:dyDescent="0.25">
      <c r="A5802" t="str">
        <f>"7278"</f>
        <v>7278</v>
      </c>
      <c r="B5802" t="str">
        <f t="shared" si="380"/>
        <v>1</v>
      </c>
      <c r="C5802" t="str">
        <f t="shared" si="381"/>
        <v>316</v>
      </c>
      <c r="D5802" t="str">
        <f>"20"</f>
        <v>20</v>
      </c>
      <c r="E5802" t="str">
        <f>"1-316-20"</f>
        <v>1-316-20</v>
      </c>
      <c r="F5802" t="s">
        <v>15</v>
      </c>
      <c r="G5802" t="s">
        <v>20</v>
      </c>
      <c r="H5802" t="s">
        <v>21</v>
      </c>
      <c r="I5802">
        <v>0</v>
      </c>
      <c r="J5802">
        <v>0</v>
      </c>
      <c r="K5802">
        <v>1</v>
      </c>
    </row>
    <row r="5803" spans="1:11" x14ac:dyDescent="0.25">
      <c r="A5803" t="str">
        <f>"7279"</f>
        <v>7279</v>
      </c>
      <c r="B5803" t="str">
        <f t="shared" si="380"/>
        <v>1</v>
      </c>
      <c r="C5803" t="str">
        <f t="shared" si="381"/>
        <v>316</v>
      </c>
      <c r="D5803" t="str">
        <f>"13"</f>
        <v>13</v>
      </c>
      <c r="E5803" t="str">
        <f>"1-316-13"</f>
        <v>1-316-13</v>
      </c>
      <c r="F5803" t="s">
        <v>15</v>
      </c>
      <c r="G5803" t="s">
        <v>20</v>
      </c>
      <c r="H5803" t="s">
        <v>21</v>
      </c>
      <c r="I5803">
        <v>1</v>
      </c>
      <c r="J5803">
        <v>0</v>
      </c>
      <c r="K5803">
        <v>0</v>
      </c>
    </row>
    <row r="5804" spans="1:11" x14ac:dyDescent="0.25">
      <c r="A5804" t="str">
        <f>"7280"</f>
        <v>7280</v>
      </c>
      <c r="B5804" t="str">
        <f t="shared" si="380"/>
        <v>1</v>
      </c>
      <c r="C5804" t="str">
        <f t="shared" si="381"/>
        <v>316</v>
      </c>
      <c r="D5804" t="str">
        <f>"21"</f>
        <v>21</v>
      </c>
      <c r="E5804" t="str">
        <f>"1-316-21"</f>
        <v>1-316-21</v>
      </c>
      <c r="F5804" t="s">
        <v>15</v>
      </c>
      <c r="G5804" t="s">
        <v>20</v>
      </c>
      <c r="H5804" t="s">
        <v>21</v>
      </c>
      <c r="I5804">
        <v>1</v>
      </c>
      <c r="J5804">
        <v>0</v>
      </c>
      <c r="K5804">
        <v>0</v>
      </c>
    </row>
    <row r="5805" spans="1:11" x14ac:dyDescent="0.25">
      <c r="A5805" t="str">
        <f>"7281"</f>
        <v>7281</v>
      </c>
      <c r="B5805" t="str">
        <f t="shared" si="380"/>
        <v>1</v>
      </c>
      <c r="C5805" t="str">
        <f t="shared" si="381"/>
        <v>316</v>
      </c>
      <c r="D5805" t="str">
        <f>"11"</f>
        <v>11</v>
      </c>
      <c r="E5805" t="str">
        <f>"1-316-11"</f>
        <v>1-316-11</v>
      </c>
      <c r="F5805" t="s">
        <v>15</v>
      </c>
      <c r="G5805" t="s">
        <v>20</v>
      </c>
      <c r="H5805" t="s">
        <v>21</v>
      </c>
      <c r="I5805">
        <v>0</v>
      </c>
      <c r="J5805">
        <v>1</v>
      </c>
      <c r="K5805">
        <v>0</v>
      </c>
    </row>
    <row r="5806" spans="1:11" x14ac:dyDescent="0.25">
      <c r="A5806" t="str">
        <f>"7282"</f>
        <v>7282</v>
      </c>
      <c r="B5806" t="str">
        <f t="shared" si="380"/>
        <v>1</v>
      </c>
      <c r="C5806" t="str">
        <f t="shared" si="381"/>
        <v>316</v>
      </c>
      <c r="D5806" t="str">
        <f>"22"</f>
        <v>22</v>
      </c>
      <c r="E5806" t="str">
        <f>"1-316-22"</f>
        <v>1-316-22</v>
      </c>
      <c r="F5806" t="s">
        <v>15</v>
      </c>
      <c r="G5806" t="s">
        <v>20</v>
      </c>
      <c r="H5806" t="s">
        <v>21</v>
      </c>
      <c r="I5806">
        <v>0</v>
      </c>
      <c r="J5806">
        <v>0</v>
      </c>
      <c r="K5806">
        <v>1</v>
      </c>
    </row>
    <row r="5807" spans="1:11" x14ac:dyDescent="0.25">
      <c r="A5807" t="str">
        <f>"7283"</f>
        <v>7283</v>
      </c>
      <c r="B5807" t="str">
        <f t="shared" si="380"/>
        <v>1</v>
      </c>
      <c r="C5807" t="str">
        <f t="shared" si="381"/>
        <v>316</v>
      </c>
      <c r="D5807" t="str">
        <f>"9"</f>
        <v>9</v>
      </c>
      <c r="E5807" t="str">
        <f>"1-316-9"</f>
        <v>1-316-9</v>
      </c>
      <c r="F5807" t="s">
        <v>15</v>
      </c>
      <c r="G5807" t="s">
        <v>20</v>
      </c>
      <c r="H5807" t="s">
        <v>21</v>
      </c>
      <c r="I5807">
        <v>0</v>
      </c>
      <c r="J5807">
        <v>0</v>
      </c>
      <c r="K5807">
        <v>1</v>
      </c>
    </row>
    <row r="5808" spans="1:11" x14ac:dyDescent="0.25">
      <c r="A5808" t="str">
        <f>"7284"</f>
        <v>7284</v>
      </c>
      <c r="B5808" t="str">
        <f t="shared" si="380"/>
        <v>1</v>
      </c>
      <c r="C5808" t="str">
        <f t="shared" si="381"/>
        <v>316</v>
      </c>
      <c r="D5808" t="str">
        <f>"23"</f>
        <v>23</v>
      </c>
      <c r="E5808" t="str">
        <f>"1-316-23"</f>
        <v>1-316-23</v>
      </c>
      <c r="F5808" t="s">
        <v>15</v>
      </c>
      <c r="G5808" t="s">
        <v>20</v>
      </c>
      <c r="H5808" t="s">
        <v>21</v>
      </c>
      <c r="I5808">
        <v>0</v>
      </c>
      <c r="J5808">
        <v>0</v>
      </c>
      <c r="K5808">
        <v>1</v>
      </c>
    </row>
    <row r="5809" spans="1:11" x14ac:dyDescent="0.25">
      <c r="A5809" t="str">
        <f>"7285"</f>
        <v>7285</v>
      </c>
      <c r="B5809" t="str">
        <f t="shared" si="380"/>
        <v>1</v>
      </c>
      <c r="C5809" t="str">
        <f t="shared" si="381"/>
        <v>316</v>
      </c>
      <c r="D5809" t="str">
        <f>"7"</f>
        <v>7</v>
      </c>
      <c r="E5809" t="str">
        <f>"1-316-7"</f>
        <v>1-316-7</v>
      </c>
      <c r="F5809" t="s">
        <v>15</v>
      </c>
      <c r="G5809" t="s">
        <v>20</v>
      </c>
      <c r="H5809" t="s">
        <v>21</v>
      </c>
      <c r="I5809">
        <v>0</v>
      </c>
      <c r="J5809">
        <v>1</v>
      </c>
      <c r="K5809">
        <v>0</v>
      </c>
    </row>
    <row r="5810" spans="1:11" x14ac:dyDescent="0.25">
      <c r="A5810" t="str">
        <f>"7286"</f>
        <v>7286</v>
      </c>
      <c r="B5810" t="str">
        <f t="shared" si="380"/>
        <v>1</v>
      </c>
      <c r="C5810" t="str">
        <f t="shared" si="381"/>
        <v>316</v>
      </c>
      <c r="D5810" t="str">
        <f>"25"</f>
        <v>25</v>
      </c>
      <c r="E5810" t="str">
        <f>"1-316-25"</f>
        <v>1-316-25</v>
      </c>
      <c r="F5810" t="s">
        <v>15</v>
      </c>
      <c r="G5810" t="s">
        <v>20</v>
      </c>
      <c r="H5810" t="s">
        <v>21</v>
      </c>
      <c r="I5810">
        <v>1</v>
      </c>
      <c r="J5810">
        <v>0</v>
      </c>
      <c r="K5810">
        <v>0</v>
      </c>
    </row>
    <row r="5811" spans="1:11" x14ac:dyDescent="0.25">
      <c r="A5811" t="str">
        <f>"7287"</f>
        <v>7287</v>
      </c>
      <c r="B5811" t="str">
        <f t="shared" si="380"/>
        <v>1</v>
      </c>
      <c r="C5811" t="str">
        <f t="shared" si="381"/>
        <v>316</v>
      </c>
      <c r="D5811" t="str">
        <f>"1"</f>
        <v>1</v>
      </c>
      <c r="E5811" t="str">
        <f>"1-316-1"</f>
        <v>1-316-1</v>
      </c>
      <c r="F5811" t="s">
        <v>15</v>
      </c>
      <c r="G5811" t="s">
        <v>20</v>
      </c>
      <c r="H5811" t="s">
        <v>21</v>
      </c>
      <c r="I5811">
        <v>1</v>
      </c>
      <c r="J5811">
        <v>0</v>
      </c>
      <c r="K5811">
        <v>0</v>
      </c>
    </row>
    <row r="5812" spans="1:11" x14ac:dyDescent="0.25">
      <c r="A5812" t="str">
        <f>"7288"</f>
        <v>7288</v>
      </c>
      <c r="B5812" t="str">
        <f t="shared" si="380"/>
        <v>1</v>
      </c>
      <c r="C5812" t="str">
        <f t="shared" si="381"/>
        <v>316</v>
      </c>
      <c r="D5812" t="str">
        <f>"10"</f>
        <v>10</v>
      </c>
      <c r="E5812" t="str">
        <f>"1-316-10"</f>
        <v>1-316-10</v>
      </c>
      <c r="F5812" t="s">
        <v>15</v>
      </c>
      <c r="G5812" t="s">
        <v>20</v>
      </c>
      <c r="H5812" t="s">
        <v>21</v>
      </c>
      <c r="I5812">
        <v>1</v>
      </c>
      <c r="J5812">
        <v>0</v>
      </c>
      <c r="K5812">
        <v>0</v>
      </c>
    </row>
    <row r="5813" spans="1:11" x14ac:dyDescent="0.25">
      <c r="A5813" t="str">
        <f>"7289"</f>
        <v>7289</v>
      </c>
      <c r="B5813" t="str">
        <f t="shared" si="380"/>
        <v>1</v>
      </c>
      <c r="C5813" t="str">
        <f t="shared" si="381"/>
        <v>316</v>
      </c>
      <c r="D5813" t="str">
        <f>"4"</f>
        <v>4</v>
      </c>
      <c r="E5813" t="str">
        <f>"1-316-4"</f>
        <v>1-316-4</v>
      </c>
      <c r="F5813" t="s">
        <v>15</v>
      </c>
      <c r="G5813" t="s">
        <v>20</v>
      </c>
      <c r="H5813" t="s">
        <v>21</v>
      </c>
      <c r="I5813">
        <v>0</v>
      </c>
      <c r="J5813">
        <v>1</v>
      </c>
      <c r="K5813">
        <v>0</v>
      </c>
    </row>
    <row r="5814" spans="1:11" x14ac:dyDescent="0.25">
      <c r="A5814" t="str">
        <f>"7290"</f>
        <v>7290</v>
      </c>
      <c r="B5814" t="str">
        <f t="shared" si="380"/>
        <v>1</v>
      </c>
      <c r="C5814" t="str">
        <f t="shared" si="381"/>
        <v>316</v>
      </c>
      <c r="D5814" t="str">
        <f>"14"</f>
        <v>14</v>
      </c>
      <c r="E5814" t="str">
        <f>"1-316-14"</f>
        <v>1-316-14</v>
      </c>
      <c r="F5814" t="s">
        <v>15</v>
      </c>
      <c r="G5814" t="s">
        <v>20</v>
      </c>
      <c r="H5814" t="s">
        <v>21</v>
      </c>
      <c r="I5814">
        <v>1</v>
      </c>
      <c r="J5814">
        <v>0</v>
      </c>
      <c r="K5814">
        <v>0</v>
      </c>
    </row>
    <row r="5815" spans="1:11" x14ac:dyDescent="0.25">
      <c r="A5815" t="str">
        <f>"7291"</f>
        <v>7291</v>
      </c>
      <c r="B5815" t="str">
        <f t="shared" si="380"/>
        <v>1</v>
      </c>
      <c r="C5815" t="str">
        <f t="shared" si="381"/>
        <v>316</v>
      </c>
      <c r="D5815" t="str">
        <f>"2"</f>
        <v>2</v>
      </c>
      <c r="E5815" t="str">
        <f>"1-316-2"</f>
        <v>1-316-2</v>
      </c>
      <c r="F5815" t="s">
        <v>15</v>
      </c>
      <c r="G5815" t="s">
        <v>20</v>
      </c>
      <c r="H5815" t="s">
        <v>21</v>
      </c>
      <c r="I5815">
        <v>0</v>
      </c>
      <c r="J5815">
        <v>1</v>
      </c>
      <c r="K5815">
        <v>0</v>
      </c>
    </row>
    <row r="5816" spans="1:11" x14ac:dyDescent="0.25">
      <c r="A5816" t="str">
        <f>"7292"</f>
        <v>7292</v>
      </c>
      <c r="B5816" t="str">
        <f t="shared" si="380"/>
        <v>1</v>
      </c>
      <c r="C5816" t="str">
        <f t="shared" si="381"/>
        <v>316</v>
      </c>
      <c r="D5816" t="str">
        <f>"6"</f>
        <v>6</v>
      </c>
      <c r="E5816" t="str">
        <f>"1-316-6"</f>
        <v>1-316-6</v>
      </c>
      <c r="F5816" t="s">
        <v>15</v>
      </c>
      <c r="G5816" t="s">
        <v>20</v>
      </c>
      <c r="H5816" t="s">
        <v>21</v>
      </c>
      <c r="I5816">
        <v>0</v>
      </c>
      <c r="J5816">
        <v>0</v>
      </c>
      <c r="K5816">
        <v>1</v>
      </c>
    </row>
    <row r="5817" spans="1:11" x14ac:dyDescent="0.25">
      <c r="A5817" t="str">
        <f>"7293"</f>
        <v>7293</v>
      </c>
      <c r="B5817" t="str">
        <f t="shared" si="380"/>
        <v>1</v>
      </c>
      <c r="C5817" t="str">
        <f t="shared" si="381"/>
        <v>316</v>
      </c>
      <c r="D5817" t="str">
        <f>"3"</f>
        <v>3</v>
      </c>
      <c r="E5817" t="str">
        <f>"1-316-3"</f>
        <v>1-316-3</v>
      </c>
      <c r="F5817" t="s">
        <v>15</v>
      </c>
      <c r="G5817" t="s">
        <v>20</v>
      </c>
      <c r="H5817" t="s">
        <v>21</v>
      </c>
      <c r="I5817">
        <v>0</v>
      </c>
      <c r="J5817">
        <v>0</v>
      </c>
      <c r="K5817">
        <v>0</v>
      </c>
    </row>
    <row r="5818" spans="1:11" x14ac:dyDescent="0.25">
      <c r="A5818" t="str">
        <f>"7294"</f>
        <v>7294</v>
      </c>
      <c r="B5818" t="str">
        <f t="shared" si="380"/>
        <v>1</v>
      </c>
      <c r="C5818" t="str">
        <f t="shared" ref="C5818:C5844" si="382">"317"</f>
        <v>317</v>
      </c>
      <c r="D5818" t="str">
        <f>"24"</f>
        <v>24</v>
      </c>
      <c r="E5818" t="str">
        <f>"1-317-24"</f>
        <v>1-317-24</v>
      </c>
      <c r="F5818" t="s">
        <v>15</v>
      </c>
      <c r="G5818" t="s">
        <v>16</v>
      </c>
      <c r="H5818" t="s">
        <v>17</v>
      </c>
      <c r="I5818">
        <v>0</v>
      </c>
      <c r="J5818">
        <v>0</v>
      </c>
      <c r="K5818">
        <v>1</v>
      </c>
    </row>
    <row r="5819" spans="1:11" x14ac:dyDescent="0.25">
      <c r="A5819" t="str">
        <f>"7295"</f>
        <v>7295</v>
      </c>
      <c r="B5819" t="str">
        <f t="shared" si="380"/>
        <v>1</v>
      </c>
      <c r="C5819" t="str">
        <f t="shared" si="382"/>
        <v>317</v>
      </c>
      <c r="D5819" t="str">
        <f>"15"</f>
        <v>15</v>
      </c>
      <c r="E5819" t="str">
        <f>"1-317-15"</f>
        <v>1-317-15</v>
      </c>
      <c r="F5819" t="s">
        <v>15</v>
      </c>
      <c r="G5819" t="s">
        <v>18</v>
      </c>
      <c r="H5819" t="s">
        <v>19</v>
      </c>
      <c r="I5819">
        <v>1</v>
      </c>
      <c r="J5819">
        <v>0</v>
      </c>
      <c r="K5819">
        <v>0</v>
      </c>
    </row>
    <row r="5820" spans="1:11" x14ac:dyDescent="0.25">
      <c r="A5820" t="str">
        <f>"7296"</f>
        <v>7296</v>
      </c>
      <c r="B5820" t="str">
        <f t="shared" si="380"/>
        <v>1</v>
      </c>
      <c r="C5820" t="str">
        <f t="shared" si="382"/>
        <v>317</v>
      </c>
      <c r="D5820" t="str">
        <f>"7"</f>
        <v>7</v>
      </c>
      <c r="E5820" t="str">
        <f>"1-317-7"</f>
        <v>1-317-7</v>
      </c>
      <c r="F5820" t="s">
        <v>15</v>
      </c>
      <c r="G5820" t="s">
        <v>16</v>
      </c>
      <c r="H5820" t="s">
        <v>17</v>
      </c>
      <c r="I5820">
        <v>1</v>
      </c>
      <c r="J5820">
        <v>0</v>
      </c>
      <c r="K5820">
        <v>0</v>
      </c>
    </row>
    <row r="5821" spans="1:11" x14ac:dyDescent="0.25">
      <c r="A5821" t="str">
        <f>"7297"</f>
        <v>7297</v>
      </c>
      <c r="B5821" t="str">
        <f t="shared" si="380"/>
        <v>1</v>
      </c>
      <c r="C5821" t="str">
        <f t="shared" si="382"/>
        <v>317</v>
      </c>
      <c r="D5821" t="str">
        <f>"21"</f>
        <v>21</v>
      </c>
      <c r="E5821" t="str">
        <f>"1-317-21"</f>
        <v>1-317-21</v>
      </c>
      <c r="F5821" t="s">
        <v>15</v>
      </c>
      <c r="G5821" t="s">
        <v>16</v>
      </c>
      <c r="H5821" t="s">
        <v>17</v>
      </c>
      <c r="I5821">
        <v>0</v>
      </c>
      <c r="J5821">
        <v>1</v>
      </c>
      <c r="K5821">
        <v>0</v>
      </c>
    </row>
    <row r="5822" spans="1:11" x14ac:dyDescent="0.25">
      <c r="A5822" t="str">
        <f>"7298"</f>
        <v>7298</v>
      </c>
      <c r="B5822" t="str">
        <f t="shared" si="380"/>
        <v>1</v>
      </c>
      <c r="C5822" t="str">
        <f t="shared" si="382"/>
        <v>317</v>
      </c>
      <c r="D5822" t="str">
        <f>"16"</f>
        <v>16</v>
      </c>
      <c r="E5822" t="str">
        <f>"1-317-16"</f>
        <v>1-317-16</v>
      </c>
      <c r="F5822" t="s">
        <v>15</v>
      </c>
      <c r="G5822" t="s">
        <v>16</v>
      </c>
      <c r="H5822" t="s">
        <v>17</v>
      </c>
      <c r="I5822">
        <v>1</v>
      </c>
      <c r="J5822">
        <v>0</v>
      </c>
      <c r="K5822">
        <v>0</v>
      </c>
    </row>
    <row r="5823" spans="1:11" x14ac:dyDescent="0.25">
      <c r="A5823" t="str">
        <f>"7299"</f>
        <v>7299</v>
      </c>
      <c r="B5823" t="str">
        <f t="shared" si="380"/>
        <v>1</v>
      </c>
      <c r="C5823" t="str">
        <f t="shared" si="382"/>
        <v>317</v>
      </c>
      <c r="D5823" t="str">
        <f>"9"</f>
        <v>9</v>
      </c>
      <c r="E5823" t="str">
        <f>"1-317-9"</f>
        <v>1-317-9</v>
      </c>
      <c r="F5823" t="s">
        <v>15</v>
      </c>
      <c r="G5823" t="s">
        <v>16</v>
      </c>
      <c r="H5823" t="s">
        <v>17</v>
      </c>
      <c r="I5823">
        <v>1</v>
      </c>
      <c r="J5823">
        <v>0</v>
      </c>
      <c r="K5823">
        <v>0</v>
      </c>
    </row>
    <row r="5824" spans="1:11" x14ac:dyDescent="0.25">
      <c r="A5824" t="str">
        <f>"7300"</f>
        <v>7300</v>
      </c>
      <c r="B5824" t="str">
        <f t="shared" si="380"/>
        <v>1</v>
      </c>
      <c r="C5824" t="str">
        <f t="shared" si="382"/>
        <v>317</v>
      </c>
      <c r="D5824" t="str">
        <f>"17"</f>
        <v>17</v>
      </c>
      <c r="E5824" t="str">
        <f>"1-317-17"</f>
        <v>1-317-17</v>
      </c>
      <c r="F5824" t="s">
        <v>15</v>
      </c>
      <c r="G5824" t="s">
        <v>16</v>
      </c>
      <c r="H5824" t="s">
        <v>17</v>
      </c>
      <c r="I5824">
        <v>0</v>
      </c>
      <c r="J5824">
        <v>0</v>
      </c>
      <c r="K5824">
        <v>1</v>
      </c>
    </row>
    <row r="5825" spans="1:11" x14ac:dyDescent="0.25">
      <c r="A5825" t="str">
        <f>"7301"</f>
        <v>7301</v>
      </c>
      <c r="B5825" t="str">
        <f t="shared" si="380"/>
        <v>1</v>
      </c>
      <c r="C5825" t="str">
        <f t="shared" si="382"/>
        <v>317</v>
      </c>
      <c r="D5825" t="str">
        <f>"6"</f>
        <v>6</v>
      </c>
      <c r="E5825" t="str">
        <f>"1-317-6"</f>
        <v>1-317-6</v>
      </c>
      <c r="F5825" t="s">
        <v>15</v>
      </c>
      <c r="G5825" t="s">
        <v>16</v>
      </c>
      <c r="H5825" t="s">
        <v>17</v>
      </c>
      <c r="I5825">
        <v>1</v>
      </c>
      <c r="J5825">
        <v>0</v>
      </c>
      <c r="K5825">
        <v>0</v>
      </c>
    </row>
    <row r="5826" spans="1:11" x14ac:dyDescent="0.25">
      <c r="A5826" t="str">
        <f>"7302"</f>
        <v>7302</v>
      </c>
      <c r="B5826" t="str">
        <f t="shared" si="380"/>
        <v>1</v>
      </c>
      <c r="C5826" t="str">
        <f t="shared" si="382"/>
        <v>317</v>
      </c>
      <c r="D5826" t="str">
        <f>"18"</f>
        <v>18</v>
      </c>
      <c r="E5826" t="str">
        <f>"1-317-18"</f>
        <v>1-317-18</v>
      </c>
      <c r="F5826" t="s">
        <v>15</v>
      </c>
      <c r="G5826" t="s">
        <v>16</v>
      </c>
      <c r="H5826" t="s">
        <v>17</v>
      </c>
      <c r="I5826">
        <v>0</v>
      </c>
      <c r="J5826">
        <v>0</v>
      </c>
      <c r="K5826">
        <v>1</v>
      </c>
    </row>
    <row r="5827" spans="1:11" x14ac:dyDescent="0.25">
      <c r="A5827" t="str">
        <f>"7303"</f>
        <v>7303</v>
      </c>
      <c r="B5827" t="str">
        <f t="shared" si="380"/>
        <v>1</v>
      </c>
      <c r="C5827" t="str">
        <f t="shared" si="382"/>
        <v>317</v>
      </c>
      <c r="D5827" t="str">
        <f>"14"</f>
        <v>14</v>
      </c>
      <c r="E5827" t="str">
        <f>"1-317-14"</f>
        <v>1-317-14</v>
      </c>
      <c r="F5827" t="s">
        <v>15</v>
      </c>
      <c r="G5827" t="s">
        <v>16</v>
      </c>
      <c r="H5827" t="s">
        <v>17</v>
      </c>
      <c r="I5827">
        <v>0</v>
      </c>
      <c r="J5827">
        <v>1</v>
      </c>
      <c r="K5827">
        <v>0</v>
      </c>
    </row>
    <row r="5828" spans="1:11" x14ac:dyDescent="0.25">
      <c r="A5828" t="str">
        <f>"7304"</f>
        <v>7304</v>
      </c>
      <c r="B5828" t="str">
        <f t="shared" si="380"/>
        <v>1</v>
      </c>
      <c r="C5828" t="str">
        <f t="shared" si="382"/>
        <v>317</v>
      </c>
      <c r="D5828" t="str">
        <f>"2"</f>
        <v>2</v>
      </c>
      <c r="E5828" t="str">
        <f>"1-317-2"</f>
        <v>1-317-2</v>
      </c>
      <c r="F5828" t="s">
        <v>15</v>
      </c>
      <c r="G5828" t="s">
        <v>16</v>
      </c>
      <c r="H5828" t="s">
        <v>17</v>
      </c>
      <c r="I5828">
        <v>0</v>
      </c>
      <c r="J5828">
        <v>1</v>
      </c>
      <c r="K5828">
        <v>0</v>
      </c>
    </row>
    <row r="5829" spans="1:11" x14ac:dyDescent="0.25">
      <c r="A5829" t="str">
        <f>"7305"</f>
        <v>7305</v>
      </c>
      <c r="B5829" t="str">
        <f t="shared" si="380"/>
        <v>1</v>
      </c>
      <c r="C5829" t="str">
        <f t="shared" si="382"/>
        <v>317</v>
      </c>
      <c r="D5829" t="str">
        <f>"4"</f>
        <v>4</v>
      </c>
      <c r="E5829" t="str">
        <f>"1-317-4"</f>
        <v>1-317-4</v>
      </c>
      <c r="F5829" t="s">
        <v>15</v>
      </c>
      <c r="G5829" t="s">
        <v>16</v>
      </c>
      <c r="H5829" t="s">
        <v>17</v>
      </c>
      <c r="I5829">
        <v>0</v>
      </c>
      <c r="J5829">
        <v>0</v>
      </c>
      <c r="K5829">
        <v>1</v>
      </c>
    </row>
    <row r="5830" spans="1:11" x14ac:dyDescent="0.25">
      <c r="A5830" t="str">
        <f>"7306"</f>
        <v>7306</v>
      </c>
      <c r="B5830" t="str">
        <f t="shared" si="380"/>
        <v>1</v>
      </c>
      <c r="C5830" t="str">
        <f t="shared" si="382"/>
        <v>317</v>
      </c>
      <c r="D5830" t="str">
        <f>"22"</f>
        <v>22</v>
      </c>
      <c r="E5830" t="str">
        <f>"1-317-22"</f>
        <v>1-317-22</v>
      </c>
      <c r="F5830" t="s">
        <v>15</v>
      </c>
      <c r="G5830" t="s">
        <v>16</v>
      </c>
      <c r="H5830" t="s">
        <v>17</v>
      </c>
      <c r="I5830">
        <v>0</v>
      </c>
      <c r="J5830">
        <v>1</v>
      </c>
      <c r="K5830">
        <v>0</v>
      </c>
    </row>
    <row r="5831" spans="1:11" x14ac:dyDescent="0.25">
      <c r="A5831" t="str">
        <f>"7307"</f>
        <v>7307</v>
      </c>
      <c r="B5831" t="str">
        <f t="shared" si="380"/>
        <v>1</v>
      </c>
      <c r="C5831" t="str">
        <f t="shared" si="382"/>
        <v>317</v>
      </c>
      <c r="D5831" t="str">
        <f>"13"</f>
        <v>13</v>
      </c>
      <c r="E5831" t="str">
        <f>"1-317-13"</f>
        <v>1-317-13</v>
      </c>
      <c r="F5831" t="s">
        <v>15</v>
      </c>
      <c r="G5831" t="s">
        <v>18</v>
      </c>
      <c r="H5831" t="s">
        <v>19</v>
      </c>
      <c r="I5831">
        <v>1</v>
      </c>
      <c r="J5831">
        <v>0</v>
      </c>
      <c r="K5831">
        <v>0</v>
      </c>
    </row>
    <row r="5832" spans="1:11" x14ac:dyDescent="0.25">
      <c r="A5832" t="str">
        <f>"7308"</f>
        <v>7308</v>
      </c>
      <c r="B5832" t="str">
        <f t="shared" si="380"/>
        <v>1</v>
      </c>
      <c r="C5832" t="str">
        <f t="shared" si="382"/>
        <v>317</v>
      </c>
      <c r="D5832" t="str">
        <f>"23"</f>
        <v>23</v>
      </c>
      <c r="E5832" t="str">
        <f>"1-317-23"</f>
        <v>1-317-23</v>
      </c>
      <c r="F5832" t="s">
        <v>15</v>
      </c>
      <c r="G5832" t="s">
        <v>16</v>
      </c>
      <c r="H5832" t="s">
        <v>17</v>
      </c>
      <c r="I5832">
        <v>0</v>
      </c>
      <c r="J5832">
        <v>1</v>
      </c>
      <c r="K5832">
        <v>0</v>
      </c>
    </row>
    <row r="5833" spans="1:11" x14ac:dyDescent="0.25">
      <c r="A5833" t="str">
        <f>"7309"</f>
        <v>7309</v>
      </c>
      <c r="B5833" t="str">
        <f t="shared" si="380"/>
        <v>1</v>
      </c>
      <c r="C5833" t="str">
        <f t="shared" si="382"/>
        <v>317</v>
      </c>
      <c r="D5833" t="str">
        <f>"3"</f>
        <v>3</v>
      </c>
      <c r="E5833" t="str">
        <f>"1-317-3"</f>
        <v>1-317-3</v>
      </c>
      <c r="F5833" t="s">
        <v>15</v>
      </c>
      <c r="G5833" t="s">
        <v>18</v>
      </c>
      <c r="H5833" t="s">
        <v>19</v>
      </c>
      <c r="I5833">
        <v>0</v>
      </c>
      <c r="J5833">
        <v>0</v>
      </c>
      <c r="K5833">
        <v>1</v>
      </c>
    </row>
    <row r="5834" spans="1:11" x14ac:dyDescent="0.25">
      <c r="A5834" t="str">
        <f>"7310"</f>
        <v>7310</v>
      </c>
      <c r="B5834" t="str">
        <f t="shared" si="380"/>
        <v>1</v>
      </c>
      <c r="C5834" t="str">
        <f t="shared" si="382"/>
        <v>317</v>
      </c>
      <c r="D5834" t="str">
        <f>"25"</f>
        <v>25</v>
      </c>
      <c r="E5834" t="str">
        <f>"1-317-25"</f>
        <v>1-317-25</v>
      </c>
      <c r="F5834" t="s">
        <v>15</v>
      </c>
      <c r="G5834" t="s">
        <v>16</v>
      </c>
      <c r="H5834" t="s">
        <v>17</v>
      </c>
      <c r="I5834">
        <v>1</v>
      </c>
      <c r="J5834">
        <v>0</v>
      </c>
      <c r="K5834">
        <v>0</v>
      </c>
    </row>
    <row r="5835" spans="1:11" x14ac:dyDescent="0.25">
      <c r="A5835" t="str">
        <f>"7311"</f>
        <v>7311</v>
      </c>
      <c r="B5835" t="str">
        <f t="shared" si="380"/>
        <v>1</v>
      </c>
      <c r="C5835" t="str">
        <f t="shared" si="382"/>
        <v>317</v>
      </c>
      <c r="D5835" t="str">
        <f>"5"</f>
        <v>5</v>
      </c>
      <c r="E5835" t="str">
        <f>"1-317-5"</f>
        <v>1-317-5</v>
      </c>
      <c r="F5835" t="s">
        <v>15</v>
      </c>
      <c r="G5835" t="s">
        <v>16</v>
      </c>
      <c r="H5835" t="s">
        <v>17</v>
      </c>
      <c r="I5835">
        <v>1</v>
      </c>
      <c r="J5835">
        <v>0</v>
      </c>
      <c r="K5835">
        <v>0</v>
      </c>
    </row>
    <row r="5836" spans="1:11" x14ac:dyDescent="0.25">
      <c r="A5836" t="str">
        <f>"7312"</f>
        <v>7312</v>
      </c>
      <c r="B5836" t="str">
        <f t="shared" si="380"/>
        <v>1</v>
      </c>
      <c r="C5836" t="str">
        <f t="shared" si="382"/>
        <v>317</v>
      </c>
      <c r="D5836" t="str">
        <f>"26"</f>
        <v>26</v>
      </c>
      <c r="E5836" t="str">
        <f>"1-317-26"</f>
        <v>1-317-26</v>
      </c>
      <c r="F5836" t="s">
        <v>15</v>
      </c>
      <c r="G5836" t="s">
        <v>16</v>
      </c>
      <c r="H5836" t="s">
        <v>17</v>
      </c>
      <c r="I5836">
        <v>0</v>
      </c>
      <c r="J5836">
        <v>1</v>
      </c>
      <c r="K5836">
        <v>0</v>
      </c>
    </row>
    <row r="5837" spans="1:11" x14ac:dyDescent="0.25">
      <c r="A5837" t="str">
        <f>"7313"</f>
        <v>7313</v>
      </c>
      <c r="B5837" t="str">
        <f t="shared" si="380"/>
        <v>1</v>
      </c>
      <c r="C5837" t="str">
        <f t="shared" si="382"/>
        <v>317</v>
      </c>
      <c r="D5837" t="str">
        <f>"1"</f>
        <v>1</v>
      </c>
      <c r="E5837" t="str">
        <f>"1-317-1"</f>
        <v>1-317-1</v>
      </c>
      <c r="F5837" t="s">
        <v>15</v>
      </c>
      <c r="G5837" t="s">
        <v>16</v>
      </c>
      <c r="H5837" t="s">
        <v>17</v>
      </c>
      <c r="I5837">
        <v>0</v>
      </c>
      <c r="J5837">
        <v>0</v>
      </c>
      <c r="K5837">
        <v>1</v>
      </c>
    </row>
    <row r="5838" spans="1:11" x14ac:dyDescent="0.25">
      <c r="A5838" t="str">
        <f>"7314"</f>
        <v>7314</v>
      </c>
      <c r="B5838" t="str">
        <f t="shared" si="380"/>
        <v>1</v>
      </c>
      <c r="C5838" t="str">
        <f t="shared" si="382"/>
        <v>317</v>
      </c>
      <c r="D5838" t="str">
        <f>"8"</f>
        <v>8</v>
      </c>
      <c r="E5838" t="str">
        <f>"1-317-8"</f>
        <v>1-317-8</v>
      </c>
      <c r="F5838" t="s">
        <v>15</v>
      </c>
      <c r="G5838" t="s">
        <v>16</v>
      </c>
      <c r="H5838" t="s">
        <v>17</v>
      </c>
      <c r="I5838">
        <v>0</v>
      </c>
      <c r="J5838">
        <v>1</v>
      </c>
      <c r="K5838">
        <v>0</v>
      </c>
    </row>
    <row r="5839" spans="1:11" x14ac:dyDescent="0.25">
      <c r="A5839" t="str">
        <f>"7315"</f>
        <v>7315</v>
      </c>
      <c r="B5839" t="str">
        <f t="shared" si="380"/>
        <v>1</v>
      </c>
      <c r="C5839" t="str">
        <f t="shared" si="382"/>
        <v>317</v>
      </c>
      <c r="D5839" t="str">
        <f>"10"</f>
        <v>10</v>
      </c>
      <c r="E5839" t="str">
        <f>"1-317-10"</f>
        <v>1-317-10</v>
      </c>
      <c r="F5839" t="s">
        <v>15</v>
      </c>
      <c r="G5839" t="s">
        <v>18</v>
      </c>
      <c r="H5839" t="s">
        <v>19</v>
      </c>
      <c r="I5839">
        <v>1</v>
      </c>
      <c r="J5839">
        <v>0</v>
      </c>
      <c r="K5839">
        <v>0</v>
      </c>
    </row>
    <row r="5840" spans="1:11" x14ac:dyDescent="0.25">
      <c r="A5840" t="str">
        <f>"7316"</f>
        <v>7316</v>
      </c>
      <c r="B5840" t="str">
        <f t="shared" si="380"/>
        <v>1</v>
      </c>
      <c r="C5840" t="str">
        <f t="shared" si="382"/>
        <v>317</v>
      </c>
      <c r="D5840" t="str">
        <f>"11"</f>
        <v>11</v>
      </c>
      <c r="E5840" t="str">
        <f>"1-317-11"</f>
        <v>1-317-11</v>
      </c>
      <c r="F5840" t="s">
        <v>15</v>
      </c>
      <c r="G5840" t="s">
        <v>18</v>
      </c>
      <c r="H5840" t="s">
        <v>19</v>
      </c>
      <c r="I5840">
        <v>1</v>
      </c>
      <c r="J5840">
        <v>0</v>
      </c>
      <c r="K5840">
        <v>0</v>
      </c>
    </row>
    <row r="5841" spans="1:11" x14ac:dyDescent="0.25">
      <c r="A5841" t="str">
        <f>"7317"</f>
        <v>7317</v>
      </c>
      <c r="B5841" t="str">
        <f t="shared" si="380"/>
        <v>1</v>
      </c>
      <c r="C5841" t="str">
        <f t="shared" si="382"/>
        <v>317</v>
      </c>
      <c r="D5841" t="str">
        <f>"12"</f>
        <v>12</v>
      </c>
      <c r="E5841" t="str">
        <f>"1-317-12"</f>
        <v>1-317-12</v>
      </c>
      <c r="F5841" t="s">
        <v>15</v>
      </c>
      <c r="G5841" t="s">
        <v>16</v>
      </c>
      <c r="H5841" t="s">
        <v>17</v>
      </c>
      <c r="I5841">
        <v>0</v>
      </c>
      <c r="J5841">
        <v>1</v>
      </c>
      <c r="K5841">
        <v>0</v>
      </c>
    </row>
    <row r="5842" spans="1:11" x14ac:dyDescent="0.25">
      <c r="A5842" t="str">
        <f>"7318"</f>
        <v>7318</v>
      </c>
      <c r="B5842" t="str">
        <f t="shared" si="380"/>
        <v>1</v>
      </c>
      <c r="C5842" t="str">
        <f t="shared" si="382"/>
        <v>317</v>
      </c>
      <c r="D5842" t="str">
        <f>"20"</f>
        <v>20</v>
      </c>
      <c r="E5842" t="str">
        <f>"1-317-20"</f>
        <v>1-317-20</v>
      </c>
      <c r="F5842" t="s">
        <v>15</v>
      </c>
      <c r="G5842" t="s">
        <v>16</v>
      </c>
      <c r="H5842" t="s">
        <v>17</v>
      </c>
      <c r="I5842">
        <v>0</v>
      </c>
      <c r="J5842">
        <v>0</v>
      </c>
      <c r="K5842">
        <v>0</v>
      </c>
    </row>
    <row r="5843" spans="1:11" x14ac:dyDescent="0.25">
      <c r="A5843" t="str">
        <f>"7319"</f>
        <v>7319</v>
      </c>
      <c r="B5843" t="str">
        <f t="shared" si="380"/>
        <v>1</v>
      </c>
      <c r="C5843" t="str">
        <f t="shared" si="382"/>
        <v>317</v>
      </c>
      <c r="D5843" t="str">
        <f>"27"</f>
        <v>27</v>
      </c>
      <c r="E5843" t="str">
        <f>"1-317-27"</f>
        <v>1-317-27</v>
      </c>
      <c r="F5843" t="s">
        <v>15</v>
      </c>
      <c r="G5843" t="s">
        <v>16</v>
      </c>
      <c r="H5843" t="s">
        <v>17</v>
      </c>
      <c r="I5843">
        <v>1</v>
      </c>
      <c r="J5843">
        <v>0</v>
      </c>
      <c r="K5843">
        <v>0</v>
      </c>
    </row>
    <row r="5844" spans="1:11" x14ac:dyDescent="0.25">
      <c r="A5844" t="str">
        <f>"7320"</f>
        <v>7320</v>
      </c>
      <c r="B5844" t="str">
        <f t="shared" si="380"/>
        <v>1</v>
      </c>
      <c r="C5844" t="str">
        <f t="shared" si="382"/>
        <v>317</v>
      </c>
      <c r="D5844" t="str">
        <f>"19"</f>
        <v>19</v>
      </c>
      <c r="E5844" t="str">
        <f>"1-317-19"</f>
        <v>1-317-19</v>
      </c>
      <c r="F5844" t="s">
        <v>15</v>
      </c>
      <c r="G5844" t="s">
        <v>16</v>
      </c>
      <c r="H5844" t="s">
        <v>17</v>
      </c>
      <c r="I5844">
        <v>0</v>
      </c>
      <c r="J5844">
        <v>0</v>
      </c>
      <c r="K5844">
        <v>0</v>
      </c>
    </row>
    <row r="5845" spans="1:11" x14ac:dyDescent="0.25">
      <c r="A5845" t="str">
        <f>"7321"</f>
        <v>7321</v>
      </c>
      <c r="B5845" t="str">
        <f t="shared" si="380"/>
        <v>1</v>
      </c>
      <c r="C5845" t="str">
        <f t="shared" ref="C5845:C5867" si="383">"318"</f>
        <v>318</v>
      </c>
      <c r="D5845" t="str">
        <f>"15"</f>
        <v>15</v>
      </c>
      <c r="E5845" t="str">
        <f>"1-318-15"</f>
        <v>1-318-15</v>
      </c>
      <c r="F5845" t="s">
        <v>15</v>
      </c>
      <c r="G5845" t="s">
        <v>18</v>
      </c>
      <c r="H5845" t="s">
        <v>19</v>
      </c>
      <c r="I5845">
        <v>1</v>
      </c>
      <c r="J5845">
        <v>0</v>
      </c>
      <c r="K5845">
        <v>0</v>
      </c>
    </row>
    <row r="5846" spans="1:11" x14ac:dyDescent="0.25">
      <c r="A5846" t="str">
        <f>"7322"</f>
        <v>7322</v>
      </c>
      <c r="B5846" t="str">
        <f t="shared" ref="B5846:B5909" si="384">"1"</f>
        <v>1</v>
      </c>
      <c r="C5846" t="str">
        <f t="shared" si="383"/>
        <v>318</v>
      </c>
      <c r="D5846" t="str">
        <f>"5"</f>
        <v>5</v>
      </c>
      <c r="E5846" t="str">
        <f>"1-318-5"</f>
        <v>1-318-5</v>
      </c>
      <c r="F5846" t="s">
        <v>15</v>
      </c>
      <c r="G5846" t="s">
        <v>20</v>
      </c>
      <c r="H5846" t="s">
        <v>21</v>
      </c>
      <c r="I5846">
        <v>0</v>
      </c>
      <c r="J5846">
        <v>1</v>
      </c>
      <c r="K5846">
        <v>0</v>
      </c>
    </row>
    <row r="5847" spans="1:11" x14ac:dyDescent="0.25">
      <c r="A5847" t="str">
        <f>"7323"</f>
        <v>7323</v>
      </c>
      <c r="B5847" t="str">
        <f t="shared" si="384"/>
        <v>1</v>
      </c>
      <c r="C5847" t="str">
        <f t="shared" si="383"/>
        <v>318</v>
      </c>
      <c r="D5847" t="str">
        <f>"16"</f>
        <v>16</v>
      </c>
      <c r="E5847" t="str">
        <f>"1-318-16"</f>
        <v>1-318-16</v>
      </c>
      <c r="F5847" t="s">
        <v>15</v>
      </c>
      <c r="G5847" t="s">
        <v>20</v>
      </c>
      <c r="H5847" t="s">
        <v>21</v>
      </c>
      <c r="I5847">
        <v>0</v>
      </c>
      <c r="J5847">
        <v>1</v>
      </c>
      <c r="K5847">
        <v>0</v>
      </c>
    </row>
    <row r="5848" spans="1:11" x14ac:dyDescent="0.25">
      <c r="A5848" t="str">
        <f>"7324"</f>
        <v>7324</v>
      </c>
      <c r="B5848" t="str">
        <f t="shared" si="384"/>
        <v>1</v>
      </c>
      <c r="C5848" t="str">
        <f t="shared" si="383"/>
        <v>318</v>
      </c>
      <c r="D5848" t="str">
        <f>"1"</f>
        <v>1</v>
      </c>
      <c r="E5848" t="str">
        <f>"1-318-1"</f>
        <v>1-318-1</v>
      </c>
      <c r="F5848" t="s">
        <v>15</v>
      </c>
      <c r="G5848" t="s">
        <v>16</v>
      </c>
      <c r="H5848" t="s">
        <v>17</v>
      </c>
      <c r="I5848">
        <v>0</v>
      </c>
      <c r="J5848">
        <v>0</v>
      </c>
      <c r="K5848">
        <v>1</v>
      </c>
    </row>
    <row r="5849" spans="1:11" x14ac:dyDescent="0.25">
      <c r="A5849" t="str">
        <f>"7325"</f>
        <v>7325</v>
      </c>
      <c r="B5849" t="str">
        <f t="shared" si="384"/>
        <v>1</v>
      </c>
      <c r="C5849" t="str">
        <f t="shared" si="383"/>
        <v>318</v>
      </c>
      <c r="D5849" t="str">
        <f>"17"</f>
        <v>17</v>
      </c>
      <c r="E5849" t="str">
        <f>"1-318-17"</f>
        <v>1-318-17</v>
      </c>
      <c r="F5849" t="s">
        <v>15</v>
      </c>
      <c r="G5849" t="s">
        <v>16</v>
      </c>
      <c r="H5849" t="s">
        <v>17</v>
      </c>
      <c r="I5849">
        <v>0</v>
      </c>
      <c r="J5849">
        <v>1</v>
      </c>
      <c r="K5849">
        <v>0</v>
      </c>
    </row>
    <row r="5850" spans="1:11" x14ac:dyDescent="0.25">
      <c r="A5850" t="str">
        <f>"7326"</f>
        <v>7326</v>
      </c>
      <c r="B5850" t="str">
        <f t="shared" si="384"/>
        <v>1</v>
      </c>
      <c r="C5850" t="str">
        <f t="shared" si="383"/>
        <v>318</v>
      </c>
      <c r="D5850" t="str">
        <f>"10"</f>
        <v>10</v>
      </c>
      <c r="E5850" t="str">
        <f>"1-318-10"</f>
        <v>1-318-10</v>
      </c>
      <c r="F5850" t="s">
        <v>15</v>
      </c>
      <c r="G5850" t="s">
        <v>20</v>
      </c>
      <c r="H5850" t="s">
        <v>21</v>
      </c>
      <c r="I5850">
        <v>1</v>
      </c>
      <c r="J5850">
        <v>0</v>
      </c>
      <c r="K5850">
        <v>0</v>
      </c>
    </row>
    <row r="5851" spans="1:11" x14ac:dyDescent="0.25">
      <c r="A5851" t="str">
        <f>"7327"</f>
        <v>7327</v>
      </c>
      <c r="B5851" t="str">
        <f t="shared" si="384"/>
        <v>1</v>
      </c>
      <c r="C5851" t="str">
        <f t="shared" si="383"/>
        <v>318</v>
      </c>
      <c r="D5851" t="str">
        <f>"18"</f>
        <v>18</v>
      </c>
      <c r="E5851" t="str">
        <f>"1-318-18"</f>
        <v>1-318-18</v>
      </c>
      <c r="F5851" t="s">
        <v>15</v>
      </c>
      <c r="G5851" t="s">
        <v>16</v>
      </c>
      <c r="H5851" t="s">
        <v>17</v>
      </c>
      <c r="I5851">
        <v>0</v>
      </c>
      <c r="J5851">
        <v>1</v>
      </c>
      <c r="K5851">
        <v>0</v>
      </c>
    </row>
    <row r="5852" spans="1:11" x14ac:dyDescent="0.25">
      <c r="A5852" t="str">
        <f>"7328"</f>
        <v>7328</v>
      </c>
      <c r="B5852" t="str">
        <f t="shared" si="384"/>
        <v>1</v>
      </c>
      <c r="C5852" t="str">
        <f t="shared" si="383"/>
        <v>318</v>
      </c>
      <c r="D5852" t="str">
        <f>"19"</f>
        <v>19</v>
      </c>
      <c r="E5852" t="str">
        <f>"1-318-19"</f>
        <v>1-318-19</v>
      </c>
      <c r="F5852" t="s">
        <v>15</v>
      </c>
      <c r="G5852" t="s">
        <v>18</v>
      </c>
      <c r="H5852" t="s">
        <v>19</v>
      </c>
      <c r="I5852">
        <v>0</v>
      </c>
      <c r="J5852">
        <v>0</v>
      </c>
      <c r="K5852">
        <v>1</v>
      </c>
    </row>
    <row r="5853" spans="1:11" x14ac:dyDescent="0.25">
      <c r="A5853" t="str">
        <f>"7329"</f>
        <v>7329</v>
      </c>
      <c r="B5853" t="str">
        <f t="shared" si="384"/>
        <v>1</v>
      </c>
      <c r="C5853" t="str">
        <f t="shared" si="383"/>
        <v>318</v>
      </c>
      <c r="D5853" t="str">
        <f>"3"</f>
        <v>3</v>
      </c>
      <c r="E5853" t="str">
        <f>"1-318-3"</f>
        <v>1-318-3</v>
      </c>
      <c r="F5853" t="s">
        <v>15</v>
      </c>
      <c r="G5853" t="s">
        <v>16</v>
      </c>
      <c r="H5853" t="s">
        <v>17</v>
      </c>
      <c r="I5853">
        <v>0</v>
      </c>
      <c r="J5853">
        <v>0</v>
      </c>
      <c r="K5853">
        <v>1</v>
      </c>
    </row>
    <row r="5854" spans="1:11" x14ac:dyDescent="0.25">
      <c r="A5854" t="str">
        <f>"7330"</f>
        <v>7330</v>
      </c>
      <c r="B5854" t="str">
        <f t="shared" si="384"/>
        <v>1</v>
      </c>
      <c r="C5854" t="str">
        <f t="shared" si="383"/>
        <v>318</v>
      </c>
      <c r="D5854" t="str">
        <f>"20"</f>
        <v>20</v>
      </c>
      <c r="E5854" t="str">
        <f>"1-318-20"</f>
        <v>1-318-20</v>
      </c>
      <c r="F5854" t="s">
        <v>15</v>
      </c>
      <c r="G5854" t="s">
        <v>16</v>
      </c>
      <c r="H5854" t="s">
        <v>17</v>
      </c>
      <c r="I5854">
        <v>0</v>
      </c>
      <c r="J5854">
        <v>1</v>
      </c>
      <c r="K5854">
        <v>0</v>
      </c>
    </row>
    <row r="5855" spans="1:11" x14ac:dyDescent="0.25">
      <c r="A5855" t="str">
        <f>"7331"</f>
        <v>7331</v>
      </c>
      <c r="B5855" t="str">
        <f t="shared" si="384"/>
        <v>1</v>
      </c>
      <c r="C5855" t="str">
        <f t="shared" si="383"/>
        <v>318</v>
      </c>
      <c r="D5855" t="str">
        <f>"21"</f>
        <v>21</v>
      </c>
      <c r="E5855" t="str">
        <f>"1-318-21"</f>
        <v>1-318-21</v>
      </c>
      <c r="F5855" t="s">
        <v>15</v>
      </c>
      <c r="G5855" t="s">
        <v>18</v>
      </c>
      <c r="H5855" t="s">
        <v>19</v>
      </c>
      <c r="I5855">
        <v>0</v>
      </c>
      <c r="J5855">
        <v>1</v>
      </c>
      <c r="K5855">
        <v>0</v>
      </c>
    </row>
    <row r="5856" spans="1:11" x14ac:dyDescent="0.25">
      <c r="A5856" t="str">
        <f>"7332"</f>
        <v>7332</v>
      </c>
      <c r="B5856" t="str">
        <f t="shared" si="384"/>
        <v>1</v>
      </c>
      <c r="C5856" t="str">
        <f t="shared" si="383"/>
        <v>318</v>
      </c>
      <c r="D5856" t="str">
        <f>"6"</f>
        <v>6</v>
      </c>
      <c r="E5856" t="str">
        <f>"1-318-6"</f>
        <v>1-318-6</v>
      </c>
      <c r="F5856" t="s">
        <v>15</v>
      </c>
      <c r="G5856" t="s">
        <v>18</v>
      </c>
      <c r="H5856" t="s">
        <v>19</v>
      </c>
      <c r="I5856">
        <v>0</v>
      </c>
      <c r="J5856">
        <v>1</v>
      </c>
      <c r="K5856">
        <v>0</v>
      </c>
    </row>
    <row r="5857" spans="1:11" x14ac:dyDescent="0.25">
      <c r="A5857" t="str">
        <f>"7333"</f>
        <v>7333</v>
      </c>
      <c r="B5857" t="str">
        <f t="shared" si="384"/>
        <v>1</v>
      </c>
      <c r="C5857" t="str">
        <f t="shared" si="383"/>
        <v>318</v>
      </c>
      <c r="D5857" t="str">
        <f>"22"</f>
        <v>22</v>
      </c>
      <c r="E5857" t="str">
        <f>"1-318-22"</f>
        <v>1-318-22</v>
      </c>
      <c r="F5857" t="s">
        <v>15</v>
      </c>
      <c r="G5857" t="s">
        <v>20</v>
      </c>
      <c r="H5857" t="s">
        <v>21</v>
      </c>
      <c r="I5857">
        <v>1</v>
      </c>
      <c r="J5857">
        <v>0</v>
      </c>
      <c r="K5857">
        <v>0</v>
      </c>
    </row>
    <row r="5858" spans="1:11" x14ac:dyDescent="0.25">
      <c r="A5858" t="str">
        <f>"7334"</f>
        <v>7334</v>
      </c>
      <c r="B5858" t="str">
        <f t="shared" si="384"/>
        <v>1</v>
      </c>
      <c r="C5858" t="str">
        <f t="shared" si="383"/>
        <v>318</v>
      </c>
      <c r="D5858" t="str">
        <f>"8"</f>
        <v>8</v>
      </c>
      <c r="E5858" t="str">
        <f>"1-318-8"</f>
        <v>1-318-8</v>
      </c>
      <c r="F5858" t="s">
        <v>15</v>
      </c>
      <c r="G5858" t="s">
        <v>16</v>
      </c>
      <c r="H5858" t="s">
        <v>17</v>
      </c>
      <c r="I5858">
        <v>1</v>
      </c>
      <c r="J5858">
        <v>0</v>
      </c>
      <c r="K5858">
        <v>0</v>
      </c>
    </row>
    <row r="5859" spans="1:11" x14ac:dyDescent="0.25">
      <c r="A5859" t="str">
        <f>"7335"</f>
        <v>7335</v>
      </c>
      <c r="B5859" t="str">
        <f t="shared" si="384"/>
        <v>1</v>
      </c>
      <c r="C5859" t="str">
        <f t="shared" si="383"/>
        <v>318</v>
      </c>
      <c r="D5859" t="str">
        <f>"23"</f>
        <v>23</v>
      </c>
      <c r="E5859" t="str">
        <f>"1-318-23"</f>
        <v>1-318-23</v>
      </c>
      <c r="F5859" t="s">
        <v>15</v>
      </c>
      <c r="G5859" t="s">
        <v>20</v>
      </c>
      <c r="H5859" t="s">
        <v>21</v>
      </c>
      <c r="I5859">
        <v>0</v>
      </c>
      <c r="J5859">
        <v>1</v>
      </c>
      <c r="K5859">
        <v>0</v>
      </c>
    </row>
    <row r="5860" spans="1:11" x14ac:dyDescent="0.25">
      <c r="A5860" t="str">
        <f>"7336"</f>
        <v>7336</v>
      </c>
      <c r="B5860" t="str">
        <f t="shared" si="384"/>
        <v>1</v>
      </c>
      <c r="C5860" t="str">
        <f t="shared" si="383"/>
        <v>318</v>
      </c>
      <c r="D5860" t="str">
        <f>"13"</f>
        <v>13</v>
      </c>
      <c r="E5860" t="str">
        <f>"1-318-13"</f>
        <v>1-318-13</v>
      </c>
      <c r="F5860" t="s">
        <v>15</v>
      </c>
      <c r="G5860" t="s">
        <v>18</v>
      </c>
      <c r="H5860" t="s">
        <v>19</v>
      </c>
      <c r="I5860">
        <v>0</v>
      </c>
      <c r="J5860">
        <v>1</v>
      </c>
      <c r="K5860">
        <v>0</v>
      </c>
    </row>
    <row r="5861" spans="1:11" x14ac:dyDescent="0.25">
      <c r="A5861" t="str">
        <f>"7337"</f>
        <v>7337</v>
      </c>
      <c r="B5861" t="str">
        <f t="shared" si="384"/>
        <v>1</v>
      </c>
      <c r="C5861" t="str">
        <f t="shared" si="383"/>
        <v>318</v>
      </c>
      <c r="D5861" t="str">
        <f>"2"</f>
        <v>2</v>
      </c>
      <c r="E5861" t="str">
        <f>"1-318-2"</f>
        <v>1-318-2</v>
      </c>
      <c r="F5861" t="s">
        <v>15</v>
      </c>
      <c r="G5861" t="s">
        <v>16</v>
      </c>
      <c r="H5861" t="s">
        <v>17</v>
      </c>
      <c r="I5861">
        <v>0</v>
      </c>
      <c r="J5861">
        <v>0</v>
      </c>
      <c r="K5861">
        <v>1</v>
      </c>
    </row>
    <row r="5862" spans="1:11" x14ac:dyDescent="0.25">
      <c r="A5862" t="str">
        <f>"7338"</f>
        <v>7338</v>
      </c>
      <c r="B5862" t="str">
        <f t="shared" si="384"/>
        <v>1</v>
      </c>
      <c r="C5862" t="str">
        <f t="shared" si="383"/>
        <v>318</v>
      </c>
      <c r="D5862" t="str">
        <f>"4"</f>
        <v>4</v>
      </c>
      <c r="E5862" t="str">
        <f>"1-318-4"</f>
        <v>1-318-4</v>
      </c>
      <c r="F5862" t="s">
        <v>15</v>
      </c>
      <c r="G5862" t="s">
        <v>16</v>
      </c>
      <c r="H5862" t="s">
        <v>17</v>
      </c>
      <c r="I5862">
        <v>0</v>
      </c>
      <c r="J5862">
        <v>0</v>
      </c>
      <c r="K5862">
        <v>1</v>
      </c>
    </row>
    <row r="5863" spans="1:11" x14ac:dyDescent="0.25">
      <c r="A5863" t="str">
        <f>"7339"</f>
        <v>7339</v>
      </c>
      <c r="B5863" t="str">
        <f t="shared" si="384"/>
        <v>1</v>
      </c>
      <c r="C5863" t="str">
        <f t="shared" si="383"/>
        <v>318</v>
      </c>
      <c r="D5863" t="str">
        <f>"11"</f>
        <v>11</v>
      </c>
      <c r="E5863" t="str">
        <f>"1-318-11"</f>
        <v>1-318-11</v>
      </c>
      <c r="F5863" t="s">
        <v>15</v>
      </c>
      <c r="G5863" t="s">
        <v>16</v>
      </c>
      <c r="H5863" t="s">
        <v>17</v>
      </c>
      <c r="I5863">
        <v>0</v>
      </c>
      <c r="J5863">
        <v>0</v>
      </c>
      <c r="K5863">
        <v>1</v>
      </c>
    </row>
    <row r="5864" spans="1:11" x14ac:dyDescent="0.25">
      <c r="A5864" t="str">
        <f>"7340"</f>
        <v>7340</v>
      </c>
      <c r="B5864" t="str">
        <f t="shared" si="384"/>
        <v>1</v>
      </c>
      <c r="C5864" t="str">
        <f t="shared" si="383"/>
        <v>318</v>
      </c>
      <c r="D5864" t="str">
        <f>"12"</f>
        <v>12</v>
      </c>
      <c r="E5864" t="str">
        <f>"1-318-12"</f>
        <v>1-318-12</v>
      </c>
      <c r="F5864" t="s">
        <v>15</v>
      </c>
      <c r="G5864" t="s">
        <v>20</v>
      </c>
      <c r="H5864" t="s">
        <v>21</v>
      </c>
      <c r="I5864">
        <v>1</v>
      </c>
      <c r="J5864">
        <v>0</v>
      </c>
      <c r="K5864">
        <v>0</v>
      </c>
    </row>
    <row r="5865" spans="1:11" x14ac:dyDescent="0.25">
      <c r="A5865" t="str">
        <f>"7341"</f>
        <v>7341</v>
      </c>
      <c r="B5865" t="str">
        <f t="shared" si="384"/>
        <v>1</v>
      </c>
      <c r="C5865" t="str">
        <f t="shared" si="383"/>
        <v>318</v>
      </c>
      <c r="D5865" t="str">
        <f>"14"</f>
        <v>14</v>
      </c>
      <c r="E5865" t="str">
        <f>"1-318-14"</f>
        <v>1-318-14</v>
      </c>
      <c r="F5865" t="s">
        <v>15</v>
      </c>
      <c r="G5865" t="s">
        <v>16</v>
      </c>
      <c r="H5865" t="s">
        <v>17</v>
      </c>
      <c r="I5865">
        <v>1</v>
      </c>
      <c r="J5865">
        <v>0</v>
      </c>
      <c r="K5865">
        <v>0</v>
      </c>
    </row>
    <row r="5866" spans="1:11" x14ac:dyDescent="0.25">
      <c r="A5866" t="str">
        <f>"7342"</f>
        <v>7342</v>
      </c>
      <c r="B5866" t="str">
        <f t="shared" si="384"/>
        <v>1</v>
      </c>
      <c r="C5866" t="str">
        <f t="shared" si="383"/>
        <v>318</v>
      </c>
      <c r="D5866" t="str">
        <f>"9"</f>
        <v>9</v>
      </c>
      <c r="E5866" t="str">
        <f>"1-318-9"</f>
        <v>1-318-9</v>
      </c>
      <c r="F5866" t="s">
        <v>15</v>
      </c>
      <c r="G5866" t="s">
        <v>20</v>
      </c>
      <c r="H5866" t="s">
        <v>21</v>
      </c>
      <c r="I5866">
        <v>1</v>
      </c>
      <c r="J5866">
        <v>0</v>
      </c>
      <c r="K5866">
        <v>0</v>
      </c>
    </row>
    <row r="5867" spans="1:11" x14ac:dyDescent="0.25">
      <c r="A5867" t="str">
        <f>"7343"</f>
        <v>7343</v>
      </c>
      <c r="B5867" t="str">
        <f t="shared" si="384"/>
        <v>1</v>
      </c>
      <c r="C5867" t="str">
        <f t="shared" si="383"/>
        <v>318</v>
      </c>
      <c r="D5867" t="str">
        <f>"7"</f>
        <v>7</v>
      </c>
      <c r="E5867" t="str">
        <f>"1-318-7"</f>
        <v>1-318-7</v>
      </c>
      <c r="F5867" t="s">
        <v>15</v>
      </c>
      <c r="G5867" t="s">
        <v>18</v>
      </c>
      <c r="H5867" t="s">
        <v>19</v>
      </c>
      <c r="I5867">
        <v>0</v>
      </c>
      <c r="J5867">
        <v>0</v>
      </c>
      <c r="K5867">
        <v>0</v>
      </c>
    </row>
    <row r="5868" spans="1:11" x14ac:dyDescent="0.25">
      <c r="A5868" t="str">
        <f>"7344"</f>
        <v>7344</v>
      </c>
      <c r="B5868" t="str">
        <f t="shared" si="384"/>
        <v>1</v>
      </c>
      <c r="C5868" t="str">
        <f t="shared" ref="C5868:C5892" si="385">"319"</f>
        <v>319</v>
      </c>
      <c r="D5868" t="str">
        <f>"17"</f>
        <v>17</v>
      </c>
      <c r="E5868" t="str">
        <f>"1-319-17"</f>
        <v>1-319-17</v>
      </c>
      <c r="F5868" t="s">
        <v>15</v>
      </c>
      <c r="G5868" t="s">
        <v>20</v>
      </c>
      <c r="H5868" t="s">
        <v>21</v>
      </c>
      <c r="I5868">
        <v>1</v>
      </c>
      <c r="J5868">
        <v>0</v>
      </c>
      <c r="K5868">
        <v>0</v>
      </c>
    </row>
    <row r="5869" spans="1:11" x14ac:dyDescent="0.25">
      <c r="A5869" t="str">
        <f>"7345"</f>
        <v>7345</v>
      </c>
      <c r="B5869" t="str">
        <f t="shared" si="384"/>
        <v>1</v>
      </c>
      <c r="C5869" t="str">
        <f t="shared" si="385"/>
        <v>319</v>
      </c>
      <c r="D5869" t="str">
        <f>"15"</f>
        <v>15</v>
      </c>
      <c r="E5869" t="str">
        <f>"1-319-15"</f>
        <v>1-319-15</v>
      </c>
      <c r="F5869" t="s">
        <v>15</v>
      </c>
      <c r="G5869" t="s">
        <v>20</v>
      </c>
      <c r="H5869" t="s">
        <v>21</v>
      </c>
      <c r="I5869">
        <v>0</v>
      </c>
      <c r="J5869">
        <v>1</v>
      </c>
      <c r="K5869">
        <v>0</v>
      </c>
    </row>
    <row r="5870" spans="1:11" x14ac:dyDescent="0.25">
      <c r="A5870" t="str">
        <f>"7346"</f>
        <v>7346</v>
      </c>
      <c r="B5870" t="str">
        <f t="shared" si="384"/>
        <v>1</v>
      </c>
      <c r="C5870" t="str">
        <f t="shared" si="385"/>
        <v>319</v>
      </c>
      <c r="D5870" t="str">
        <f>"2"</f>
        <v>2</v>
      </c>
      <c r="E5870" t="str">
        <f>"1-319-2"</f>
        <v>1-319-2</v>
      </c>
      <c r="F5870" t="s">
        <v>15</v>
      </c>
      <c r="G5870" t="s">
        <v>20</v>
      </c>
      <c r="H5870" t="s">
        <v>21</v>
      </c>
      <c r="I5870">
        <v>1</v>
      </c>
      <c r="J5870">
        <v>0</v>
      </c>
      <c r="K5870">
        <v>0</v>
      </c>
    </row>
    <row r="5871" spans="1:11" x14ac:dyDescent="0.25">
      <c r="A5871" t="str">
        <f>"7347"</f>
        <v>7347</v>
      </c>
      <c r="B5871" t="str">
        <f t="shared" si="384"/>
        <v>1</v>
      </c>
      <c r="C5871" t="str">
        <f t="shared" si="385"/>
        <v>319</v>
      </c>
      <c r="D5871" t="str">
        <f>"18"</f>
        <v>18</v>
      </c>
      <c r="E5871" t="str">
        <f>"1-319-18"</f>
        <v>1-319-18</v>
      </c>
      <c r="F5871" t="s">
        <v>15</v>
      </c>
      <c r="G5871" t="s">
        <v>20</v>
      </c>
      <c r="H5871" t="s">
        <v>21</v>
      </c>
      <c r="I5871">
        <v>0</v>
      </c>
      <c r="J5871">
        <v>0</v>
      </c>
      <c r="K5871">
        <v>1</v>
      </c>
    </row>
    <row r="5872" spans="1:11" x14ac:dyDescent="0.25">
      <c r="A5872" t="str">
        <f>"7348"</f>
        <v>7348</v>
      </c>
      <c r="B5872" t="str">
        <f t="shared" si="384"/>
        <v>1</v>
      </c>
      <c r="C5872" t="str">
        <f t="shared" si="385"/>
        <v>319</v>
      </c>
      <c r="D5872" t="str">
        <f>"16"</f>
        <v>16</v>
      </c>
      <c r="E5872" t="str">
        <f>"1-319-16"</f>
        <v>1-319-16</v>
      </c>
      <c r="F5872" t="s">
        <v>15</v>
      </c>
      <c r="G5872" t="s">
        <v>20</v>
      </c>
      <c r="H5872" t="s">
        <v>21</v>
      </c>
      <c r="I5872">
        <v>1</v>
      </c>
      <c r="J5872">
        <v>0</v>
      </c>
      <c r="K5872">
        <v>0</v>
      </c>
    </row>
    <row r="5873" spans="1:11" x14ac:dyDescent="0.25">
      <c r="A5873" t="str">
        <f>"7349"</f>
        <v>7349</v>
      </c>
      <c r="B5873" t="str">
        <f t="shared" si="384"/>
        <v>1</v>
      </c>
      <c r="C5873" t="str">
        <f t="shared" si="385"/>
        <v>319</v>
      </c>
      <c r="D5873" t="str">
        <f>"5"</f>
        <v>5</v>
      </c>
      <c r="E5873" t="str">
        <f>"1-319-5"</f>
        <v>1-319-5</v>
      </c>
      <c r="F5873" t="s">
        <v>15</v>
      </c>
      <c r="G5873" t="s">
        <v>20</v>
      </c>
      <c r="H5873" t="s">
        <v>21</v>
      </c>
      <c r="I5873">
        <v>0</v>
      </c>
      <c r="J5873">
        <v>0</v>
      </c>
      <c r="K5873">
        <v>1</v>
      </c>
    </row>
    <row r="5874" spans="1:11" x14ac:dyDescent="0.25">
      <c r="A5874" t="str">
        <f>"7350"</f>
        <v>7350</v>
      </c>
      <c r="B5874" t="str">
        <f t="shared" si="384"/>
        <v>1</v>
      </c>
      <c r="C5874" t="str">
        <f t="shared" si="385"/>
        <v>319</v>
      </c>
      <c r="D5874" t="str">
        <f>"19"</f>
        <v>19</v>
      </c>
      <c r="E5874" t="str">
        <f>"1-319-19"</f>
        <v>1-319-19</v>
      </c>
      <c r="F5874" t="s">
        <v>15</v>
      </c>
      <c r="G5874" t="s">
        <v>20</v>
      </c>
      <c r="H5874" t="s">
        <v>21</v>
      </c>
      <c r="I5874">
        <v>0</v>
      </c>
      <c r="J5874">
        <v>0</v>
      </c>
      <c r="K5874">
        <v>1</v>
      </c>
    </row>
    <row r="5875" spans="1:11" x14ac:dyDescent="0.25">
      <c r="A5875" t="str">
        <f>"7351"</f>
        <v>7351</v>
      </c>
      <c r="B5875" t="str">
        <f t="shared" si="384"/>
        <v>1</v>
      </c>
      <c r="C5875" t="str">
        <f t="shared" si="385"/>
        <v>319</v>
      </c>
      <c r="D5875" t="str">
        <f>"14"</f>
        <v>14</v>
      </c>
      <c r="E5875" t="str">
        <f>"1-319-14"</f>
        <v>1-319-14</v>
      </c>
      <c r="F5875" t="s">
        <v>15</v>
      </c>
      <c r="G5875" t="s">
        <v>20</v>
      </c>
      <c r="H5875" t="s">
        <v>21</v>
      </c>
      <c r="I5875">
        <v>1</v>
      </c>
      <c r="J5875">
        <v>0</v>
      </c>
      <c r="K5875">
        <v>0</v>
      </c>
    </row>
    <row r="5876" spans="1:11" x14ac:dyDescent="0.25">
      <c r="A5876" t="str">
        <f>"7352"</f>
        <v>7352</v>
      </c>
      <c r="B5876" t="str">
        <f t="shared" si="384"/>
        <v>1</v>
      </c>
      <c r="C5876" t="str">
        <f t="shared" si="385"/>
        <v>319</v>
      </c>
      <c r="D5876" t="str">
        <f>"20"</f>
        <v>20</v>
      </c>
      <c r="E5876" t="str">
        <f>"1-319-20"</f>
        <v>1-319-20</v>
      </c>
      <c r="F5876" t="s">
        <v>15</v>
      </c>
      <c r="G5876" t="s">
        <v>20</v>
      </c>
      <c r="H5876" t="s">
        <v>21</v>
      </c>
      <c r="I5876">
        <v>0</v>
      </c>
      <c r="J5876">
        <v>0</v>
      </c>
      <c r="K5876">
        <v>1</v>
      </c>
    </row>
    <row r="5877" spans="1:11" x14ac:dyDescent="0.25">
      <c r="A5877" t="str">
        <f>"7353"</f>
        <v>7353</v>
      </c>
      <c r="B5877" t="str">
        <f t="shared" si="384"/>
        <v>1</v>
      </c>
      <c r="C5877" t="str">
        <f t="shared" si="385"/>
        <v>319</v>
      </c>
      <c r="D5877" t="str">
        <f>"7"</f>
        <v>7</v>
      </c>
      <c r="E5877" t="str">
        <f>"1-319-7"</f>
        <v>1-319-7</v>
      </c>
      <c r="F5877" t="s">
        <v>15</v>
      </c>
      <c r="G5877" t="s">
        <v>20</v>
      </c>
      <c r="H5877" t="s">
        <v>21</v>
      </c>
      <c r="I5877">
        <v>1</v>
      </c>
      <c r="J5877">
        <v>0</v>
      </c>
      <c r="K5877">
        <v>0</v>
      </c>
    </row>
    <row r="5878" spans="1:11" x14ac:dyDescent="0.25">
      <c r="A5878" t="str">
        <f>"7354"</f>
        <v>7354</v>
      </c>
      <c r="B5878" t="str">
        <f t="shared" si="384"/>
        <v>1</v>
      </c>
      <c r="C5878" t="str">
        <f t="shared" si="385"/>
        <v>319</v>
      </c>
      <c r="D5878" t="str">
        <f>"21"</f>
        <v>21</v>
      </c>
      <c r="E5878" t="str">
        <f>"1-319-21"</f>
        <v>1-319-21</v>
      </c>
      <c r="F5878" t="s">
        <v>15</v>
      </c>
      <c r="G5878" t="s">
        <v>20</v>
      </c>
      <c r="H5878" t="s">
        <v>21</v>
      </c>
      <c r="I5878">
        <v>0</v>
      </c>
      <c r="J5878">
        <v>0</v>
      </c>
      <c r="K5878">
        <v>1</v>
      </c>
    </row>
    <row r="5879" spans="1:11" x14ac:dyDescent="0.25">
      <c r="A5879" t="str">
        <f>"7355"</f>
        <v>7355</v>
      </c>
      <c r="B5879" t="str">
        <f t="shared" si="384"/>
        <v>1</v>
      </c>
      <c r="C5879" t="str">
        <f t="shared" si="385"/>
        <v>319</v>
      </c>
      <c r="D5879" t="str">
        <f>"12"</f>
        <v>12</v>
      </c>
      <c r="E5879" t="str">
        <f>"1-319-12"</f>
        <v>1-319-12</v>
      </c>
      <c r="F5879" t="s">
        <v>15</v>
      </c>
      <c r="G5879" t="s">
        <v>20</v>
      </c>
      <c r="H5879" t="s">
        <v>21</v>
      </c>
      <c r="I5879">
        <v>1</v>
      </c>
      <c r="J5879">
        <v>0</v>
      </c>
      <c r="K5879">
        <v>0</v>
      </c>
    </row>
    <row r="5880" spans="1:11" x14ac:dyDescent="0.25">
      <c r="A5880" t="str">
        <f>"7356"</f>
        <v>7356</v>
      </c>
      <c r="B5880" t="str">
        <f t="shared" si="384"/>
        <v>1</v>
      </c>
      <c r="C5880" t="str">
        <f t="shared" si="385"/>
        <v>319</v>
      </c>
      <c r="D5880" t="str">
        <f>"22"</f>
        <v>22</v>
      </c>
      <c r="E5880" t="str">
        <f>"1-319-22"</f>
        <v>1-319-22</v>
      </c>
      <c r="F5880" t="s">
        <v>15</v>
      </c>
      <c r="G5880" t="s">
        <v>20</v>
      </c>
      <c r="H5880" t="s">
        <v>21</v>
      </c>
      <c r="I5880">
        <v>0</v>
      </c>
      <c r="J5880">
        <v>1</v>
      </c>
      <c r="K5880">
        <v>0</v>
      </c>
    </row>
    <row r="5881" spans="1:11" x14ac:dyDescent="0.25">
      <c r="A5881" t="str">
        <f>"7357"</f>
        <v>7357</v>
      </c>
      <c r="B5881" t="str">
        <f t="shared" si="384"/>
        <v>1</v>
      </c>
      <c r="C5881" t="str">
        <f t="shared" si="385"/>
        <v>319</v>
      </c>
      <c r="D5881" t="str">
        <f>"10"</f>
        <v>10</v>
      </c>
      <c r="E5881" t="str">
        <f>"1-319-10"</f>
        <v>1-319-10</v>
      </c>
      <c r="F5881" t="s">
        <v>15</v>
      </c>
      <c r="G5881" t="s">
        <v>20</v>
      </c>
      <c r="H5881" t="s">
        <v>21</v>
      </c>
      <c r="I5881">
        <v>0</v>
      </c>
      <c r="J5881">
        <v>0</v>
      </c>
      <c r="K5881">
        <v>1</v>
      </c>
    </row>
    <row r="5882" spans="1:11" x14ac:dyDescent="0.25">
      <c r="A5882" t="str">
        <f>"7358"</f>
        <v>7358</v>
      </c>
      <c r="B5882" t="str">
        <f t="shared" si="384"/>
        <v>1</v>
      </c>
      <c r="C5882" t="str">
        <f t="shared" si="385"/>
        <v>319</v>
      </c>
      <c r="D5882" t="str">
        <f>"23"</f>
        <v>23</v>
      </c>
      <c r="E5882" t="str">
        <f>"1-319-23"</f>
        <v>1-319-23</v>
      </c>
      <c r="F5882" t="s">
        <v>15</v>
      </c>
      <c r="G5882" t="s">
        <v>20</v>
      </c>
      <c r="H5882" t="s">
        <v>21</v>
      </c>
      <c r="I5882">
        <v>1</v>
      </c>
      <c r="J5882">
        <v>0</v>
      </c>
      <c r="K5882">
        <v>0</v>
      </c>
    </row>
    <row r="5883" spans="1:11" x14ac:dyDescent="0.25">
      <c r="A5883" t="str">
        <f>"7359"</f>
        <v>7359</v>
      </c>
      <c r="B5883" t="str">
        <f t="shared" si="384"/>
        <v>1</v>
      </c>
      <c r="C5883" t="str">
        <f t="shared" si="385"/>
        <v>319</v>
      </c>
      <c r="D5883" t="str">
        <f>"8"</f>
        <v>8</v>
      </c>
      <c r="E5883" t="str">
        <f>"1-319-8"</f>
        <v>1-319-8</v>
      </c>
      <c r="F5883" t="s">
        <v>15</v>
      </c>
      <c r="G5883" t="s">
        <v>20</v>
      </c>
      <c r="H5883" t="s">
        <v>21</v>
      </c>
      <c r="I5883">
        <v>0</v>
      </c>
      <c r="J5883">
        <v>1</v>
      </c>
      <c r="K5883">
        <v>0</v>
      </c>
    </row>
    <row r="5884" spans="1:11" x14ac:dyDescent="0.25">
      <c r="A5884" t="str">
        <f>"7360"</f>
        <v>7360</v>
      </c>
      <c r="B5884" t="str">
        <f t="shared" si="384"/>
        <v>1</v>
      </c>
      <c r="C5884" t="str">
        <f t="shared" si="385"/>
        <v>319</v>
      </c>
      <c r="D5884" t="str">
        <f>"24"</f>
        <v>24</v>
      </c>
      <c r="E5884" t="str">
        <f>"1-319-24"</f>
        <v>1-319-24</v>
      </c>
      <c r="F5884" t="s">
        <v>15</v>
      </c>
      <c r="G5884" t="s">
        <v>20</v>
      </c>
      <c r="H5884" t="s">
        <v>21</v>
      </c>
      <c r="I5884">
        <v>1</v>
      </c>
      <c r="J5884">
        <v>0</v>
      </c>
      <c r="K5884">
        <v>0</v>
      </c>
    </row>
    <row r="5885" spans="1:11" x14ac:dyDescent="0.25">
      <c r="A5885" t="str">
        <f>"7361"</f>
        <v>7361</v>
      </c>
      <c r="B5885" t="str">
        <f t="shared" si="384"/>
        <v>1</v>
      </c>
      <c r="C5885" t="str">
        <f t="shared" si="385"/>
        <v>319</v>
      </c>
      <c r="D5885" t="str">
        <f>"11"</f>
        <v>11</v>
      </c>
      <c r="E5885" t="str">
        <f>"1-319-11"</f>
        <v>1-319-11</v>
      </c>
      <c r="F5885" t="s">
        <v>15</v>
      </c>
      <c r="G5885" t="s">
        <v>20</v>
      </c>
      <c r="H5885" t="s">
        <v>21</v>
      </c>
      <c r="I5885">
        <v>0</v>
      </c>
      <c r="J5885">
        <v>1</v>
      </c>
      <c r="K5885">
        <v>0</v>
      </c>
    </row>
    <row r="5886" spans="1:11" x14ac:dyDescent="0.25">
      <c r="A5886" t="str">
        <f>"7362"</f>
        <v>7362</v>
      </c>
      <c r="B5886" t="str">
        <f t="shared" si="384"/>
        <v>1</v>
      </c>
      <c r="C5886" t="str">
        <f t="shared" si="385"/>
        <v>319</v>
      </c>
      <c r="D5886" t="str">
        <f>"25"</f>
        <v>25</v>
      </c>
      <c r="E5886" t="str">
        <f>"1-319-25"</f>
        <v>1-319-25</v>
      </c>
      <c r="F5886" t="s">
        <v>15</v>
      </c>
      <c r="G5886" t="s">
        <v>20</v>
      </c>
      <c r="H5886" t="s">
        <v>21</v>
      </c>
      <c r="I5886">
        <v>0</v>
      </c>
      <c r="J5886">
        <v>1</v>
      </c>
      <c r="K5886">
        <v>0</v>
      </c>
    </row>
    <row r="5887" spans="1:11" x14ac:dyDescent="0.25">
      <c r="A5887" t="str">
        <f>"7363"</f>
        <v>7363</v>
      </c>
      <c r="B5887" t="str">
        <f t="shared" si="384"/>
        <v>1</v>
      </c>
      <c r="C5887" t="str">
        <f t="shared" si="385"/>
        <v>319</v>
      </c>
      <c r="D5887" t="str">
        <f>"1"</f>
        <v>1</v>
      </c>
      <c r="E5887" t="str">
        <f>"1-319-1"</f>
        <v>1-319-1</v>
      </c>
      <c r="F5887" t="s">
        <v>15</v>
      </c>
      <c r="G5887" t="s">
        <v>20</v>
      </c>
      <c r="H5887" t="s">
        <v>21</v>
      </c>
      <c r="I5887">
        <v>0</v>
      </c>
      <c r="J5887">
        <v>0</v>
      </c>
      <c r="K5887">
        <v>1</v>
      </c>
    </row>
    <row r="5888" spans="1:11" x14ac:dyDescent="0.25">
      <c r="A5888" t="str">
        <f>"7364"</f>
        <v>7364</v>
      </c>
      <c r="B5888" t="str">
        <f t="shared" si="384"/>
        <v>1</v>
      </c>
      <c r="C5888" t="str">
        <f t="shared" si="385"/>
        <v>319</v>
      </c>
      <c r="D5888" t="str">
        <f>"3"</f>
        <v>3</v>
      </c>
      <c r="E5888" t="str">
        <f>"1-319-3"</f>
        <v>1-319-3</v>
      </c>
      <c r="F5888" t="s">
        <v>15</v>
      </c>
      <c r="G5888" t="s">
        <v>20</v>
      </c>
      <c r="H5888" t="s">
        <v>21</v>
      </c>
      <c r="I5888">
        <v>0</v>
      </c>
      <c r="J5888">
        <v>1</v>
      </c>
      <c r="K5888">
        <v>0</v>
      </c>
    </row>
    <row r="5889" spans="1:11" x14ac:dyDescent="0.25">
      <c r="A5889" t="str">
        <f>"7365"</f>
        <v>7365</v>
      </c>
      <c r="B5889" t="str">
        <f t="shared" si="384"/>
        <v>1</v>
      </c>
      <c r="C5889" t="str">
        <f t="shared" si="385"/>
        <v>319</v>
      </c>
      <c r="D5889" t="str">
        <f>"4"</f>
        <v>4</v>
      </c>
      <c r="E5889" t="str">
        <f>"1-319-4"</f>
        <v>1-319-4</v>
      </c>
      <c r="F5889" t="s">
        <v>15</v>
      </c>
      <c r="G5889" t="s">
        <v>20</v>
      </c>
      <c r="H5889" t="s">
        <v>21</v>
      </c>
      <c r="I5889">
        <v>0</v>
      </c>
      <c r="J5889">
        <v>1</v>
      </c>
      <c r="K5889">
        <v>0</v>
      </c>
    </row>
    <row r="5890" spans="1:11" x14ac:dyDescent="0.25">
      <c r="A5890" t="str">
        <f>"7366"</f>
        <v>7366</v>
      </c>
      <c r="B5890" t="str">
        <f t="shared" si="384"/>
        <v>1</v>
      </c>
      <c r="C5890" t="str">
        <f t="shared" si="385"/>
        <v>319</v>
      </c>
      <c r="D5890" t="str">
        <f>"9"</f>
        <v>9</v>
      </c>
      <c r="E5890" t="str">
        <f>"1-319-9"</f>
        <v>1-319-9</v>
      </c>
      <c r="F5890" t="s">
        <v>15</v>
      </c>
      <c r="G5890" t="s">
        <v>20</v>
      </c>
      <c r="H5890" t="s">
        <v>21</v>
      </c>
      <c r="I5890">
        <v>0</v>
      </c>
      <c r="J5890">
        <v>0</v>
      </c>
      <c r="K5890">
        <v>1</v>
      </c>
    </row>
    <row r="5891" spans="1:11" x14ac:dyDescent="0.25">
      <c r="A5891" t="str">
        <f>"7367"</f>
        <v>7367</v>
      </c>
      <c r="B5891" t="str">
        <f t="shared" si="384"/>
        <v>1</v>
      </c>
      <c r="C5891" t="str">
        <f t="shared" si="385"/>
        <v>319</v>
      </c>
      <c r="D5891" t="str">
        <f>"6"</f>
        <v>6</v>
      </c>
      <c r="E5891" t="str">
        <f>"1-319-6"</f>
        <v>1-319-6</v>
      </c>
      <c r="F5891" t="s">
        <v>15</v>
      </c>
      <c r="G5891" t="s">
        <v>20</v>
      </c>
      <c r="H5891" t="s">
        <v>21</v>
      </c>
      <c r="I5891">
        <v>1</v>
      </c>
      <c r="J5891">
        <v>0</v>
      </c>
      <c r="K5891">
        <v>0</v>
      </c>
    </row>
    <row r="5892" spans="1:11" x14ac:dyDescent="0.25">
      <c r="A5892" t="str">
        <f>"7368"</f>
        <v>7368</v>
      </c>
      <c r="B5892" t="str">
        <f t="shared" si="384"/>
        <v>1</v>
      </c>
      <c r="C5892" t="str">
        <f t="shared" si="385"/>
        <v>319</v>
      </c>
      <c r="D5892" t="str">
        <f>"13"</f>
        <v>13</v>
      </c>
      <c r="E5892" t="str">
        <f>"1-319-13"</f>
        <v>1-319-13</v>
      </c>
      <c r="F5892" t="s">
        <v>15</v>
      </c>
      <c r="G5892" t="s">
        <v>20</v>
      </c>
      <c r="H5892" t="s">
        <v>21</v>
      </c>
      <c r="I5892">
        <v>1</v>
      </c>
      <c r="J5892">
        <v>0</v>
      </c>
      <c r="K5892">
        <v>0</v>
      </c>
    </row>
    <row r="5893" spans="1:11" x14ac:dyDescent="0.25">
      <c r="A5893" t="str">
        <f>"7369"</f>
        <v>7369</v>
      </c>
      <c r="B5893" t="str">
        <f t="shared" si="384"/>
        <v>1</v>
      </c>
      <c r="C5893" t="str">
        <f t="shared" ref="C5893:C5918" si="386">"320"</f>
        <v>320</v>
      </c>
      <c r="D5893" t="str">
        <f>"21"</f>
        <v>21</v>
      </c>
      <c r="E5893" t="str">
        <f>"1-320-21"</f>
        <v>1-320-21</v>
      </c>
      <c r="F5893" t="s">
        <v>15</v>
      </c>
      <c r="G5893" t="s">
        <v>18</v>
      </c>
      <c r="H5893" t="s">
        <v>19</v>
      </c>
      <c r="I5893">
        <v>0</v>
      </c>
      <c r="J5893">
        <v>1</v>
      </c>
      <c r="K5893">
        <v>0</v>
      </c>
    </row>
    <row r="5894" spans="1:11" x14ac:dyDescent="0.25">
      <c r="A5894" t="str">
        <f>"7370"</f>
        <v>7370</v>
      </c>
      <c r="B5894" t="str">
        <f t="shared" si="384"/>
        <v>1</v>
      </c>
      <c r="C5894" t="str">
        <f t="shared" si="386"/>
        <v>320</v>
      </c>
      <c r="D5894" t="str">
        <f>"15"</f>
        <v>15</v>
      </c>
      <c r="E5894" t="str">
        <f>"1-320-15"</f>
        <v>1-320-15</v>
      </c>
      <c r="F5894" t="s">
        <v>15</v>
      </c>
      <c r="G5894" t="s">
        <v>18</v>
      </c>
      <c r="H5894" t="s">
        <v>19</v>
      </c>
      <c r="I5894">
        <v>1</v>
      </c>
      <c r="J5894">
        <v>0</v>
      </c>
      <c r="K5894">
        <v>0</v>
      </c>
    </row>
    <row r="5895" spans="1:11" x14ac:dyDescent="0.25">
      <c r="A5895" t="str">
        <f>"7371"</f>
        <v>7371</v>
      </c>
      <c r="B5895" t="str">
        <f t="shared" si="384"/>
        <v>1</v>
      </c>
      <c r="C5895" t="str">
        <f t="shared" si="386"/>
        <v>320</v>
      </c>
      <c r="D5895" t="str">
        <f>"2"</f>
        <v>2</v>
      </c>
      <c r="E5895" t="str">
        <f>"1-320-2"</f>
        <v>1-320-2</v>
      </c>
      <c r="F5895" t="s">
        <v>15</v>
      </c>
      <c r="G5895" t="s">
        <v>16</v>
      </c>
      <c r="H5895" t="s">
        <v>17</v>
      </c>
      <c r="I5895">
        <v>1</v>
      </c>
      <c r="J5895">
        <v>0</v>
      </c>
      <c r="K5895">
        <v>0</v>
      </c>
    </row>
    <row r="5896" spans="1:11" x14ac:dyDescent="0.25">
      <c r="A5896" t="str">
        <f>"7372"</f>
        <v>7372</v>
      </c>
      <c r="B5896" t="str">
        <f t="shared" si="384"/>
        <v>1</v>
      </c>
      <c r="C5896" t="str">
        <f t="shared" si="386"/>
        <v>320</v>
      </c>
      <c r="D5896" t="str">
        <f>"22"</f>
        <v>22</v>
      </c>
      <c r="E5896" t="str">
        <f>"1-320-22"</f>
        <v>1-320-22</v>
      </c>
      <c r="F5896" t="s">
        <v>15</v>
      </c>
      <c r="G5896" t="s">
        <v>16</v>
      </c>
      <c r="H5896" t="s">
        <v>17</v>
      </c>
      <c r="I5896">
        <v>1</v>
      </c>
      <c r="J5896">
        <v>0</v>
      </c>
      <c r="K5896">
        <v>0</v>
      </c>
    </row>
    <row r="5897" spans="1:11" x14ac:dyDescent="0.25">
      <c r="A5897" t="str">
        <f>"7373"</f>
        <v>7373</v>
      </c>
      <c r="B5897" t="str">
        <f t="shared" si="384"/>
        <v>1</v>
      </c>
      <c r="C5897" t="str">
        <f t="shared" si="386"/>
        <v>320</v>
      </c>
      <c r="D5897" t="str">
        <f>"16"</f>
        <v>16</v>
      </c>
      <c r="E5897" t="str">
        <f>"1-320-16"</f>
        <v>1-320-16</v>
      </c>
      <c r="F5897" t="s">
        <v>15</v>
      </c>
      <c r="G5897" t="s">
        <v>16</v>
      </c>
      <c r="H5897" t="s">
        <v>17</v>
      </c>
      <c r="I5897">
        <v>0</v>
      </c>
      <c r="J5897">
        <v>1</v>
      </c>
      <c r="K5897">
        <v>0</v>
      </c>
    </row>
    <row r="5898" spans="1:11" x14ac:dyDescent="0.25">
      <c r="A5898" t="str">
        <f>"7374"</f>
        <v>7374</v>
      </c>
      <c r="B5898" t="str">
        <f t="shared" si="384"/>
        <v>1</v>
      </c>
      <c r="C5898" t="str">
        <f t="shared" si="386"/>
        <v>320</v>
      </c>
      <c r="D5898" t="str">
        <f>"8"</f>
        <v>8</v>
      </c>
      <c r="E5898" t="str">
        <f>"1-320-8"</f>
        <v>1-320-8</v>
      </c>
      <c r="F5898" t="s">
        <v>15</v>
      </c>
      <c r="G5898" t="s">
        <v>16</v>
      </c>
      <c r="H5898" t="s">
        <v>17</v>
      </c>
      <c r="I5898">
        <v>0</v>
      </c>
      <c r="J5898">
        <v>0</v>
      </c>
      <c r="K5898">
        <v>1</v>
      </c>
    </row>
    <row r="5899" spans="1:11" x14ac:dyDescent="0.25">
      <c r="A5899" t="str">
        <f>"7375"</f>
        <v>7375</v>
      </c>
      <c r="B5899" t="str">
        <f t="shared" si="384"/>
        <v>1</v>
      </c>
      <c r="C5899" t="str">
        <f t="shared" si="386"/>
        <v>320</v>
      </c>
      <c r="D5899" t="str">
        <f>"17"</f>
        <v>17</v>
      </c>
      <c r="E5899" t="str">
        <f>"1-320-17"</f>
        <v>1-320-17</v>
      </c>
      <c r="F5899" t="s">
        <v>15</v>
      </c>
      <c r="G5899" t="s">
        <v>16</v>
      </c>
      <c r="H5899" t="s">
        <v>17</v>
      </c>
      <c r="I5899">
        <v>1</v>
      </c>
      <c r="J5899">
        <v>0</v>
      </c>
      <c r="K5899">
        <v>0</v>
      </c>
    </row>
    <row r="5900" spans="1:11" x14ac:dyDescent="0.25">
      <c r="A5900" t="str">
        <f>"7376"</f>
        <v>7376</v>
      </c>
      <c r="B5900" t="str">
        <f t="shared" si="384"/>
        <v>1</v>
      </c>
      <c r="C5900" t="str">
        <f t="shared" si="386"/>
        <v>320</v>
      </c>
      <c r="D5900" t="str">
        <f>"3"</f>
        <v>3</v>
      </c>
      <c r="E5900" t="str">
        <f>"1-320-3"</f>
        <v>1-320-3</v>
      </c>
      <c r="F5900" t="s">
        <v>15</v>
      </c>
      <c r="G5900" t="s">
        <v>16</v>
      </c>
      <c r="H5900" t="s">
        <v>17</v>
      </c>
      <c r="I5900">
        <v>1</v>
      </c>
      <c r="J5900">
        <v>0</v>
      </c>
      <c r="K5900">
        <v>0</v>
      </c>
    </row>
    <row r="5901" spans="1:11" x14ac:dyDescent="0.25">
      <c r="A5901" t="str">
        <f>"7377"</f>
        <v>7377</v>
      </c>
      <c r="B5901" t="str">
        <f t="shared" si="384"/>
        <v>1</v>
      </c>
      <c r="C5901" t="str">
        <f t="shared" si="386"/>
        <v>320</v>
      </c>
      <c r="D5901" t="str">
        <f>"18"</f>
        <v>18</v>
      </c>
      <c r="E5901" t="str">
        <f>"1-320-18"</f>
        <v>1-320-18</v>
      </c>
      <c r="F5901" t="s">
        <v>15</v>
      </c>
      <c r="G5901" t="s">
        <v>16</v>
      </c>
      <c r="H5901" t="s">
        <v>17</v>
      </c>
      <c r="I5901">
        <v>1</v>
      </c>
      <c r="J5901">
        <v>0</v>
      </c>
      <c r="K5901">
        <v>0</v>
      </c>
    </row>
    <row r="5902" spans="1:11" x14ac:dyDescent="0.25">
      <c r="A5902" t="str">
        <f>"7378"</f>
        <v>7378</v>
      </c>
      <c r="B5902" t="str">
        <f t="shared" si="384"/>
        <v>1</v>
      </c>
      <c r="C5902" t="str">
        <f t="shared" si="386"/>
        <v>320</v>
      </c>
      <c r="D5902" t="str">
        <f>"14"</f>
        <v>14</v>
      </c>
      <c r="E5902" t="str">
        <f>"1-320-14"</f>
        <v>1-320-14</v>
      </c>
      <c r="F5902" t="s">
        <v>15</v>
      </c>
      <c r="G5902" t="s">
        <v>16</v>
      </c>
      <c r="H5902" t="s">
        <v>17</v>
      </c>
      <c r="I5902">
        <v>1</v>
      </c>
      <c r="J5902">
        <v>0</v>
      </c>
      <c r="K5902">
        <v>0</v>
      </c>
    </row>
    <row r="5903" spans="1:11" x14ac:dyDescent="0.25">
      <c r="A5903" t="str">
        <f>"7379"</f>
        <v>7379</v>
      </c>
      <c r="B5903" t="str">
        <f t="shared" si="384"/>
        <v>1</v>
      </c>
      <c r="C5903" t="str">
        <f t="shared" si="386"/>
        <v>320</v>
      </c>
      <c r="D5903" t="str">
        <f>"19"</f>
        <v>19</v>
      </c>
      <c r="E5903" t="str">
        <f>"1-320-19"</f>
        <v>1-320-19</v>
      </c>
      <c r="F5903" t="s">
        <v>15</v>
      </c>
      <c r="G5903" t="s">
        <v>16</v>
      </c>
      <c r="H5903" t="s">
        <v>17</v>
      </c>
      <c r="I5903">
        <v>1</v>
      </c>
      <c r="J5903">
        <v>0</v>
      </c>
      <c r="K5903">
        <v>0</v>
      </c>
    </row>
    <row r="5904" spans="1:11" x14ac:dyDescent="0.25">
      <c r="A5904" t="str">
        <f>"7380"</f>
        <v>7380</v>
      </c>
      <c r="B5904" t="str">
        <f t="shared" si="384"/>
        <v>1</v>
      </c>
      <c r="C5904" t="str">
        <f t="shared" si="386"/>
        <v>320</v>
      </c>
      <c r="D5904" t="str">
        <f>"1"</f>
        <v>1</v>
      </c>
      <c r="E5904" t="str">
        <f>"1-320-1"</f>
        <v>1-320-1</v>
      </c>
      <c r="F5904" t="s">
        <v>15</v>
      </c>
      <c r="G5904" t="s">
        <v>16</v>
      </c>
      <c r="H5904" t="s">
        <v>17</v>
      </c>
      <c r="I5904">
        <v>1</v>
      </c>
      <c r="J5904">
        <v>0</v>
      </c>
      <c r="K5904">
        <v>0</v>
      </c>
    </row>
    <row r="5905" spans="1:11" x14ac:dyDescent="0.25">
      <c r="A5905" t="str">
        <f>"7381"</f>
        <v>7381</v>
      </c>
      <c r="B5905" t="str">
        <f t="shared" si="384"/>
        <v>1</v>
      </c>
      <c r="C5905" t="str">
        <f t="shared" si="386"/>
        <v>320</v>
      </c>
      <c r="D5905" t="str">
        <f>"20"</f>
        <v>20</v>
      </c>
      <c r="E5905" t="str">
        <f>"1-320-20"</f>
        <v>1-320-20</v>
      </c>
      <c r="F5905" t="s">
        <v>15</v>
      </c>
      <c r="G5905" t="s">
        <v>18</v>
      </c>
      <c r="H5905" t="s">
        <v>19</v>
      </c>
      <c r="I5905">
        <v>1</v>
      </c>
      <c r="J5905">
        <v>0</v>
      </c>
      <c r="K5905">
        <v>0</v>
      </c>
    </row>
    <row r="5906" spans="1:11" x14ac:dyDescent="0.25">
      <c r="A5906" t="str">
        <f>"7382"</f>
        <v>7382</v>
      </c>
      <c r="B5906" t="str">
        <f t="shared" si="384"/>
        <v>1</v>
      </c>
      <c r="C5906" t="str">
        <f t="shared" si="386"/>
        <v>320</v>
      </c>
      <c r="D5906" t="str">
        <f>"6"</f>
        <v>6</v>
      </c>
      <c r="E5906" t="str">
        <f>"1-320-6"</f>
        <v>1-320-6</v>
      </c>
      <c r="F5906" t="s">
        <v>15</v>
      </c>
      <c r="G5906" t="s">
        <v>18</v>
      </c>
      <c r="H5906" t="s">
        <v>19</v>
      </c>
      <c r="I5906">
        <v>1</v>
      </c>
      <c r="J5906">
        <v>0</v>
      </c>
      <c r="K5906">
        <v>0</v>
      </c>
    </row>
    <row r="5907" spans="1:11" x14ac:dyDescent="0.25">
      <c r="A5907" t="str">
        <f>"7383"</f>
        <v>7383</v>
      </c>
      <c r="B5907" t="str">
        <f t="shared" si="384"/>
        <v>1</v>
      </c>
      <c r="C5907" t="str">
        <f t="shared" si="386"/>
        <v>320</v>
      </c>
      <c r="D5907" t="str">
        <f>"23"</f>
        <v>23</v>
      </c>
      <c r="E5907" t="str">
        <f>"1-320-23"</f>
        <v>1-320-23</v>
      </c>
      <c r="F5907" t="s">
        <v>15</v>
      </c>
      <c r="G5907" t="s">
        <v>16</v>
      </c>
      <c r="H5907" t="s">
        <v>17</v>
      </c>
      <c r="I5907">
        <v>1</v>
      </c>
      <c r="J5907">
        <v>0</v>
      </c>
      <c r="K5907">
        <v>0</v>
      </c>
    </row>
    <row r="5908" spans="1:11" x14ac:dyDescent="0.25">
      <c r="A5908" t="str">
        <f>"7384"</f>
        <v>7384</v>
      </c>
      <c r="B5908" t="str">
        <f t="shared" si="384"/>
        <v>1</v>
      </c>
      <c r="C5908" t="str">
        <f t="shared" si="386"/>
        <v>320</v>
      </c>
      <c r="D5908" t="str">
        <f>"13"</f>
        <v>13</v>
      </c>
      <c r="E5908" t="str">
        <f>"1-320-13"</f>
        <v>1-320-13</v>
      </c>
      <c r="F5908" t="s">
        <v>15</v>
      </c>
      <c r="G5908" t="s">
        <v>16</v>
      </c>
      <c r="H5908" t="s">
        <v>17</v>
      </c>
      <c r="I5908">
        <v>0</v>
      </c>
      <c r="J5908">
        <v>0</v>
      </c>
      <c r="K5908">
        <v>1</v>
      </c>
    </row>
    <row r="5909" spans="1:11" x14ac:dyDescent="0.25">
      <c r="A5909" t="str">
        <f>"7385"</f>
        <v>7385</v>
      </c>
      <c r="B5909" t="str">
        <f t="shared" si="384"/>
        <v>1</v>
      </c>
      <c r="C5909" t="str">
        <f t="shared" si="386"/>
        <v>320</v>
      </c>
      <c r="D5909" t="str">
        <f>"24"</f>
        <v>24</v>
      </c>
      <c r="E5909" t="str">
        <f>"1-320-24"</f>
        <v>1-320-24</v>
      </c>
      <c r="F5909" t="s">
        <v>15</v>
      </c>
      <c r="G5909" t="s">
        <v>16</v>
      </c>
      <c r="H5909" t="s">
        <v>17</v>
      </c>
      <c r="I5909">
        <v>1</v>
      </c>
      <c r="J5909">
        <v>0</v>
      </c>
      <c r="K5909">
        <v>0</v>
      </c>
    </row>
    <row r="5910" spans="1:11" x14ac:dyDescent="0.25">
      <c r="A5910" t="str">
        <f>"7386"</f>
        <v>7386</v>
      </c>
      <c r="B5910" t="str">
        <f t="shared" ref="B5910:B5949" si="387">"1"</f>
        <v>1</v>
      </c>
      <c r="C5910" t="str">
        <f t="shared" si="386"/>
        <v>320</v>
      </c>
      <c r="D5910" t="str">
        <f>"7"</f>
        <v>7</v>
      </c>
      <c r="E5910" t="str">
        <f>"1-320-7"</f>
        <v>1-320-7</v>
      </c>
      <c r="F5910" t="s">
        <v>15</v>
      </c>
      <c r="G5910" t="s">
        <v>16</v>
      </c>
      <c r="H5910" t="s">
        <v>17</v>
      </c>
      <c r="I5910">
        <v>0</v>
      </c>
      <c r="J5910">
        <v>1</v>
      </c>
      <c r="K5910">
        <v>0</v>
      </c>
    </row>
    <row r="5911" spans="1:11" x14ac:dyDescent="0.25">
      <c r="A5911" t="str">
        <f>"7387"</f>
        <v>7387</v>
      </c>
      <c r="B5911" t="str">
        <f t="shared" si="387"/>
        <v>1</v>
      </c>
      <c r="C5911" t="str">
        <f t="shared" si="386"/>
        <v>320</v>
      </c>
      <c r="D5911" t="str">
        <f>"12"</f>
        <v>12</v>
      </c>
      <c r="E5911" t="str">
        <f>"1-320-12"</f>
        <v>1-320-12</v>
      </c>
      <c r="F5911" t="s">
        <v>15</v>
      </c>
      <c r="G5911" t="s">
        <v>18</v>
      </c>
      <c r="H5911" t="s">
        <v>19</v>
      </c>
      <c r="I5911">
        <v>0</v>
      </c>
      <c r="J5911">
        <v>1</v>
      </c>
      <c r="K5911">
        <v>0</v>
      </c>
    </row>
    <row r="5912" spans="1:11" x14ac:dyDescent="0.25">
      <c r="A5912" t="str">
        <f>"7388"</f>
        <v>7388</v>
      </c>
      <c r="B5912" t="str">
        <f t="shared" si="387"/>
        <v>1</v>
      </c>
      <c r="C5912" t="str">
        <f t="shared" si="386"/>
        <v>320</v>
      </c>
      <c r="D5912" t="str">
        <f>"26"</f>
        <v>26</v>
      </c>
      <c r="E5912" t="str">
        <f>"1-320-26"</f>
        <v>1-320-26</v>
      </c>
      <c r="F5912" t="s">
        <v>15</v>
      </c>
      <c r="G5912" t="s">
        <v>18</v>
      </c>
      <c r="H5912" t="s">
        <v>19</v>
      </c>
      <c r="I5912">
        <v>1</v>
      </c>
      <c r="J5912">
        <v>0</v>
      </c>
      <c r="K5912">
        <v>0</v>
      </c>
    </row>
    <row r="5913" spans="1:11" x14ac:dyDescent="0.25">
      <c r="A5913" t="str">
        <f>"7389"</f>
        <v>7389</v>
      </c>
      <c r="B5913" t="str">
        <f t="shared" si="387"/>
        <v>1</v>
      </c>
      <c r="C5913" t="str">
        <f t="shared" si="386"/>
        <v>320</v>
      </c>
      <c r="D5913" t="str">
        <f>"10"</f>
        <v>10</v>
      </c>
      <c r="E5913" t="str">
        <f>"1-320-10"</f>
        <v>1-320-10</v>
      </c>
      <c r="F5913" t="s">
        <v>15</v>
      </c>
      <c r="G5913" t="s">
        <v>16</v>
      </c>
      <c r="H5913" t="s">
        <v>17</v>
      </c>
      <c r="I5913">
        <v>0</v>
      </c>
      <c r="J5913">
        <v>0</v>
      </c>
      <c r="K5913">
        <v>1</v>
      </c>
    </row>
    <row r="5914" spans="1:11" x14ac:dyDescent="0.25">
      <c r="A5914" t="str">
        <f>"7390"</f>
        <v>7390</v>
      </c>
      <c r="B5914" t="str">
        <f t="shared" si="387"/>
        <v>1</v>
      </c>
      <c r="C5914" t="str">
        <f t="shared" si="386"/>
        <v>320</v>
      </c>
      <c r="D5914" t="str">
        <f>"9"</f>
        <v>9</v>
      </c>
      <c r="E5914" t="str">
        <f>"1-320-9"</f>
        <v>1-320-9</v>
      </c>
      <c r="F5914" t="s">
        <v>15</v>
      </c>
      <c r="G5914" t="s">
        <v>16</v>
      </c>
      <c r="H5914" t="s">
        <v>17</v>
      </c>
      <c r="I5914">
        <v>0</v>
      </c>
      <c r="J5914">
        <v>0</v>
      </c>
      <c r="K5914">
        <v>1</v>
      </c>
    </row>
    <row r="5915" spans="1:11" x14ac:dyDescent="0.25">
      <c r="A5915" t="str">
        <f>"7391"</f>
        <v>7391</v>
      </c>
      <c r="B5915" t="str">
        <f t="shared" si="387"/>
        <v>1</v>
      </c>
      <c r="C5915" t="str">
        <f t="shared" si="386"/>
        <v>320</v>
      </c>
      <c r="D5915" t="str">
        <f>"11"</f>
        <v>11</v>
      </c>
      <c r="E5915" t="str">
        <f>"1-320-11"</f>
        <v>1-320-11</v>
      </c>
      <c r="F5915" t="s">
        <v>15</v>
      </c>
      <c r="G5915" t="s">
        <v>16</v>
      </c>
      <c r="H5915" t="s">
        <v>17</v>
      </c>
      <c r="I5915">
        <v>0</v>
      </c>
      <c r="J5915">
        <v>1</v>
      </c>
      <c r="K5915">
        <v>0</v>
      </c>
    </row>
    <row r="5916" spans="1:11" x14ac:dyDescent="0.25">
      <c r="A5916" t="str">
        <f>"7392"</f>
        <v>7392</v>
      </c>
      <c r="B5916" t="str">
        <f t="shared" si="387"/>
        <v>1</v>
      </c>
      <c r="C5916" t="str">
        <f t="shared" si="386"/>
        <v>320</v>
      </c>
      <c r="D5916" t="str">
        <f>"4"</f>
        <v>4</v>
      </c>
      <c r="E5916" t="str">
        <f>"1-320-4"</f>
        <v>1-320-4</v>
      </c>
      <c r="F5916" t="s">
        <v>15</v>
      </c>
      <c r="G5916" t="s">
        <v>16</v>
      </c>
      <c r="H5916" t="s">
        <v>17</v>
      </c>
      <c r="I5916">
        <v>0</v>
      </c>
      <c r="J5916">
        <v>1</v>
      </c>
      <c r="K5916">
        <v>0</v>
      </c>
    </row>
    <row r="5917" spans="1:11" x14ac:dyDescent="0.25">
      <c r="A5917" t="str">
        <f>"7393"</f>
        <v>7393</v>
      </c>
      <c r="B5917" t="str">
        <f t="shared" si="387"/>
        <v>1</v>
      </c>
      <c r="C5917" t="str">
        <f t="shared" si="386"/>
        <v>320</v>
      </c>
      <c r="D5917" t="str">
        <f>"5"</f>
        <v>5</v>
      </c>
      <c r="E5917" t="str">
        <f>"1-320-5"</f>
        <v>1-320-5</v>
      </c>
      <c r="F5917" t="s">
        <v>15</v>
      </c>
      <c r="G5917" t="s">
        <v>16</v>
      </c>
      <c r="H5917" t="s">
        <v>17</v>
      </c>
      <c r="I5917">
        <v>0</v>
      </c>
      <c r="J5917">
        <v>0</v>
      </c>
      <c r="K5917">
        <v>1</v>
      </c>
    </row>
    <row r="5918" spans="1:11" x14ac:dyDescent="0.25">
      <c r="A5918" t="str">
        <f>"7394"</f>
        <v>7394</v>
      </c>
      <c r="B5918" t="str">
        <f t="shared" si="387"/>
        <v>1</v>
      </c>
      <c r="C5918" t="str">
        <f t="shared" si="386"/>
        <v>320</v>
      </c>
      <c r="D5918" t="str">
        <f>"25"</f>
        <v>25</v>
      </c>
      <c r="E5918" t="str">
        <f>"1-320-25"</f>
        <v>1-320-25</v>
      </c>
      <c r="F5918" t="s">
        <v>15</v>
      </c>
      <c r="G5918" t="s">
        <v>16</v>
      </c>
      <c r="H5918" t="s">
        <v>17</v>
      </c>
      <c r="I5918">
        <v>0</v>
      </c>
      <c r="J5918">
        <v>0</v>
      </c>
      <c r="K5918">
        <v>0</v>
      </c>
    </row>
    <row r="5919" spans="1:11" x14ac:dyDescent="0.25">
      <c r="A5919" t="str">
        <f>"7419"</f>
        <v>7419</v>
      </c>
      <c r="B5919" t="str">
        <f t="shared" si="387"/>
        <v>1</v>
      </c>
      <c r="C5919" t="str">
        <f t="shared" ref="C5919:C5943" si="388">"322"</f>
        <v>322</v>
      </c>
      <c r="D5919" t="str">
        <f>"19"</f>
        <v>19</v>
      </c>
      <c r="E5919" t="str">
        <f>"1-322-19"</f>
        <v>1-322-19</v>
      </c>
      <c r="F5919" t="s">
        <v>15</v>
      </c>
      <c r="G5919" t="s">
        <v>18</v>
      </c>
      <c r="H5919" t="s">
        <v>19</v>
      </c>
      <c r="I5919">
        <v>1</v>
      </c>
      <c r="J5919">
        <v>0</v>
      </c>
      <c r="K5919">
        <v>0</v>
      </c>
    </row>
    <row r="5920" spans="1:11" x14ac:dyDescent="0.25">
      <c r="A5920" t="str">
        <f>"7420"</f>
        <v>7420</v>
      </c>
      <c r="B5920" t="str">
        <f t="shared" si="387"/>
        <v>1</v>
      </c>
      <c r="C5920" t="str">
        <f t="shared" si="388"/>
        <v>322</v>
      </c>
      <c r="D5920" t="str">
        <f>"15"</f>
        <v>15</v>
      </c>
      <c r="E5920" t="str">
        <f>"1-322-15"</f>
        <v>1-322-15</v>
      </c>
      <c r="F5920" t="s">
        <v>15</v>
      </c>
      <c r="G5920" t="s">
        <v>16</v>
      </c>
      <c r="H5920" t="s">
        <v>17</v>
      </c>
      <c r="I5920">
        <v>1</v>
      </c>
      <c r="J5920">
        <v>0</v>
      </c>
      <c r="K5920">
        <v>0</v>
      </c>
    </row>
    <row r="5921" spans="1:11" x14ac:dyDescent="0.25">
      <c r="A5921" t="str">
        <f>"7421"</f>
        <v>7421</v>
      </c>
      <c r="B5921" t="str">
        <f t="shared" si="387"/>
        <v>1</v>
      </c>
      <c r="C5921" t="str">
        <f t="shared" si="388"/>
        <v>322</v>
      </c>
      <c r="D5921" t="str">
        <f>"7"</f>
        <v>7</v>
      </c>
      <c r="E5921" t="str">
        <f>"1-322-7"</f>
        <v>1-322-7</v>
      </c>
      <c r="F5921" t="s">
        <v>15</v>
      </c>
      <c r="G5921" t="s">
        <v>16</v>
      </c>
      <c r="H5921" t="s">
        <v>17</v>
      </c>
      <c r="I5921">
        <v>0</v>
      </c>
      <c r="J5921">
        <v>1</v>
      </c>
      <c r="K5921">
        <v>0</v>
      </c>
    </row>
    <row r="5922" spans="1:11" x14ac:dyDescent="0.25">
      <c r="A5922" t="str">
        <f>"7422"</f>
        <v>7422</v>
      </c>
      <c r="B5922" t="str">
        <f t="shared" si="387"/>
        <v>1</v>
      </c>
      <c r="C5922" t="str">
        <f t="shared" si="388"/>
        <v>322</v>
      </c>
      <c r="D5922" t="str">
        <f>"24"</f>
        <v>24</v>
      </c>
      <c r="E5922" t="str">
        <f>"1-322-24"</f>
        <v>1-322-24</v>
      </c>
      <c r="F5922" t="s">
        <v>15</v>
      </c>
      <c r="G5922" t="s">
        <v>16</v>
      </c>
      <c r="H5922" t="s">
        <v>17</v>
      </c>
      <c r="I5922">
        <v>1</v>
      </c>
      <c r="J5922">
        <v>0</v>
      </c>
      <c r="K5922">
        <v>0</v>
      </c>
    </row>
    <row r="5923" spans="1:11" x14ac:dyDescent="0.25">
      <c r="A5923" t="str">
        <f>"7423"</f>
        <v>7423</v>
      </c>
      <c r="B5923" t="str">
        <f t="shared" si="387"/>
        <v>1</v>
      </c>
      <c r="C5923" t="str">
        <f t="shared" si="388"/>
        <v>322</v>
      </c>
      <c r="D5923" t="str">
        <f>"16"</f>
        <v>16</v>
      </c>
      <c r="E5923" t="str">
        <f>"1-322-16"</f>
        <v>1-322-16</v>
      </c>
      <c r="F5923" t="s">
        <v>15</v>
      </c>
      <c r="G5923" t="s">
        <v>16</v>
      </c>
      <c r="H5923" t="s">
        <v>17</v>
      </c>
      <c r="I5923">
        <v>1</v>
      </c>
      <c r="J5923">
        <v>0</v>
      </c>
      <c r="K5923">
        <v>0</v>
      </c>
    </row>
    <row r="5924" spans="1:11" x14ac:dyDescent="0.25">
      <c r="A5924" t="str">
        <f>"7424"</f>
        <v>7424</v>
      </c>
      <c r="B5924" t="str">
        <f t="shared" si="387"/>
        <v>1</v>
      </c>
      <c r="C5924" t="str">
        <f t="shared" si="388"/>
        <v>322</v>
      </c>
      <c r="D5924" t="str">
        <f>"10"</f>
        <v>10</v>
      </c>
      <c r="E5924" t="str">
        <f>"1-322-10"</f>
        <v>1-322-10</v>
      </c>
      <c r="F5924" t="s">
        <v>15</v>
      </c>
      <c r="G5924" t="s">
        <v>16</v>
      </c>
      <c r="H5924" t="s">
        <v>17</v>
      </c>
      <c r="I5924">
        <v>1</v>
      </c>
      <c r="J5924">
        <v>0</v>
      </c>
      <c r="K5924">
        <v>0</v>
      </c>
    </row>
    <row r="5925" spans="1:11" x14ac:dyDescent="0.25">
      <c r="A5925" t="str">
        <f>"7425"</f>
        <v>7425</v>
      </c>
      <c r="B5925" t="str">
        <f t="shared" si="387"/>
        <v>1</v>
      </c>
      <c r="C5925" t="str">
        <f t="shared" si="388"/>
        <v>322</v>
      </c>
      <c r="D5925" t="str">
        <f>"17"</f>
        <v>17</v>
      </c>
      <c r="E5925" t="str">
        <f>"1-322-17"</f>
        <v>1-322-17</v>
      </c>
      <c r="F5925" t="s">
        <v>15</v>
      </c>
      <c r="G5925" t="s">
        <v>20</v>
      </c>
      <c r="H5925" t="s">
        <v>21</v>
      </c>
      <c r="I5925">
        <v>1</v>
      </c>
      <c r="J5925">
        <v>0</v>
      </c>
      <c r="K5925">
        <v>0</v>
      </c>
    </row>
    <row r="5926" spans="1:11" x14ac:dyDescent="0.25">
      <c r="A5926" t="str">
        <f>"7426"</f>
        <v>7426</v>
      </c>
      <c r="B5926" t="str">
        <f t="shared" si="387"/>
        <v>1</v>
      </c>
      <c r="C5926" t="str">
        <f t="shared" si="388"/>
        <v>322</v>
      </c>
      <c r="D5926" t="str">
        <f>"3"</f>
        <v>3</v>
      </c>
      <c r="E5926" t="str">
        <f>"1-322-3"</f>
        <v>1-322-3</v>
      </c>
      <c r="F5926" t="s">
        <v>15</v>
      </c>
      <c r="G5926" t="s">
        <v>16</v>
      </c>
      <c r="H5926" t="s">
        <v>17</v>
      </c>
      <c r="I5926">
        <v>1</v>
      </c>
      <c r="J5926">
        <v>0</v>
      </c>
      <c r="K5926">
        <v>0</v>
      </c>
    </row>
    <row r="5927" spans="1:11" x14ac:dyDescent="0.25">
      <c r="A5927" t="str">
        <f>"7427"</f>
        <v>7427</v>
      </c>
      <c r="B5927" t="str">
        <f t="shared" si="387"/>
        <v>1</v>
      </c>
      <c r="C5927" t="str">
        <f t="shared" si="388"/>
        <v>322</v>
      </c>
      <c r="D5927" t="str">
        <f>"18"</f>
        <v>18</v>
      </c>
      <c r="E5927" t="str">
        <f>"1-322-18"</f>
        <v>1-322-18</v>
      </c>
      <c r="F5927" t="s">
        <v>15</v>
      </c>
      <c r="G5927" t="s">
        <v>20</v>
      </c>
      <c r="H5927" t="s">
        <v>21</v>
      </c>
      <c r="I5927">
        <v>1</v>
      </c>
      <c r="J5927">
        <v>0</v>
      </c>
      <c r="K5927">
        <v>0</v>
      </c>
    </row>
    <row r="5928" spans="1:11" x14ac:dyDescent="0.25">
      <c r="A5928" t="str">
        <f>"7428"</f>
        <v>7428</v>
      </c>
      <c r="B5928" t="str">
        <f t="shared" si="387"/>
        <v>1</v>
      </c>
      <c r="C5928" t="str">
        <f t="shared" si="388"/>
        <v>322</v>
      </c>
      <c r="D5928" t="str">
        <f>"13"</f>
        <v>13</v>
      </c>
      <c r="E5928" t="str">
        <f>"1-322-13"</f>
        <v>1-322-13</v>
      </c>
      <c r="F5928" t="s">
        <v>15</v>
      </c>
      <c r="G5928" t="s">
        <v>16</v>
      </c>
      <c r="H5928" t="s">
        <v>17</v>
      </c>
      <c r="I5928">
        <v>1</v>
      </c>
      <c r="J5928">
        <v>0</v>
      </c>
      <c r="K5928">
        <v>0</v>
      </c>
    </row>
    <row r="5929" spans="1:11" x14ac:dyDescent="0.25">
      <c r="A5929" t="str">
        <f>"7429"</f>
        <v>7429</v>
      </c>
      <c r="B5929" t="str">
        <f t="shared" si="387"/>
        <v>1</v>
      </c>
      <c r="C5929" t="str">
        <f t="shared" si="388"/>
        <v>322</v>
      </c>
      <c r="D5929" t="str">
        <f>"20"</f>
        <v>20</v>
      </c>
      <c r="E5929" t="str">
        <f>"1-322-20"</f>
        <v>1-322-20</v>
      </c>
      <c r="F5929" t="s">
        <v>15</v>
      </c>
      <c r="G5929" t="s">
        <v>16</v>
      </c>
      <c r="H5929" t="s">
        <v>17</v>
      </c>
      <c r="I5929">
        <v>1</v>
      </c>
      <c r="J5929">
        <v>0</v>
      </c>
      <c r="K5929">
        <v>0</v>
      </c>
    </row>
    <row r="5930" spans="1:11" x14ac:dyDescent="0.25">
      <c r="A5930" t="str">
        <f>"7430"</f>
        <v>7430</v>
      </c>
      <c r="B5930" t="str">
        <f t="shared" si="387"/>
        <v>1</v>
      </c>
      <c r="C5930" t="str">
        <f t="shared" si="388"/>
        <v>322</v>
      </c>
      <c r="D5930" t="str">
        <f>"1"</f>
        <v>1</v>
      </c>
      <c r="E5930" t="str">
        <f>"1-322-1"</f>
        <v>1-322-1</v>
      </c>
      <c r="F5930" t="s">
        <v>15</v>
      </c>
      <c r="G5930" t="s">
        <v>16</v>
      </c>
      <c r="H5930" t="s">
        <v>17</v>
      </c>
      <c r="I5930">
        <v>1</v>
      </c>
      <c r="J5930">
        <v>0</v>
      </c>
      <c r="K5930">
        <v>0</v>
      </c>
    </row>
    <row r="5931" spans="1:11" x14ac:dyDescent="0.25">
      <c r="A5931" t="str">
        <f>"7431"</f>
        <v>7431</v>
      </c>
      <c r="B5931" t="str">
        <f t="shared" si="387"/>
        <v>1</v>
      </c>
      <c r="C5931" t="str">
        <f t="shared" si="388"/>
        <v>322</v>
      </c>
      <c r="D5931" t="str">
        <f>"21"</f>
        <v>21</v>
      </c>
      <c r="E5931" t="str">
        <f>"1-322-21"</f>
        <v>1-322-21</v>
      </c>
      <c r="F5931" t="s">
        <v>15</v>
      </c>
      <c r="G5931" t="s">
        <v>18</v>
      </c>
      <c r="H5931" t="s">
        <v>19</v>
      </c>
      <c r="I5931">
        <v>0</v>
      </c>
      <c r="J5931">
        <v>0</v>
      </c>
      <c r="K5931">
        <v>1</v>
      </c>
    </row>
    <row r="5932" spans="1:11" x14ac:dyDescent="0.25">
      <c r="A5932" t="str">
        <f>"7432"</f>
        <v>7432</v>
      </c>
      <c r="B5932" t="str">
        <f t="shared" si="387"/>
        <v>1</v>
      </c>
      <c r="C5932" t="str">
        <f t="shared" si="388"/>
        <v>322</v>
      </c>
      <c r="D5932" t="str">
        <f>"6"</f>
        <v>6</v>
      </c>
      <c r="E5932" t="str">
        <f>"1-322-6"</f>
        <v>1-322-6</v>
      </c>
      <c r="F5932" t="s">
        <v>15</v>
      </c>
      <c r="G5932" t="s">
        <v>16</v>
      </c>
      <c r="H5932" t="s">
        <v>17</v>
      </c>
      <c r="I5932">
        <v>0</v>
      </c>
      <c r="J5932">
        <v>0</v>
      </c>
      <c r="K5932">
        <v>1</v>
      </c>
    </row>
    <row r="5933" spans="1:11" x14ac:dyDescent="0.25">
      <c r="A5933" t="str">
        <f>"7433"</f>
        <v>7433</v>
      </c>
      <c r="B5933" t="str">
        <f t="shared" si="387"/>
        <v>1</v>
      </c>
      <c r="C5933" t="str">
        <f t="shared" si="388"/>
        <v>322</v>
      </c>
      <c r="D5933" t="str">
        <f>"22"</f>
        <v>22</v>
      </c>
      <c r="E5933" t="str">
        <f>"1-322-22"</f>
        <v>1-322-22</v>
      </c>
      <c r="F5933" t="s">
        <v>15</v>
      </c>
      <c r="G5933" t="s">
        <v>18</v>
      </c>
      <c r="H5933" t="s">
        <v>19</v>
      </c>
      <c r="I5933">
        <v>0</v>
      </c>
      <c r="J5933">
        <v>0</v>
      </c>
      <c r="K5933">
        <v>1</v>
      </c>
    </row>
    <row r="5934" spans="1:11" x14ac:dyDescent="0.25">
      <c r="A5934" t="str">
        <f>"7434"</f>
        <v>7434</v>
      </c>
      <c r="B5934" t="str">
        <f t="shared" si="387"/>
        <v>1</v>
      </c>
      <c r="C5934" t="str">
        <f t="shared" si="388"/>
        <v>322</v>
      </c>
      <c r="D5934" t="str">
        <f>"11"</f>
        <v>11</v>
      </c>
      <c r="E5934" t="str">
        <f>"1-322-11"</f>
        <v>1-322-11</v>
      </c>
      <c r="F5934" t="s">
        <v>15</v>
      </c>
      <c r="G5934" t="s">
        <v>16</v>
      </c>
      <c r="H5934" t="s">
        <v>17</v>
      </c>
      <c r="I5934">
        <v>1</v>
      </c>
      <c r="J5934">
        <v>0</v>
      </c>
      <c r="K5934">
        <v>0</v>
      </c>
    </row>
    <row r="5935" spans="1:11" x14ac:dyDescent="0.25">
      <c r="A5935" t="str">
        <f>"7435"</f>
        <v>7435</v>
      </c>
      <c r="B5935" t="str">
        <f t="shared" si="387"/>
        <v>1</v>
      </c>
      <c r="C5935" t="str">
        <f t="shared" si="388"/>
        <v>322</v>
      </c>
      <c r="D5935" t="str">
        <f>"23"</f>
        <v>23</v>
      </c>
      <c r="E5935" t="str">
        <f>"1-322-23"</f>
        <v>1-322-23</v>
      </c>
      <c r="F5935" t="s">
        <v>15</v>
      </c>
      <c r="G5935" t="s">
        <v>16</v>
      </c>
      <c r="H5935" t="s">
        <v>17</v>
      </c>
      <c r="I5935">
        <v>0</v>
      </c>
      <c r="J5935">
        <v>1</v>
      </c>
      <c r="K5935">
        <v>0</v>
      </c>
    </row>
    <row r="5936" spans="1:11" x14ac:dyDescent="0.25">
      <c r="A5936" t="str">
        <f>"7436"</f>
        <v>7436</v>
      </c>
      <c r="B5936" t="str">
        <f t="shared" si="387"/>
        <v>1</v>
      </c>
      <c r="C5936" t="str">
        <f t="shared" si="388"/>
        <v>322</v>
      </c>
      <c r="D5936" t="str">
        <f>"4"</f>
        <v>4</v>
      </c>
      <c r="E5936" t="str">
        <f>"1-322-4"</f>
        <v>1-322-4</v>
      </c>
      <c r="F5936" t="s">
        <v>15</v>
      </c>
      <c r="G5936" t="s">
        <v>16</v>
      </c>
      <c r="H5936" t="s">
        <v>17</v>
      </c>
      <c r="I5936">
        <v>1</v>
      </c>
      <c r="J5936">
        <v>0</v>
      </c>
      <c r="K5936">
        <v>0</v>
      </c>
    </row>
    <row r="5937" spans="1:11" x14ac:dyDescent="0.25">
      <c r="A5937" t="str">
        <f>"7437"</f>
        <v>7437</v>
      </c>
      <c r="B5937" t="str">
        <f t="shared" si="387"/>
        <v>1</v>
      </c>
      <c r="C5937" t="str">
        <f t="shared" si="388"/>
        <v>322</v>
      </c>
      <c r="D5937" t="str">
        <f>"25"</f>
        <v>25</v>
      </c>
      <c r="E5937" t="str">
        <f>"1-322-25"</f>
        <v>1-322-25</v>
      </c>
      <c r="F5937" t="s">
        <v>15</v>
      </c>
      <c r="G5937" t="s">
        <v>20</v>
      </c>
      <c r="H5937" t="s">
        <v>21</v>
      </c>
      <c r="I5937">
        <v>1</v>
      </c>
      <c r="J5937">
        <v>0</v>
      </c>
      <c r="K5937">
        <v>0</v>
      </c>
    </row>
    <row r="5938" spans="1:11" x14ac:dyDescent="0.25">
      <c r="A5938" t="str">
        <f>"7438"</f>
        <v>7438</v>
      </c>
      <c r="B5938" t="str">
        <f t="shared" si="387"/>
        <v>1</v>
      </c>
      <c r="C5938" t="str">
        <f t="shared" si="388"/>
        <v>322</v>
      </c>
      <c r="D5938" t="str">
        <f>"14"</f>
        <v>14</v>
      </c>
      <c r="E5938" t="str">
        <f>"1-322-14"</f>
        <v>1-322-14</v>
      </c>
      <c r="F5938" t="s">
        <v>15</v>
      </c>
      <c r="G5938" t="s">
        <v>18</v>
      </c>
      <c r="H5938" t="s">
        <v>19</v>
      </c>
      <c r="I5938">
        <v>1</v>
      </c>
      <c r="J5938">
        <v>0</v>
      </c>
      <c r="K5938">
        <v>0</v>
      </c>
    </row>
    <row r="5939" spans="1:11" x14ac:dyDescent="0.25">
      <c r="A5939" t="str">
        <f>"7439"</f>
        <v>7439</v>
      </c>
      <c r="B5939" t="str">
        <f t="shared" si="387"/>
        <v>1</v>
      </c>
      <c r="C5939" t="str">
        <f t="shared" si="388"/>
        <v>322</v>
      </c>
      <c r="D5939" t="str">
        <f>"9"</f>
        <v>9</v>
      </c>
      <c r="E5939" t="str">
        <f>"1-322-9"</f>
        <v>1-322-9</v>
      </c>
      <c r="F5939" t="s">
        <v>15</v>
      </c>
      <c r="G5939" t="s">
        <v>16</v>
      </c>
      <c r="H5939" t="s">
        <v>17</v>
      </c>
      <c r="I5939">
        <v>1</v>
      </c>
      <c r="J5939">
        <v>0</v>
      </c>
      <c r="K5939">
        <v>0</v>
      </c>
    </row>
    <row r="5940" spans="1:11" x14ac:dyDescent="0.25">
      <c r="A5940" t="str">
        <f>"7440"</f>
        <v>7440</v>
      </c>
      <c r="B5940" t="str">
        <f t="shared" si="387"/>
        <v>1</v>
      </c>
      <c r="C5940" t="str">
        <f t="shared" si="388"/>
        <v>322</v>
      </c>
      <c r="D5940" t="str">
        <f>"12"</f>
        <v>12</v>
      </c>
      <c r="E5940" t="str">
        <f>"1-322-12"</f>
        <v>1-322-12</v>
      </c>
      <c r="F5940" t="s">
        <v>15</v>
      </c>
      <c r="G5940" t="s">
        <v>16</v>
      </c>
      <c r="H5940" t="s">
        <v>17</v>
      </c>
      <c r="I5940">
        <v>0</v>
      </c>
      <c r="J5940">
        <v>1</v>
      </c>
      <c r="K5940">
        <v>0</v>
      </c>
    </row>
    <row r="5941" spans="1:11" x14ac:dyDescent="0.25">
      <c r="A5941" t="str">
        <f>"7441"</f>
        <v>7441</v>
      </c>
      <c r="B5941" t="str">
        <f t="shared" si="387"/>
        <v>1</v>
      </c>
      <c r="C5941" t="str">
        <f t="shared" si="388"/>
        <v>322</v>
      </c>
      <c r="D5941" t="str">
        <f>"5"</f>
        <v>5</v>
      </c>
      <c r="E5941" t="str">
        <f>"1-322-5"</f>
        <v>1-322-5</v>
      </c>
      <c r="F5941" t="s">
        <v>15</v>
      </c>
      <c r="G5941" t="s">
        <v>16</v>
      </c>
      <c r="H5941" t="s">
        <v>17</v>
      </c>
      <c r="I5941">
        <v>1</v>
      </c>
      <c r="J5941">
        <v>0</v>
      </c>
      <c r="K5941">
        <v>0</v>
      </c>
    </row>
    <row r="5942" spans="1:11" x14ac:dyDescent="0.25">
      <c r="A5942" t="str">
        <f>"7442"</f>
        <v>7442</v>
      </c>
      <c r="B5942" t="str">
        <f t="shared" si="387"/>
        <v>1</v>
      </c>
      <c r="C5942" t="str">
        <f t="shared" si="388"/>
        <v>322</v>
      </c>
      <c r="D5942" t="str">
        <f>"8"</f>
        <v>8</v>
      </c>
      <c r="E5942" t="str">
        <f>"1-322-8"</f>
        <v>1-322-8</v>
      </c>
      <c r="F5942" t="s">
        <v>15</v>
      </c>
      <c r="G5942" t="s">
        <v>20</v>
      </c>
      <c r="H5942" t="s">
        <v>21</v>
      </c>
      <c r="I5942">
        <v>0</v>
      </c>
      <c r="J5942">
        <v>0</v>
      </c>
      <c r="K5942">
        <v>1</v>
      </c>
    </row>
    <row r="5943" spans="1:11" x14ac:dyDescent="0.25">
      <c r="A5943" t="str">
        <f>"7443"</f>
        <v>7443</v>
      </c>
      <c r="B5943" t="str">
        <f t="shared" si="387"/>
        <v>1</v>
      </c>
      <c r="C5943" t="str">
        <f t="shared" si="388"/>
        <v>322</v>
      </c>
      <c r="D5943" t="str">
        <f>"2"</f>
        <v>2</v>
      </c>
      <c r="E5943" t="str">
        <f>"1-322-2"</f>
        <v>1-322-2</v>
      </c>
      <c r="F5943" t="s">
        <v>15</v>
      </c>
      <c r="G5943" t="s">
        <v>16</v>
      </c>
      <c r="H5943" t="s">
        <v>17</v>
      </c>
      <c r="I5943">
        <v>0</v>
      </c>
      <c r="J5943">
        <v>1</v>
      </c>
      <c r="K5943">
        <v>0</v>
      </c>
    </row>
    <row r="5944" spans="1:11" x14ac:dyDescent="0.25">
      <c r="A5944" t="str">
        <f>"7444"</f>
        <v>7444</v>
      </c>
      <c r="B5944" t="str">
        <f t="shared" si="387"/>
        <v>1</v>
      </c>
      <c r="C5944" t="str">
        <f t="shared" ref="C5944:C5969" si="389">"323"</f>
        <v>323</v>
      </c>
      <c r="D5944" t="str">
        <f>"21"</f>
        <v>21</v>
      </c>
      <c r="E5944" t="str">
        <f>"1-323-21"</f>
        <v>1-323-21</v>
      </c>
      <c r="F5944" t="s">
        <v>15</v>
      </c>
      <c r="G5944" t="s">
        <v>20</v>
      </c>
      <c r="H5944" t="s">
        <v>21</v>
      </c>
      <c r="I5944">
        <v>0</v>
      </c>
      <c r="J5944">
        <v>0</v>
      </c>
      <c r="K5944">
        <v>1</v>
      </c>
    </row>
    <row r="5945" spans="1:11" x14ac:dyDescent="0.25">
      <c r="A5945" t="str">
        <f>"7445"</f>
        <v>7445</v>
      </c>
      <c r="B5945" t="str">
        <f t="shared" si="387"/>
        <v>1</v>
      </c>
      <c r="C5945" t="str">
        <f t="shared" si="389"/>
        <v>323</v>
      </c>
      <c r="D5945" t="str">
        <f>"15"</f>
        <v>15</v>
      </c>
      <c r="E5945" t="str">
        <f>"1-323-15"</f>
        <v>1-323-15</v>
      </c>
      <c r="F5945" t="s">
        <v>15</v>
      </c>
      <c r="G5945" t="s">
        <v>20</v>
      </c>
      <c r="H5945" t="s">
        <v>21</v>
      </c>
      <c r="I5945">
        <v>1</v>
      </c>
      <c r="J5945">
        <v>0</v>
      </c>
      <c r="K5945">
        <v>0</v>
      </c>
    </row>
    <row r="5946" spans="1:11" x14ac:dyDescent="0.25">
      <c r="A5946" t="str">
        <f>"7446"</f>
        <v>7446</v>
      </c>
      <c r="B5946" t="str">
        <f t="shared" si="387"/>
        <v>1</v>
      </c>
      <c r="C5946" t="str">
        <f t="shared" si="389"/>
        <v>323</v>
      </c>
      <c r="D5946" t="str">
        <f>"4"</f>
        <v>4</v>
      </c>
      <c r="E5946" t="str">
        <f>"1-323-4"</f>
        <v>1-323-4</v>
      </c>
      <c r="F5946" t="s">
        <v>15</v>
      </c>
      <c r="G5946" t="s">
        <v>20</v>
      </c>
      <c r="H5946" t="s">
        <v>21</v>
      </c>
      <c r="I5946">
        <v>1</v>
      </c>
      <c r="J5946">
        <v>0</v>
      </c>
      <c r="K5946">
        <v>0</v>
      </c>
    </row>
    <row r="5947" spans="1:11" x14ac:dyDescent="0.25">
      <c r="A5947" t="str">
        <f>"7447"</f>
        <v>7447</v>
      </c>
      <c r="B5947" t="str">
        <f t="shared" si="387"/>
        <v>1</v>
      </c>
      <c r="C5947" t="str">
        <f t="shared" si="389"/>
        <v>323</v>
      </c>
      <c r="D5947" t="str">
        <f>"23"</f>
        <v>23</v>
      </c>
      <c r="E5947" t="str">
        <f>"1-323-23"</f>
        <v>1-323-23</v>
      </c>
      <c r="F5947" t="s">
        <v>15</v>
      </c>
      <c r="G5947" t="s">
        <v>20</v>
      </c>
      <c r="H5947" t="s">
        <v>21</v>
      </c>
      <c r="I5947">
        <v>0</v>
      </c>
      <c r="J5947">
        <v>0</v>
      </c>
      <c r="K5947">
        <v>1</v>
      </c>
    </row>
    <row r="5948" spans="1:11" x14ac:dyDescent="0.25">
      <c r="A5948" t="str">
        <f>"7448"</f>
        <v>7448</v>
      </c>
      <c r="B5948" t="str">
        <f t="shared" si="387"/>
        <v>1</v>
      </c>
      <c r="C5948" t="str">
        <f t="shared" si="389"/>
        <v>323</v>
      </c>
      <c r="D5948" t="str">
        <f>"16"</f>
        <v>16</v>
      </c>
      <c r="E5948" t="str">
        <f>"1-323-16"</f>
        <v>1-323-16</v>
      </c>
      <c r="F5948" t="s">
        <v>15</v>
      </c>
      <c r="G5948" t="s">
        <v>20</v>
      </c>
      <c r="H5948" t="s">
        <v>21</v>
      </c>
      <c r="I5948">
        <v>1</v>
      </c>
      <c r="J5948">
        <v>0</v>
      </c>
      <c r="K5948">
        <v>0</v>
      </c>
    </row>
    <row r="5949" spans="1:11" x14ac:dyDescent="0.25">
      <c r="A5949" t="str">
        <f>"7449"</f>
        <v>7449</v>
      </c>
      <c r="B5949" t="str">
        <f t="shared" si="387"/>
        <v>1</v>
      </c>
      <c r="C5949" t="str">
        <f t="shared" si="389"/>
        <v>323</v>
      </c>
      <c r="D5949" t="str">
        <f>"3"</f>
        <v>3</v>
      </c>
      <c r="E5949" t="str">
        <f>"1-323-3"</f>
        <v>1-323-3</v>
      </c>
      <c r="F5949" t="s">
        <v>15</v>
      </c>
      <c r="G5949" t="s">
        <v>20</v>
      </c>
      <c r="H5949" t="s">
        <v>21</v>
      </c>
      <c r="I5949">
        <v>0</v>
      </c>
      <c r="J5949">
        <v>0</v>
      </c>
      <c r="K5949">
        <v>1</v>
      </c>
    </row>
    <row r="5950" spans="1:11" x14ac:dyDescent="0.25">
      <c r="A5950" t="str">
        <f>"7450"</f>
        <v>7450</v>
      </c>
      <c r="B5950" t="str">
        <f t="shared" ref="B5950:B6013" si="390">"1"</f>
        <v>1</v>
      </c>
      <c r="C5950" t="str">
        <f t="shared" si="389"/>
        <v>323</v>
      </c>
      <c r="D5950" t="str">
        <f>"17"</f>
        <v>17</v>
      </c>
      <c r="E5950" t="str">
        <f>"1-323-17"</f>
        <v>1-323-17</v>
      </c>
      <c r="F5950" t="s">
        <v>15</v>
      </c>
      <c r="G5950" t="s">
        <v>20</v>
      </c>
      <c r="H5950" t="s">
        <v>21</v>
      </c>
      <c r="I5950">
        <v>0</v>
      </c>
      <c r="J5950">
        <v>1</v>
      </c>
      <c r="K5950">
        <v>0</v>
      </c>
    </row>
    <row r="5951" spans="1:11" x14ac:dyDescent="0.25">
      <c r="A5951" t="str">
        <f>"7451"</f>
        <v>7451</v>
      </c>
      <c r="B5951" t="str">
        <f t="shared" si="390"/>
        <v>1</v>
      </c>
      <c r="C5951" t="str">
        <f t="shared" si="389"/>
        <v>323</v>
      </c>
      <c r="D5951" t="str">
        <f>"7"</f>
        <v>7</v>
      </c>
      <c r="E5951" t="str">
        <f>"1-323-7"</f>
        <v>1-323-7</v>
      </c>
      <c r="F5951" t="s">
        <v>15</v>
      </c>
      <c r="G5951" t="s">
        <v>20</v>
      </c>
      <c r="H5951" t="s">
        <v>21</v>
      </c>
      <c r="I5951">
        <v>0</v>
      </c>
      <c r="J5951">
        <v>0</v>
      </c>
      <c r="K5951">
        <v>1</v>
      </c>
    </row>
    <row r="5952" spans="1:11" x14ac:dyDescent="0.25">
      <c r="A5952" t="str">
        <f>"7452"</f>
        <v>7452</v>
      </c>
      <c r="B5952" t="str">
        <f t="shared" si="390"/>
        <v>1</v>
      </c>
      <c r="C5952" t="str">
        <f t="shared" si="389"/>
        <v>323</v>
      </c>
      <c r="D5952" t="str">
        <f>"18"</f>
        <v>18</v>
      </c>
      <c r="E5952" t="str">
        <f>"1-323-18"</f>
        <v>1-323-18</v>
      </c>
      <c r="F5952" t="s">
        <v>15</v>
      </c>
      <c r="G5952" t="s">
        <v>20</v>
      </c>
      <c r="H5952" t="s">
        <v>21</v>
      </c>
      <c r="I5952">
        <v>0</v>
      </c>
      <c r="J5952">
        <v>1</v>
      </c>
      <c r="K5952">
        <v>0</v>
      </c>
    </row>
    <row r="5953" spans="1:11" x14ac:dyDescent="0.25">
      <c r="A5953" t="str">
        <f>"7453"</f>
        <v>7453</v>
      </c>
      <c r="B5953" t="str">
        <f t="shared" si="390"/>
        <v>1</v>
      </c>
      <c r="C5953" t="str">
        <f t="shared" si="389"/>
        <v>323</v>
      </c>
      <c r="D5953" t="str">
        <f>"8"</f>
        <v>8</v>
      </c>
      <c r="E5953" t="str">
        <f>"1-323-8"</f>
        <v>1-323-8</v>
      </c>
      <c r="F5953" t="s">
        <v>15</v>
      </c>
      <c r="G5953" t="s">
        <v>20</v>
      </c>
      <c r="H5953" t="s">
        <v>21</v>
      </c>
      <c r="I5953">
        <v>0</v>
      </c>
      <c r="J5953">
        <v>1</v>
      </c>
      <c r="K5953">
        <v>0</v>
      </c>
    </row>
    <row r="5954" spans="1:11" x14ac:dyDescent="0.25">
      <c r="A5954" t="str">
        <f>"7454"</f>
        <v>7454</v>
      </c>
      <c r="B5954" t="str">
        <f t="shared" si="390"/>
        <v>1</v>
      </c>
      <c r="C5954" t="str">
        <f t="shared" si="389"/>
        <v>323</v>
      </c>
      <c r="D5954" t="str">
        <f>"19"</f>
        <v>19</v>
      </c>
      <c r="E5954" t="str">
        <f>"1-323-19"</f>
        <v>1-323-19</v>
      </c>
      <c r="F5954" t="s">
        <v>15</v>
      </c>
      <c r="G5954" t="s">
        <v>20</v>
      </c>
      <c r="H5954" t="s">
        <v>21</v>
      </c>
      <c r="I5954">
        <v>1</v>
      </c>
      <c r="J5954">
        <v>0</v>
      </c>
      <c r="K5954">
        <v>0</v>
      </c>
    </row>
    <row r="5955" spans="1:11" x14ac:dyDescent="0.25">
      <c r="A5955" t="str">
        <f>"7455"</f>
        <v>7455</v>
      </c>
      <c r="B5955" t="str">
        <f t="shared" si="390"/>
        <v>1</v>
      </c>
      <c r="C5955" t="str">
        <f t="shared" si="389"/>
        <v>323</v>
      </c>
      <c r="D5955" t="str">
        <f>"1"</f>
        <v>1</v>
      </c>
      <c r="E5955" t="str">
        <f>"1-323-1"</f>
        <v>1-323-1</v>
      </c>
      <c r="F5955" t="s">
        <v>15</v>
      </c>
      <c r="G5955" t="s">
        <v>20</v>
      </c>
      <c r="H5955" t="s">
        <v>21</v>
      </c>
      <c r="I5955">
        <v>0</v>
      </c>
      <c r="J5955">
        <v>1</v>
      </c>
      <c r="K5955">
        <v>0</v>
      </c>
    </row>
    <row r="5956" spans="1:11" x14ac:dyDescent="0.25">
      <c r="A5956" t="str">
        <f>"7456"</f>
        <v>7456</v>
      </c>
      <c r="B5956" t="str">
        <f t="shared" si="390"/>
        <v>1</v>
      </c>
      <c r="C5956" t="str">
        <f t="shared" si="389"/>
        <v>323</v>
      </c>
      <c r="D5956" t="str">
        <f>"20"</f>
        <v>20</v>
      </c>
      <c r="E5956" t="str">
        <f>"1-323-20"</f>
        <v>1-323-20</v>
      </c>
      <c r="F5956" t="s">
        <v>15</v>
      </c>
      <c r="G5956" t="s">
        <v>20</v>
      </c>
      <c r="H5956" t="s">
        <v>21</v>
      </c>
      <c r="I5956">
        <v>1</v>
      </c>
      <c r="J5956">
        <v>0</v>
      </c>
      <c r="K5956">
        <v>0</v>
      </c>
    </row>
    <row r="5957" spans="1:11" x14ac:dyDescent="0.25">
      <c r="A5957" t="str">
        <f>"7457"</f>
        <v>7457</v>
      </c>
      <c r="B5957" t="str">
        <f t="shared" si="390"/>
        <v>1</v>
      </c>
      <c r="C5957" t="str">
        <f t="shared" si="389"/>
        <v>323</v>
      </c>
      <c r="D5957" t="str">
        <f>"12"</f>
        <v>12</v>
      </c>
      <c r="E5957" t="str">
        <f>"1-323-12"</f>
        <v>1-323-12</v>
      </c>
      <c r="F5957" t="s">
        <v>15</v>
      </c>
      <c r="G5957" t="s">
        <v>20</v>
      </c>
      <c r="H5957" t="s">
        <v>21</v>
      </c>
      <c r="I5957">
        <v>1</v>
      </c>
      <c r="J5957">
        <v>0</v>
      </c>
      <c r="K5957">
        <v>0</v>
      </c>
    </row>
    <row r="5958" spans="1:11" x14ac:dyDescent="0.25">
      <c r="A5958" t="str">
        <f>"7458"</f>
        <v>7458</v>
      </c>
      <c r="B5958" t="str">
        <f t="shared" si="390"/>
        <v>1</v>
      </c>
      <c r="C5958" t="str">
        <f t="shared" si="389"/>
        <v>323</v>
      </c>
      <c r="D5958" t="str">
        <f>"22"</f>
        <v>22</v>
      </c>
      <c r="E5958" t="str">
        <f>"1-323-22"</f>
        <v>1-323-22</v>
      </c>
      <c r="F5958" t="s">
        <v>15</v>
      </c>
      <c r="G5958" t="s">
        <v>20</v>
      </c>
      <c r="H5958" t="s">
        <v>21</v>
      </c>
      <c r="I5958">
        <v>0</v>
      </c>
      <c r="J5958">
        <v>0</v>
      </c>
      <c r="K5958">
        <v>1</v>
      </c>
    </row>
    <row r="5959" spans="1:11" x14ac:dyDescent="0.25">
      <c r="A5959" t="str">
        <f>"7459"</f>
        <v>7459</v>
      </c>
      <c r="B5959" t="str">
        <f t="shared" si="390"/>
        <v>1</v>
      </c>
      <c r="C5959" t="str">
        <f t="shared" si="389"/>
        <v>323</v>
      </c>
      <c r="D5959" t="str">
        <f>"13"</f>
        <v>13</v>
      </c>
      <c r="E5959" t="str">
        <f>"1-323-13"</f>
        <v>1-323-13</v>
      </c>
      <c r="F5959" t="s">
        <v>15</v>
      </c>
      <c r="G5959" t="s">
        <v>20</v>
      </c>
      <c r="H5959" t="s">
        <v>21</v>
      </c>
      <c r="I5959">
        <v>0</v>
      </c>
      <c r="J5959">
        <v>0</v>
      </c>
      <c r="K5959">
        <v>1</v>
      </c>
    </row>
    <row r="5960" spans="1:11" x14ac:dyDescent="0.25">
      <c r="A5960" t="str">
        <f>"7460"</f>
        <v>7460</v>
      </c>
      <c r="B5960" t="str">
        <f t="shared" si="390"/>
        <v>1</v>
      </c>
      <c r="C5960" t="str">
        <f t="shared" si="389"/>
        <v>323</v>
      </c>
      <c r="D5960" t="str">
        <f>"24"</f>
        <v>24</v>
      </c>
      <c r="E5960" t="str">
        <f>"1-323-24"</f>
        <v>1-323-24</v>
      </c>
      <c r="F5960" t="s">
        <v>15</v>
      </c>
      <c r="G5960" t="s">
        <v>20</v>
      </c>
      <c r="H5960" t="s">
        <v>21</v>
      </c>
      <c r="I5960">
        <v>0</v>
      </c>
      <c r="J5960">
        <v>0</v>
      </c>
      <c r="K5960">
        <v>1</v>
      </c>
    </row>
    <row r="5961" spans="1:11" x14ac:dyDescent="0.25">
      <c r="A5961" t="str">
        <f>"7461"</f>
        <v>7461</v>
      </c>
      <c r="B5961" t="str">
        <f t="shared" si="390"/>
        <v>1</v>
      </c>
      <c r="C5961" t="str">
        <f t="shared" si="389"/>
        <v>323</v>
      </c>
      <c r="D5961" t="str">
        <f>"2"</f>
        <v>2</v>
      </c>
      <c r="E5961" t="str">
        <f>"1-323-2"</f>
        <v>1-323-2</v>
      </c>
      <c r="F5961" t="s">
        <v>15</v>
      </c>
      <c r="G5961" t="s">
        <v>18</v>
      </c>
      <c r="H5961" t="s">
        <v>19</v>
      </c>
      <c r="I5961">
        <v>1</v>
      </c>
      <c r="J5961">
        <v>0</v>
      </c>
      <c r="K5961">
        <v>0</v>
      </c>
    </row>
    <row r="5962" spans="1:11" x14ac:dyDescent="0.25">
      <c r="A5962" t="str">
        <f>"7462"</f>
        <v>7462</v>
      </c>
      <c r="B5962" t="str">
        <f t="shared" si="390"/>
        <v>1</v>
      </c>
      <c r="C5962" t="str">
        <f t="shared" si="389"/>
        <v>323</v>
      </c>
      <c r="D5962" t="str">
        <f>"25"</f>
        <v>25</v>
      </c>
      <c r="E5962" t="str">
        <f>"1-323-25"</f>
        <v>1-323-25</v>
      </c>
      <c r="F5962" t="s">
        <v>15</v>
      </c>
      <c r="G5962" t="s">
        <v>20</v>
      </c>
      <c r="H5962" t="s">
        <v>21</v>
      </c>
      <c r="I5962">
        <v>1</v>
      </c>
      <c r="J5962">
        <v>0</v>
      </c>
      <c r="K5962">
        <v>0</v>
      </c>
    </row>
    <row r="5963" spans="1:11" x14ac:dyDescent="0.25">
      <c r="A5963" t="str">
        <f>"7463"</f>
        <v>7463</v>
      </c>
      <c r="B5963" t="str">
        <f t="shared" si="390"/>
        <v>1</v>
      </c>
      <c r="C5963" t="str">
        <f t="shared" si="389"/>
        <v>323</v>
      </c>
      <c r="D5963" t="str">
        <f>"10"</f>
        <v>10</v>
      </c>
      <c r="E5963" t="str">
        <f>"1-323-10"</f>
        <v>1-323-10</v>
      </c>
      <c r="F5963" t="s">
        <v>15</v>
      </c>
      <c r="G5963" t="s">
        <v>20</v>
      </c>
      <c r="H5963" t="s">
        <v>21</v>
      </c>
      <c r="I5963">
        <v>0</v>
      </c>
      <c r="J5963">
        <v>1</v>
      </c>
      <c r="K5963">
        <v>0</v>
      </c>
    </row>
    <row r="5964" spans="1:11" x14ac:dyDescent="0.25">
      <c r="A5964" t="str">
        <f>"7464"</f>
        <v>7464</v>
      </c>
      <c r="B5964" t="str">
        <f t="shared" si="390"/>
        <v>1</v>
      </c>
      <c r="C5964" t="str">
        <f t="shared" si="389"/>
        <v>323</v>
      </c>
      <c r="D5964" t="str">
        <f>"26"</f>
        <v>26</v>
      </c>
      <c r="E5964" t="str">
        <f>"1-323-26"</f>
        <v>1-323-26</v>
      </c>
      <c r="F5964" t="s">
        <v>15</v>
      </c>
      <c r="G5964" t="s">
        <v>20</v>
      </c>
      <c r="H5964" t="s">
        <v>21</v>
      </c>
      <c r="I5964">
        <v>1</v>
      </c>
      <c r="J5964">
        <v>0</v>
      </c>
      <c r="K5964">
        <v>0</v>
      </c>
    </row>
    <row r="5965" spans="1:11" x14ac:dyDescent="0.25">
      <c r="A5965" t="str">
        <f>"7465"</f>
        <v>7465</v>
      </c>
      <c r="B5965" t="str">
        <f t="shared" si="390"/>
        <v>1</v>
      </c>
      <c r="C5965" t="str">
        <f t="shared" si="389"/>
        <v>323</v>
      </c>
      <c r="D5965" t="str">
        <f>"5"</f>
        <v>5</v>
      </c>
      <c r="E5965" t="str">
        <f>"1-323-5"</f>
        <v>1-323-5</v>
      </c>
      <c r="F5965" t="s">
        <v>15</v>
      </c>
      <c r="G5965" t="s">
        <v>20</v>
      </c>
      <c r="H5965" t="s">
        <v>21</v>
      </c>
      <c r="I5965">
        <v>1</v>
      </c>
      <c r="J5965">
        <v>0</v>
      </c>
      <c r="K5965">
        <v>0</v>
      </c>
    </row>
    <row r="5966" spans="1:11" x14ac:dyDescent="0.25">
      <c r="A5966" t="str">
        <f>"7466"</f>
        <v>7466</v>
      </c>
      <c r="B5966" t="str">
        <f t="shared" si="390"/>
        <v>1</v>
      </c>
      <c r="C5966" t="str">
        <f t="shared" si="389"/>
        <v>323</v>
      </c>
      <c r="D5966" t="str">
        <f>"14"</f>
        <v>14</v>
      </c>
      <c r="E5966" t="str">
        <f>"1-323-14"</f>
        <v>1-323-14</v>
      </c>
      <c r="F5966" t="s">
        <v>15</v>
      </c>
      <c r="G5966" t="s">
        <v>20</v>
      </c>
      <c r="H5966" t="s">
        <v>21</v>
      </c>
      <c r="I5966">
        <v>1</v>
      </c>
      <c r="J5966">
        <v>0</v>
      </c>
      <c r="K5966">
        <v>0</v>
      </c>
    </row>
    <row r="5967" spans="1:11" x14ac:dyDescent="0.25">
      <c r="A5967" t="str">
        <f>"7467"</f>
        <v>7467</v>
      </c>
      <c r="B5967" t="str">
        <f t="shared" si="390"/>
        <v>1</v>
      </c>
      <c r="C5967" t="str">
        <f t="shared" si="389"/>
        <v>323</v>
      </c>
      <c r="D5967" t="str">
        <f>"9"</f>
        <v>9</v>
      </c>
      <c r="E5967" t="str">
        <f>"1-323-9"</f>
        <v>1-323-9</v>
      </c>
      <c r="F5967" t="s">
        <v>15</v>
      </c>
      <c r="G5967" t="s">
        <v>20</v>
      </c>
      <c r="H5967" t="s">
        <v>21</v>
      </c>
      <c r="I5967">
        <v>0</v>
      </c>
      <c r="J5967">
        <v>0</v>
      </c>
      <c r="K5967">
        <v>1</v>
      </c>
    </row>
    <row r="5968" spans="1:11" x14ac:dyDescent="0.25">
      <c r="A5968" t="str">
        <f>"7468"</f>
        <v>7468</v>
      </c>
      <c r="B5968" t="str">
        <f t="shared" si="390"/>
        <v>1</v>
      </c>
      <c r="C5968" t="str">
        <f t="shared" si="389"/>
        <v>323</v>
      </c>
      <c r="D5968" t="str">
        <f>"6"</f>
        <v>6</v>
      </c>
      <c r="E5968" t="str">
        <f>"1-323-6"</f>
        <v>1-323-6</v>
      </c>
      <c r="F5968" t="s">
        <v>15</v>
      </c>
      <c r="G5968" t="s">
        <v>20</v>
      </c>
      <c r="H5968" t="s">
        <v>21</v>
      </c>
      <c r="I5968">
        <v>0</v>
      </c>
      <c r="J5968">
        <v>0</v>
      </c>
      <c r="K5968">
        <v>1</v>
      </c>
    </row>
    <row r="5969" spans="1:11" x14ac:dyDescent="0.25">
      <c r="A5969" t="str">
        <f>"7469"</f>
        <v>7469</v>
      </c>
      <c r="B5969" t="str">
        <f t="shared" si="390"/>
        <v>1</v>
      </c>
      <c r="C5969" t="str">
        <f t="shared" si="389"/>
        <v>323</v>
      </c>
      <c r="D5969" t="str">
        <f>"11"</f>
        <v>11</v>
      </c>
      <c r="E5969" t="str">
        <f>"1-323-11"</f>
        <v>1-323-11</v>
      </c>
      <c r="F5969" t="s">
        <v>15</v>
      </c>
      <c r="G5969" t="s">
        <v>20</v>
      </c>
      <c r="H5969" t="s">
        <v>21</v>
      </c>
      <c r="I5969">
        <v>1</v>
      </c>
      <c r="J5969">
        <v>0</v>
      </c>
      <c r="K5969">
        <v>0</v>
      </c>
    </row>
    <row r="5970" spans="1:11" x14ac:dyDescent="0.25">
      <c r="A5970" t="str">
        <f>"7470"</f>
        <v>7470</v>
      </c>
      <c r="B5970" t="str">
        <f t="shared" si="390"/>
        <v>1</v>
      </c>
      <c r="C5970" t="str">
        <f t="shared" ref="C5970:C5994" si="391">"324"</f>
        <v>324</v>
      </c>
      <c r="D5970" t="str">
        <f>"15"</f>
        <v>15</v>
      </c>
      <c r="E5970" t="str">
        <f>"1-324-15"</f>
        <v>1-324-15</v>
      </c>
      <c r="F5970" t="s">
        <v>15</v>
      </c>
      <c r="G5970" t="s">
        <v>18</v>
      </c>
      <c r="H5970" t="s">
        <v>19</v>
      </c>
      <c r="I5970">
        <v>1</v>
      </c>
      <c r="J5970">
        <v>0</v>
      </c>
      <c r="K5970">
        <v>0</v>
      </c>
    </row>
    <row r="5971" spans="1:11" x14ac:dyDescent="0.25">
      <c r="A5971" t="str">
        <f>"7471"</f>
        <v>7471</v>
      </c>
      <c r="B5971" t="str">
        <f t="shared" si="390"/>
        <v>1</v>
      </c>
      <c r="C5971" t="str">
        <f t="shared" si="391"/>
        <v>324</v>
      </c>
      <c r="D5971" t="str">
        <f>"4"</f>
        <v>4</v>
      </c>
      <c r="E5971" t="str">
        <f>"1-324-4"</f>
        <v>1-324-4</v>
      </c>
      <c r="F5971" t="s">
        <v>15</v>
      </c>
      <c r="G5971" t="s">
        <v>16</v>
      </c>
      <c r="H5971" t="s">
        <v>17</v>
      </c>
      <c r="I5971">
        <v>0</v>
      </c>
      <c r="J5971">
        <v>0</v>
      </c>
      <c r="K5971">
        <v>1</v>
      </c>
    </row>
    <row r="5972" spans="1:11" x14ac:dyDescent="0.25">
      <c r="A5972" t="str">
        <f>"7472"</f>
        <v>7472</v>
      </c>
      <c r="B5972" t="str">
        <f t="shared" si="390"/>
        <v>1</v>
      </c>
      <c r="C5972" t="str">
        <f t="shared" si="391"/>
        <v>324</v>
      </c>
      <c r="D5972" t="str">
        <f>"24"</f>
        <v>24</v>
      </c>
      <c r="E5972" t="str">
        <f>"1-324-24"</f>
        <v>1-324-24</v>
      </c>
      <c r="F5972" t="s">
        <v>15</v>
      </c>
      <c r="G5972" t="s">
        <v>16</v>
      </c>
      <c r="H5972" t="s">
        <v>17</v>
      </c>
      <c r="I5972">
        <v>1</v>
      </c>
      <c r="J5972">
        <v>0</v>
      </c>
      <c r="K5972">
        <v>0</v>
      </c>
    </row>
    <row r="5973" spans="1:11" x14ac:dyDescent="0.25">
      <c r="A5973" t="str">
        <f>"7473"</f>
        <v>7473</v>
      </c>
      <c r="B5973" t="str">
        <f t="shared" si="390"/>
        <v>1</v>
      </c>
      <c r="C5973" t="str">
        <f t="shared" si="391"/>
        <v>324</v>
      </c>
      <c r="D5973" t="str">
        <f>"16"</f>
        <v>16</v>
      </c>
      <c r="E5973" t="str">
        <f>"1-324-16"</f>
        <v>1-324-16</v>
      </c>
      <c r="F5973" t="s">
        <v>15</v>
      </c>
      <c r="G5973" t="s">
        <v>16</v>
      </c>
      <c r="H5973" t="s">
        <v>17</v>
      </c>
      <c r="I5973">
        <v>0</v>
      </c>
      <c r="J5973">
        <v>0</v>
      </c>
      <c r="K5973">
        <v>1</v>
      </c>
    </row>
    <row r="5974" spans="1:11" x14ac:dyDescent="0.25">
      <c r="A5974" t="str">
        <f>"7474"</f>
        <v>7474</v>
      </c>
      <c r="B5974" t="str">
        <f t="shared" si="390"/>
        <v>1</v>
      </c>
      <c r="C5974" t="str">
        <f t="shared" si="391"/>
        <v>324</v>
      </c>
      <c r="D5974" t="str">
        <f>"13"</f>
        <v>13</v>
      </c>
      <c r="E5974" t="str">
        <f>"1-324-13"</f>
        <v>1-324-13</v>
      </c>
      <c r="F5974" t="s">
        <v>15</v>
      </c>
      <c r="G5974" t="s">
        <v>16</v>
      </c>
      <c r="H5974" t="s">
        <v>17</v>
      </c>
      <c r="I5974">
        <v>1</v>
      </c>
      <c r="J5974">
        <v>0</v>
      </c>
      <c r="K5974">
        <v>0</v>
      </c>
    </row>
    <row r="5975" spans="1:11" x14ac:dyDescent="0.25">
      <c r="A5975" t="str">
        <f>"7475"</f>
        <v>7475</v>
      </c>
      <c r="B5975" t="str">
        <f t="shared" si="390"/>
        <v>1</v>
      </c>
      <c r="C5975" t="str">
        <f t="shared" si="391"/>
        <v>324</v>
      </c>
      <c r="D5975" t="str">
        <f>"17"</f>
        <v>17</v>
      </c>
      <c r="E5975" t="str">
        <f>"1-324-17"</f>
        <v>1-324-17</v>
      </c>
      <c r="F5975" t="s">
        <v>15</v>
      </c>
      <c r="G5975" t="s">
        <v>16</v>
      </c>
      <c r="H5975" t="s">
        <v>17</v>
      </c>
      <c r="I5975">
        <v>0</v>
      </c>
      <c r="J5975">
        <v>0</v>
      </c>
      <c r="K5975">
        <v>1</v>
      </c>
    </row>
    <row r="5976" spans="1:11" x14ac:dyDescent="0.25">
      <c r="A5976" t="str">
        <f>"7476"</f>
        <v>7476</v>
      </c>
      <c r="B5976" t="str">
        <f t="shared" si="390"/>
        <v>1</v>
      </c>
      <c r="C5976" t="str">
        <f t="shared" si="391"/>
        <v>324</v>
      </c>
      <c r="D5976" t="str">
        <f>"8"</f>
        <v>8</v>
      </c>
      <c r="E5976" t="str">
        <f>"1-324-8"</f>
        <v>1-324-8</v>
      </c>
      <c r="F5976" t="s">
        <v>15</v>
      </c>
      <c r="G5976" t="s">
        <v>16</v>
      </c>
      <c r="H5976" t="s">
        <v>17</v>
      </c>
      <c r="I5976">
        <v>1</v>
      </c>
      <c r="J5976">
        <v>0</v>
      </c>
      <c r="K5976">
        <v>0</v>
      </c>
    </row>
    <row r="5977" spans="1:11" x14ac:dyDescent="0.25">
      <c r="A5977" t="str">
        <f>"7477"</f>
        <v>7477</v>
      </c>
      <c r="B5977" t="str">
        <f t="shared" si="390"/>
        <v>1</v>
      </c>
      <c r="C5977" t="str">
        <f t="shared" si="391"/>
        <v>324</v>
      </c>
      <c r="D5977" t="str">
        <f>"18"</f>
        <v>18</v>
      </c>
      <c r="E5977" t="str">
        <f>"1-324-18"</f>
        <v>1-324-18</v>
      </c>
      <c r="F5977" t="s">
        <v>15</v>
      </c>
      <c r="G5977" t="s">
        <v>16</v>
      </c>
      <c r="H5977" t="s">
        <v>17</v>
      </c>
      <c r="I5977">
        <v>0</v>
      </c>
      <c r="J5977">
        <v>1</v>
      </c>
      <c r="K5977">
        <v>0</v>
      </c>
    </row>
    <row r="5978" spans="1:11" x14ac:dyDescent="0.25">
      <c r="A5978" t="str">
        <f>"7478"</f>
        <v>7478</v>
      </c>
      <c r="B5978" t="str">
        <f t="shared" si="390"/>
        <v>1</v>
      </c>
      <c r="C5978" t="str">
        <f t="shared" si="391"/>
        <v>324</v>
      </c>
      <c r="D5978" t="str">
        <f>"5"</f>
        <v>5</v>
      </c>
      <c r="E5978" t="str">
        <f>"1-324-5"</f>
        <v>1-324-5</v>
      </c>
      <c r="F5978" t="s">
        <v>15</v>
      </c>
      <c r="G5978" t="s">
        <v>16</v>
      </c>
      <c r="H5978" t="s">
        <v>17</v>
      </c>
      <c r="I5978">
        <v>0</v>
      </c>
      <c r="J5978">
        <v>1</v>
      </c>
      <c r="K5978">
        <v>0</v>
      </c>
    </row>
    <row r="5979" spans="1:11" x14ac:dyDescent="0.25">
      <c r="A5979" t="str">
        <f>"7479"</f>
        <v>7479</v>
      </c>
      <c r="B5979" t="str">
        <f t="shared" si="390"/>
        <v>1</v>
      </c>
      <c r="C5979" t="str">
        <f t="shared" si="391"/>
        <v>324</v>
      </c>
      <c r="D5979" t="str">
        <f>"19"</f>
        <v>19</v>
      </c>
      <c r="E5979" t="str">
        <f>"1-324-19"</f>
        <v>1-324-19</v>
      </c>
      <c r="F5979" t="s">
        <v>15</v>
      </c>
      <c r="G5979" t="s">
        <v>16</v>
      </c>
      <c r="H5979" t="s">
        <v>17</v>
      </c>
      <c r="I5979">
        <v>1</v>
      </c>
      <c r="J5979">
        <v>0</v>
      </c>
      <c r="K5979">
        <v>0</v>
      </c>
    </row>
    <row r="5980" spans="1:11" x14ac:dyDescent="0.25">
      <c r="A5980" t="str">
        <f>"7480"</f>
        <v>7480</v>
      </c>
      <c r="B5980" t="str">
        <f t="shared" si="390"/>
        <v>1</v>
      </c>
      <c r="C5980" t="str">
        <f t="shared" si="391"/>
        <v>324</v>
      </c>
      <c r="D5980" t="str">
        <f>"3"</f>
        <v>3</v>
      </c>
      <c r="E5980" t="str">
        <f>"1-324-3"</f>
        <v>1-324-3</v>
      </c>
      <c r="F5980" t="s">
        <v>15</v>
      </c>
      <c r="G5980" t="s">
        <v>16</v>
      </c>
      <c r="H5980" t="s">
        <v>17</v>
      </c>
      <c r="I5980">
        <v>0</v>
      </c>
      <c r="J5980">
        <v>1</v>
      </c>
      <c r="K5980">
        <v>0</v>
      </c>
    </row>
    <row r="5981" spans="1:11" x14ac:dyDescent="0.25">
      <c r="A5981" t="str">
        <f>"7481"</f>
        <v>7481</v>
      </c>
      <c r="B5981" t="str">
        <f t="shared" si="390"/>
        <v>1</v>
      </c>
      <c r="C5981" t="str">
        <f t="shared" si="391"/>
        <v>324</v>
      </c>
      <c r="D5981" t="str">
        <f>"20"</f>
        <v>20</v>
      </c>
      <c r="E5981" t="str">
        <f>"1-324-20"</f>
        <v>1-324-20</v>
      </c>
      <c r="F5981" t="s">
        <v>15</v>
      </c>
      <c r="G5981" t="s">
        <v>16</v>
      </c>
      <c r="H5981" t="s">
        <v>17</v>
      </c>
      <c r="I5981">
        <v>1</v>
      </c>
      <c r="J5981">
        <v>0</v>
      </c>
      <c r="K5981">
        <v>0</v>
      </c>
    </row>
    <row r="5982" spans="1:11" x14ac:dyDescent="0.25">
      <c r="A5982" t="str">
        <f>"7482"</f>
        <v>7482</v>
      </c>
      <c r="B5982" t="str">
        <f t="shared" si="390"/>
        <v>1</v>
      </c>
      <c r="C5982" t="str">
        <f t="shared" si="391"/>
        <v>324</v>
      </c>
      <c r="D5982" t="str">
        <f>"11"</f>
        <v>11</v>
      </c>
      <c r="E5982" t="str">
        <f>"1-324-11"</f>
        <v>1-324-11</v>
      </c>
      <c r="F5982" t="s">
        <v>15</v>
      </c>
      <c r="G5982" t="s">
        <v>16</v>
      </c>
      <c r="H5982" t="s">
        <v>17</v>
      </c>
      <c r="I5982">
        <v>1</v>
      </c>
      <c r="J5982">
        <v>0</v>
      </c>
      <c r="K5982">
        <v>0</v>
      </c>
    </row>
    <row r="5983" spans="1:11" x14ac:dyDescent="0.25">
      <c r="A5983" t="str">
        <f>"7483"</f>
        <v>7483</v>
      </c>
      <c r="B5983" t="str">
        <f t="shared" si="390"/>
        <v>1</v>
      </c>
      <c r="C5983" t="str">
        <f t="shared" si="391"/>
        <v>324</v>
      </c>
      <c r="D5983" t="str">
        <f>"21"</f>
        <v>21</v>
      </c>
      <c r="E5983" t="str">
        <f>"1-324-21"</f>
        <v>1-324-21</v>
      </c>
      <c r="F5983" t="s">
        <v>15</v>
      </c>
      <c r="G5983" t="s">
        <v>16</v>
      </c>
      <c r="H5983" t="s">
        <v>17</v>
      </c>
      <c r="I5983">
        <v>0</v>
      </c>
      <c r="J5983">
        <v>1</v>
      </c>
      <c r="K5983">
        <v>0</v>
      </c>
    </row>
    <row r="5984" spans="1:11" x14ac:dyDescent="0.25">
      <c r="A5984" t="str">
        <f>"7484"</f>
        <v>7484</v>
      </c>
      <c r="B5984" t="str">
        <f t="shared" si="390"/>
        <v>1</v>
      </c>
      <c r="C5984" t="str">
        <f t="shared" si="391"/>
        <v>324</v>
      </c>
      <c r="D5984" t="str">
        <f>"14"</f>
        <v>14</v>
      </c>
      <c r="E5984" t="str">
        <f>"1-324-14"</f>
        <v>1-324-14</v>
      </c>
      <c r="F5984" t="s">
        <v>15</v>
      </c>
      <c r="G5984" t="s">
        <v>16</v>
      </c>
      <c r="H5984" t="s">
        <v>17</v>
      </c>
      <c r="I5984">
        <v>0</v>
      </c>
      <c r="J5984">
        <v>0</v>
      </c>
      <c r="K5984">
        <v>1</v>
      </c>
    </row>
    <row r="5985" spans="1:11" x14ac:dyDescent="0.25">
      <c r="A5985" t="str">
        <f>"7485"</f>
        <v>7485</v>
      </c>
      <c r="B5985" t="str">
        <f t="shared" si="390"/>
        <v>1</v>
      </c>
      <c r="C5985" t="str">
        <f t="shared" si="391"/>
        <v>324</v>
      </c>
      <c r="D5985" t="str">
        <f>"22"</f>
        <v>22</v>
      </c>
      <c r="E5985" t="str">
        <f>"1-324-22"</f>
        <v>1-324-22</v>
      </c>
      <c r="F5985" t="s">
        <v>15</v>
      </c>
      <c r="G5985" t="s">
        <v>16</v>
      </c>
      <c r="H5985" t="s">
        <v>17</v>
      </c>
      <c r="I5985">
        <v>0</v>
      </c>
      <c r="J5985">
        <v>1</v>
      </c>
      <c r="K5985">
        <v>0</v>
      </c>
    </row>
    <row r="5986" spans="1:11" x14ac:dyDescent="0.25">
      <c r="A5986" t="str">
        <f>"7486"</f>
        <v>7486</v>
      </c>
      <c r="B5986" t="str">
        <f t="shared" si="390"/>
        <v>1</v>
      </c>
      <c r="C5986" t="str">
        <f t="shared" si="391"/>
        <v>324</v>
      </c>
      <c r="D5986" t="str">
        <f>"9"</f>
        <v>9</v>
      </c>
      <c r="E5986" t="str">
        <f>"1-324-9"</f>
        <v>1-324-9</v>
      </c>
      <c r="F5986" t="s">
        <v>15</v>
      </c>
      <c r="G5986" t="s">
        <v>16</v>
      </c>
      <c r="H5986" t="s">
        <v>17</v>
      </c>
      <c r="I5986">
        <v>0</v>
      </c>
      <c r="J5986">
        <v>0</v>
      </c>
      <c r="K5986">
        <v>1</v>
      </c>
    </row>
    <row r="5987" spans="1:11" x14ac:dyDescent="0.25">
      <c r="A5987" t="str">
        <f>"7487"</f>
        <v>7487</v>
      </c>
      <c r="B5987" t="str">
        <f t="shared" si="390"/>
        <v>1</v>
      </c>
      <c r="C5987" t="str">
        <f t="shared" si="391"/>
        <v>324</v>
      </c>
      <c r="D5987" t="str">
        <f>"25"</f>
        <v>25</v>
      </c>
      <c r="E5987" t="str">
        <f>"1-324-25"</f>
        <v>1-324-25</v>
      </c>
      <c r="F5987" t="s">
        <v>15</v>
      </c>
      <c r="G5987" t="s">
        <v>20</v>
      </c>
      <c r="H5987" t="s">
        <v>21</v>
      </c>
      <c r="I5987">
        <v>0</v>
      </c>
      <c r="J5987">
        <v>1</v>
      </c>
      <c r="K5987">
        <v>0</v>
      </c>
    </row>
    <row r="5988" spans="1:11" x14ac:dyDescent="0.25">
      <c r="A5988" t="str">
        <f>"7488"</f>
        <v>7488</v>
      </c>
      <c r="B5988" t="str">
        <f t="shared" si="390"/>
        <v>1</v>
      </c>
      <c r="C5988" t="str">
        <f t="shared" si="391"/>
        <v>324</v>
      </c>
      <c r="D5988" t="str">
        <f>"12"</f>
        <v>12</v>
      </c>
      <c r="E5988" t="str">
        <f>"1-324-12"</f>
        <v>1-324-12</v>
      </c>
      <c r="F5988" t="s">
        <v>15</v>
      </c>
      <c r="G5988" t="s">
        <v>16</v>
      </c>
      <c r="H5988" t="s">
        <v>17</v>
      </c>
      <c r="I5988">
        <v>0</v>
      </c>
      <c r="J5988">
        <v>1</v>
      </c>
      <c r="K5988">
        <v>0</v>
      </c>
    </row>
    <row r="5989" spans="1:11" x14ac:dyDescent="0.25">
      <c r="A5989" t="str">
        <f>"7489"</f>
        <v>7489</v>
      </c>
      <c r="B5989" t="str">
        <f t="shared" si="390"/>
        <v>1</v>
      </c>
      <c r="C5989" t="str">
        <f t="shared" si="391"/>
        <v>324</v>
      </c>
      <c r="D5989" t="str">
        <f>"2"</f>
        <v>2</v>
      </c>
      <c r="E5989" t="str">
        <f>"1-324-2"</f>
        <v>1-324-2</v>
      </c>
      <c r="F5989" t="s">
        <v>15</v>
      </c>
      <c r="G5989" t="s">
        <v>16</v>
      </c>
      <c r="H5989" t="s">
        <v>17</v>
      </c>
      <c r="I5989">
        <v>0</v>
      </c>
      <c r="J5989">
        <v>0</v>
      </c>
      <c r="K5989">
        <v>1</v>
      </c>
    </row>
    <row r="5990" spans="1:11" x14ac:dyDescent="0.25">
      <c r="A5990" t="str">
        <f>"7490"</f>
        <v>7490</v>
      </c>
      <c r="B5990" t="str">
        <f t="shared" si="390"/>
        <v>1</v>
      </c>
      <c r="C5990" t="str">
        <f t="shared" si="391"/>
        <v>324</v>
      </c>
      <c r="D5990" t="str">
        <f>"7"</f>
        <v>7</v>
      </c>
      <c r="E5990" t="str">
        <f>"1-324-7"</f>
        <v>1-324-7</v>
      </c>
      <c r="F5990" t="s">
        <v>15</v>
      </c>
      <c r="G5990" t="s">
        <v>16</v>
      </c>
      <c r="H5990" t="s">
        <v>17</v>
      </c>
      <c r="I5990">
        <v>0</v>
      </c>
      <c r="J5990">
        <v>1</v>
      </c>
      <c r="K5990">
        <v>0</v>
      </c>
    </row>
    <row r="5991" spans="1:11" x14ac:dyDescent="0.25">
      <c r="A5991" t="str">
        <f>"7491"</f>
        <v>7491</v>
      </c>
      <c r="B5991" t="str">
        <f t="shared" si="390"/>
        <v>1</v>
      </c>
      <c r="C5991" t="str">
        <f t="shared" si="391"/>
        <v>324</v>
      </c>
      <c r="D5991" t="str">
        <f>"6"</f>
        <v>6</v>
      </c>
      <c r="E5991" t="str">
        <f>"1-324-6"</f>
        <v>1-324-6</v>
      </c>
      <c r="F5991" t="s">
        <v>15</v>
      </c>
      <c r="G5991" t="s">
        <v>16</v>
      </c>
      <c r="H5991" t="s">
        <v>17</v>
      </c>
      <c r="I5991">
        <v>1</v>
      </c>
      <c r="J5991">
        <v>0</v>
      </c>
      <c r="K5991">
        <v>0</v>
      </c>
    </row>
    <row r="5992" spans="1:11" x14ac:dyDescent="0.25">
      <c r="A5992" t="str">
        <f>"7492"</f>
        <v>7492</v>
      </c>
      <c r="B5992" t="str">
        <f t="shared" si="390"/>
        <v>1</v>
      </c>
      <c r="C5992" t="str">
        <f t="shared" si="391"/>
        <v>324</v>
      </c>
      <c r="D5992" t="str">
        <f>"1"</f>
        <v>1</v>
      </c>
      <c r="E5992" t="str">
        <f>"1-324-1"</f>
        <v>1-324-1</v>
      </c>
      <c r="F5992" t="s">
        <v>15</v>
      </c>
      <c r="G5992" t="s">
        <v>16</v>
      </c>
      <c r="H5992" t="s">
        <v>17</v>
      </c>
      <c r="I5992">
        <v>1</v>
      </c>
      <c r="J5992">
        <v>0</v>
      </c>
      <c r="K5992">
        <v>0</v>
      </c>
    </row>
    <row r="5993" spans="1:11" x14ac:dyDescent="0.25">
      <c r="A5993" t="str">
        <f>"7493"</f>
        <v>7493</v>
      </c>
      <c r="B5993" t="str">
        <f t="shared" si="390"/>
        <v>1</v>
      </c>
      <c r="C5993" t="str">
        <f t="shared" si="391"/>
        <v>324</v>
      </c>
      <c r="D5993" t="str">
        <f>"10"</f>
        <v>10</v>
      </c>
      <c r="E5993" t="str">
        <f>"1-324-10"</f>
        <v>1-324-10</v>
      </c>
      <c r="F5993" t="s">
        <v>15</v>
      </c>
      <c r="G5993" t="s">
        <v>16</v>
      </c>
      <c r="H5993" t="s">
        <v>17</v>
      </c>
      <c r="I5993">
        <v>0</v>
      </c>
      <c r="J5993">
        <v>0</v>
      </c>
      <c r="K5993">
        <v>0</v>
      </c>
    </row>
    <row r="5994" spans="1:11" x14ac:dyDescent="0.25">
      <c r="A5994" t="str">
        <f>"7494"</f>
        <v>7494</v>
      </c>
      <c r="B5994" t="str">
        <f t="shared" si="390"/>
        <v>1</v>
      </c>
      <c r="C5994" t="str">
        <f t="shared" si="391"/>
        <v>324</v>
      </c>
      <c r="D5994" t="str">
        <f>"23"</f>
        <v>23</v>
      </c>
      <c r="E5994" t="str">
        <f>"1-324-23"</f>
        <v>1-324-23</v>
      </c>
      <c r="F5994" t="s">
        <v>15</v>
      </c>
      <c r="G5994" t="s">
        <v>16</v>
      </c>
      <c r="H5994" t="s">
        <v>17</v>
      </c>
      <c r="I5994">
        <v>0</v>
      </c>
      <c r="J5994">
        <v>0</v>
      </c>
      <c r="K5994">
        <v>0</v>
      </c>
    </row>
    <row r="5995" spans="1:11" x14ac:dyDescent="0.25">
      <c r="A5995" t="str">
        <f>"7495"</f>
        <v>7495</v>
      </c>
      <c r="B5995" t="str">
        <f t="shared" si="390"/>
        <v>1</v>
      </c>
      <c r="C5995" t="str">
        <f t="shared" ref="C5995:C6020" si="392">"325"</f>
        <v>325</v>
      </c>
      <c r="D5995" t="str">
        <f>"20"</f>
        <v>20</v>
      </c>
      <c r="E5995" t="str">
        <f>"1-325-20"</f>
        <v>1-325-20</v>
      </c>
      <c r="F5995" t="s">
        <v>15</v>
      </c>
      <c r="G5995" t="s">
        <v>20</v>
      </c>
      <c r="H5995" t="s">
        <v>21</v>
      </c>
      <c r="I5995">
        <v>1</v>
      </c>
      <c r="J5995">
        <v>0</v>
      </c>
      <c r="K5995">
        <v>0</v>
      </c>
    </row>
    <row r="5996" spans="1:11" x14ac:dyDescent="0.25">
      <c r="A5996" t="str">
        <f>"7496"</f>
        <v>7496</v>
      </c>
      <c r="B5996" t="str">
        <f t="shared" si="390"/>
        <v>1</v>
      </c>
      <c r="C5996" t="str">
        <f t="shared" si="392"/>
        <v>325</v>
      </c>
      <c r="D5996" t="str">
        <f>"15"</f>
        <v>15</v>
      </c>
      <c r="E5996" t="str">
        <f>"1-325-15"</f>
        <v>1-325-15</v>
      </c>
      <c r="F5996" t="s">
        <v>15</v>
      </c>
      <c r="G5996" t="s">
        <v>20</v>
      </c>
      <c r="H5996" t="s">
        <v>21</v>
      </c>
      <c r="I5996">
        <v>0</v>
      </c>
      <c r="J5996">
        <v>0</v>
      </c>
      <c r="K5996">
        <v>1</v>
      </c>
    </row>
    <row r="5997" spans="1:11" x14ac:dyDescent="0.25">
      <c r="A5997" t="str">
        <f>"7497"</f>
        <v>7497</v>
      </c>
      <c r="B5997" t="str">
        <f t="shared" si="390"/>
        <v>1</v>
      </c>
      <c r="C5997" t="str">
        <f t="shared" si="392"/>
        <v>325</v>
      </c>
      <c r="D5997" t="str">
        <f>"1"</f>
        <v>1</v>
      </c>
      <c r="E5997" t="str">
        <f>"1-325-1"</f>
        <v>1-325-1</v>
      </c>
      <c r="F5997" t="s">
        <v>15</v>
      </c>
      <c r="G5997" t="s">
        <v>20</v>
      </c>
      <c r="H5997" t="s">
        <v>21</v>
      </c>
      <c r="I5997">
        <v>1</v>
      </c>
      <c r="J5997">
        <v>0</v>
      </c>
      <c r="K5997">
        <v>0</v>
      </c>
    </row>
    <row r="5998" spans="1:11" x14ac:dyDescent="0.25">
      <c r="A5998" t="str">
        <f>"7498"</f>
        <v>7498</v>
      </c>
      <c r="B5998" t="str">
        <f t="shared" si="390"/>
        <v>1</v>
      </c>
      <c r="C5998" t="str">
        <f t="shared" si="392"/>
        <v>325</v>
      </c>
      <c r="D5998" t="str">
        <f>"16"</f>
        <v>16</v>
      </c>
      <c r="E5998" t="str">
        <f>"1-325-16"</f>
        <v>1-325-16</v>
      </c>
      <c r="F5998" t="s">
        <v>15</v>
      </c>
      <c r="G5998" t="s">
        <v>20</v>
      </c>
      <c r="H5998" t="s">
        <v>21</v>
      </c>
      <c r="I5998">
        <v>1</v>
      </c>
      <c r="J5998">
        <v>0</v>
      </c>
      <c r="K5998">
        <v>0</v>
      </c>
    </row>
    <row r="5999" spans="1:11" x14ac:dyDescent="0.25">
      <c r="A5999" t="str">
        <f>"7499"</f>
        <v>7499</v>
      </c>
      <c r="B5999" t="str">
        <f t="shared" si="390"/>
        <v>1</v>
      </c>
      <c r="C5999" t="str">
        <f t="shared" si="392"/>
        <v>325</v>
      </c>
      <c r="D5999" t="str">
        <f>"7"</f>
        <v>7</v>
      </c>
      <c r="E5999" t="str">
        <f>"1-325-7"</f>
        <v>1-325-7</v>
      </c>
      <c r="F5999" t="s">
        <v>15</v>
      </c>
      <c r="G5999" t="s">
        <v>20</v>
      </c>
      <c r="H5999" t="s">
        <v>21</v>
      </c>
      <c r="I5999">
        <v>1</v>
      </c>
      <c r="J5999">
        <v>0</v>
      </c>
      <c r="K5999">
        <v>0</v>
      </c>
    </row>
    <row r="6000" spans="1:11" x14ac:dyDescent="0.25">
      <c r="A6000" t="str">
        <f>"7500"</f>
        <v>7500</v>
      </c>
      <c r="B6000" t="str">
        <f t="shared" si="390"/>
        <v>1</v>
      </c>
      <c r="C6000" t="str">
        <f t="shared" si="392"/>
        <v>325</v>
      </c>
      <c r="D6000" t="str">
        <f>"17"</f>
        <v>17</v>
      </c>
      <c r="E6000" t="str">
        <f>"1-325-17"</f>
        <v>1-325-17</v>
      </c>
      <c r="F6000" t="s">
        <v>15</v>
      </c>
      <c r="G6000" t="s">
        <v>20</v>
      </c>
      <c r="H6000" t="s">
        <v>21</v>
      </c>
      <c r="I6000">
        <v>1</v>
      </c>
      <c r="J6000">
        <v>0</v>
      </c>
      <c r="K6000">
        <v>0</v>
      </c>
    </row>
    <row r="6001" spans="1:11" x14ac:dyDescent="0.25">
      <c r="A6001" t="str">
        <f>"7501"</f>
        <v>7501</v>
      </c>
      <c r="B6001" t="str">
        <f t="shared" si="390"/>
        <v>1</v>
      </c>
      <c r="C6001" t="str">
        <f t="shared" si="392"/>
        <v>325</v>
      </c>
      <c r="D6001" t="str">
        <f>"4"</f>
        <v>4</v>
      </c>
      <c r="E6001" t="str">
        <f>"1-325-4"</f>
        <v>1-325-4</v>
      </c>
      <c r="F6001" t="s">
        <v>15</v>
      </c>
      <c r="G6001" t="s">
        <v>20</v>
      </c>
      <c r="H6001" t="s">
        <v>21</v>
      </c>
      <c r="I6001">
        <v>0</v>
      </c>
      <c r="J6001">
        <v>1</v>
      </c>
      <c r="K6001">
        <v>0</v>
      </c>
    </row>
    <row r="6002" spans="1:11" x14ac:dyDescent="0.25">
      <c r="A6002" t="str">
        <f>"7502"</f>
        <v>7502</v>
      </c>
      <c r="B6002" t="str">
        <f t="shared" si="390"/>
        <v>1</v>
      </c>
      <c r="C6002" t="str">
        <f t="shared" si="392"/>
        <v>325</v>
      </c>
      <c r="D6002" t="str">
        <f>"18"</f>
        <v>18</v>
      </c>
      <c r="E6002" t="str">
        <f>"1-325-18"</f>
        <v>1-325-18</v>
      </c>
      <c r="F6002" t="s">
        <v>15</v>
      </c>
      <c r="G6002" t="s">
        <v>20</v>
      </c>
      <c r="H6002" t="s">
        <v>21</v>
      </c>
      <c r="I6002">
        <v>0</v>
      </c>
      <c r="J6002">
        <v>0</v>
      </c>
      <c r="K6002">
        <v>1</v>
      </c>
    </row>
    <row r="6003" spans="1:11" x14ac:dyDescent="0.25">
      <c r="A6003" t="str">
        <f>"7503"</f>
        <v>7503</v>
      </c>
      <c r="B6003" t="str">
        <f t="shared" si="390"/>
        <v>1</v>
      </c>
      <c r="C6003" t="str">
        <f t="shared" si="392"/>
        <v>325</v>
      </c>
      <c r="D6003" t="str">
        <f>"11"</f>
        <v>11</v>
      </c>
      <c r="E6003" t="str">
        <f>"1-325-11"</f>
        <v>1-325-11</v>
      </c>
      <c r="F6003" t="s">
        <v>15</v>
      </c>
      <c r="G6003" t="s">
        <v>20</v>
      </c>
      <c r="H6003" t="s">
        <v>21</v>
      </c>
      <c r="I6003">
        <v>0</v>
      </c>
      <c r="J6003">
        <v>1</v>
      </c>
      <c r="K6003">
        <v>0</v>
      </c>
    </row>
    <row r="6004" spans="1:11" x14ac:dyDescent="0.25">
      <c r="A6004" t="str">
        <f>"7504"</f>
        <v>7504</v>
      </c>
      <c r="B6004" t="str">
        <f t="shared" si="390"/>
        <v>1</v>
      </c>
      <c r="C6004" t="str">
        <f t="shared" si="392"/>
        <v>325</v>
      </c>
      <c r="D6004" t="str">
        <f>"19"</f>
        <v>19</v>
      </c>
      <c r="E6004" t="str">
        <f>"1-325-19"</f>
        <v>1-325-19</v>
      </c>
      <c r="F6004" t="s">
        <v>15</v>
      </c>
      <c r="G6004" t="s">
        <v>20</v>
      </c>
      <c r="H6004" t="s">
        <v>21</v>
      </c>
      <c r="I6004">
        <v>0</v>
      </c>
      <c r="J6004">
        <v>0</v>
      </c>
      <c r="K6004">
        <v>1</v>
      </c>
    </row>
    <row r="6005" spans="1:11" x14ac:dyDescent="0.25">
      <c r="A6005" t="str">
        <f>"7505"</f>
        <v>7505</v>
      </c>
      <c r="B6005" t="str">
        <f t="shared" si="390"/>
        <v>1</v>
      </c>
      <c r="C6005" t="str">
        <f t="shared" si="392"/>
        <v>325</v>
      </c>
      <c r="D6005" t="str">
        <f>"2"</f>
        <v>2</v>
      </c>
      <c r="E6005" t="str">
        <f>"1-325-2"</f>
        <v>1-325-2</v>
      </c>
      <c r="F6005" t="s">
        <v>15</v>
      </c>
      <c r="G6005" t="s">
        <v>20</v>
      </c>
      <c r="H6005" t="s">
        <v>21</v>
      </c>
      <c r="I6005">
        <v>1</v>
      </c>
      <c r="J6005">
        <v>0</v>
      </c>
      <c r="K6005">
        <v>0</v>
      </c>
    </row>
    <row r="6006" spans="1:11" x14ac:dyDescent="0.25">
      <c r="A6006" t="str">
        <f>"7506"</f>
        <v>7506</v>
      </c>
      <c r="B6006" t="str">
        <f t="shared" si="390"/>
        <v>1</v>
      </c>
      <c r="C6006" t="str">
        <f t="shared" si="392"/>
        <v>325</v>
      </c>
      <c r="D6006" t="str">
        <f>"21"</f>
        <v>21</v>
      </c>
      <c r="E6006" t="str">
        <f>"1-325-21"</f>
        <v>1-325-21</v>
      </c>
      <c r="F6006" t="s">
        <v>15</v>
      </c>
      <c r="G6006" t="s">
        <v>18</v>
      </c>
      <c r="H6006" t="s">
        <v>19</v>
      </c>
      <c r="I6006">
        <v>0</v>
      </c>
      <c r="J6006">
        <v>0</v>
      </c>
      <c r="K6006">
        <v>1</v>
      </c>
    </row>
    <row r="6007" spans="1:11" x14ac:dyDescent="0.25">
      <c r="A6007" t="str">
        <f>"7507"</f>
        <v>7507</v>
      </c>
      <c r="B6007" t="str">
        <f t="shared" si="390"/>
        <v>1</v>
      </c>
      <c r="C6007" t="str">
        <f t="shared" si="392"/>
        <v>325</v>
      </c>
      <c r="D6007" t="str">
        <f>"8"</f>
        <v>8</v>
      </c>
      <c r="E6007" t="str">
        <f>"1-325-8"</f>
        <v>1-325-8</v>
      </c>
      <c r="F6007" t="s">
        <v>15</v>
      </c>
      <c r="G6007" t="s">
        <v>20</v>
      </c>
      <c r="H6007" t="s">
        <v>21</v>
      </c>
      <c r="I6007">
        <v>1</v>
      </c>
      <c r="J6007">
        <v>0</v>
      </c>
      <c r="K6007">
        <v>0</v>
      </c>
    </row>
    <row r="6008" spans="1:11" x14ac:dyDescent="0.25">
      <c r="A6008" t="str">
        <f>"7508"</f>
        <v>7508</v>
      </c>
      <c r="B6008" t="str">
        <f t="shared" si="390"/>
        <v>1</v>
      </c>
      <c r="C6008" t="str">
        <f t="shared" si="392"/>
        <v>325</v>
      </c>
      <c r="D6008" t="str">
        <f>"22"</f>
        <v>22</v>
      </c>
      <c r="E6008" t="str">
        <f>"1-325-22"</f>
        <v>1-325-22</v>
      </c>
      <c r="F6008" t="s">
        <v>15</v>
      </c>
      <c r="G6008" t="s">
        <v>20</v>
      </c>
      <c r="H6008" t="s">
        <v>21</v>
      </c>
      <c r="I6008">
        <v>0</v>
      </c>
      <c r="J6008">
        <v>0</v>
      </c>
      <c r="K6008">
        <v>1</v>
      </c>
    </row>
    <row r="6009" spans="1:11" x14ac:dyDescent="0.25">
      <c r="A6009" t="str">
        <f>"7509"</f>
        <v>7509</v>
      </c>
      <c r="B6009" t="str">
        <f t="shared" si="390"/>
        <v>1</v>
      </c>
      <c r="C6009" t="str">
        <f t="shared" si="392"/>
        <v>325</v>
      </c>
      <c r="D6009" t="str">
        <f>"10"</f>
        <v>10</v>
      </c>
      <c r="E6009" t="str">
        <f>"1-325-10"</f>
        <v>1-325-10</v>
      </c>
      <c r="F6009" t="s">
        <v>15</v>
      </c>
      <c r="G6009" t="s">
        <v>20</v>
      </c>
      <c r="H6009" t="s">
        <v>21</v>
      </c>
      <c r="I6009">
        <v>0</v>
      </c>
      <c r="J6009">
        <v>0</v>
      </c>
      <c r="K6009">
        <v>1</v>
      </c>
    </row>
    <row r="6010" spans="1:11" x14ac:dyDescent="0.25">
      <c r="A6010" t="str">
        <f>"7510"</f>
        <v>7510</v>
      </c>
      <c r="B6010" t="str">
        <f t="shared" si="390"/>
        <v>1</v>
      </c>
      <c r="C6010" t="str">
        <f t="shared" si="392"/>
        <v>325</v>
      </c>
      <c r="D6010" t="str">
        <f>"23"</f>
        <v>23</v>
      </c>
      <c r="E6010" t="str">
        <f>"1-325-23"</f>
        <v>1-325-23</v>
      </c>
      <c r="F6010" t="s">
        <v>15</v>
      </c>
      <c r="G6010" t="s">
        <v>20</v>
      </c>
      <c r="H6010" t="s">
        <v>21</v>
      </c>
      <c r="I6010">
        <v>1</v>
      </c>
      <c r="J6010">
        <v>0</v>
      </c>
      <c r="K6010">
        <v>0</v>
      </c>
    </row>
    <row r="6011" spans="1:11" x14ac:dyDescent="0.25">
      <c r="A6011" t="str">
        <f>"7511"</f>
        <v>7511</v>
      </c>
      <c r="B6011" t="str">
        <f t="shared" si="390"/>
        <v>1</v>
      </c>
      <c r="C6011" t="str">
        <f t="shared" si="392"/>
        <v>325</v>
      </c>
      <c r="D6011" t="str">
        <f>"9"</f>
        <v>9</v>
      </c>
      <c r="E6011" t="str">
        <f>"1-325-9"</f>
        <v>1-325-9</v>
      </c>
      <c r="F6011" t="s">
        <v>15</v>
      </c>
      <c r="G6011" t="s">
        <v>20</v>
      </c>
      <c r="H6011" t="s">
        <v>21</v>
      </c>
      <c r="I6011">
        <v>0</v>
      </c>
      <c r="J6011">
        <v>1</v>
      </c>
      <c r="K6011">
        <v>0</v>
      </c>
    </row>
    <row r="6012" spans="1:11" x14ac:dyDescent="0.25">
      <c r="A6012" t="str">
        <f>"7512"</f>
        <v>7512</v>
      </c>
      <c r="B6012" t="str">
        <f t="shared" si="390"/>
        <v>1</v>
      </c>
      <c r="C6012" t="str">
        <f t="shared" si="392"/>
        <v>325</v>
      </c>
      <c r="D6012" t="str">
        <f>"24"</f>
        <v>24</v>
      </c>
      <c r="E6012" t="str">
        <f>"1-325-24"</f>
        <v>1-325-24</v>
      </c>
      <c r="F6012" t="s">
        <v>15</v>
      </c>
      <c r="G6012" t="s">
        <v>20</v>
      </c>
      <c r="H6012" t="s">
        <v>21</v>
      </c>
      <c r="I6012">
        <v>1</v>
      </c>
      <c r="J6012">
        <v>0</v>
      </c>
      <c r="K6012">
        <v>0</v>
      </c>
    </row>
    <row r="6013" spans="1:11" x14ac:dyDescent="0.25">
      <c r="A6013" t="str">
        <f>"7513"</f>
        <v>7513</v>
      </c>
      <c r="B6013" t="str">
        <f t="shared" si="390"/>
        <v>1</v>
      </c>
      <c r="C6013" t="str">
        <f t="shared" si="392"/>
        <v>325</v>
      </c>
      <c r="D6013" t="str">
        <f>"13"</f>
        <v>13</v>
      </c>
      <c r="E6013" t="str">
        <f>"1-325-13"</f>
        <v>1-325-13</v>
      </c>
      <c r="F6013" t="s">
        <v>15</v>
      </c>
      <c r="G6013" t="s">
        <v>20</v>
      </c>
      <c r="H6013" t="s">
        <v>21</v>
      </c>
      <c r="I6013">
        <v>0</v>
      </c>
      <c r="J6013">
        <v>0</v>
      </c>
      <c r="K6013">
        <v>1</v>
      </c>
    </row>
    <row r="6014" spans="1:11" x14ac:dyDescent="0.25">
      <c r="A6014" t="str">
        <f>"7514"</f>
        <v>7514</v>
      </c>
      <c r="B6014" t="str">
        <f t="shared" ref="B6014:B6041" si="393">"1"</f>
        <v>1</v>
      </c>
      <c r="C6014" t="str">
        <f t="shared" si="392"/>
        <v>325</v>
      </c>
      <c r="D6014" t="str">
        <f>"25"</f>
        <v>25</v>
      </c>
      <c r="E6014" t="str">
        <f>"1-325-25"</f>
        <v>1-325-25</v>
      </c>
      <c r="F6014" t="s">
        <v>15</v>
      </c>
      <c r="G6014" t="s">
        <v>20</v>
      </c>
      <c r="H6014" t="s">
        <v>21</v>
      </c>
      <c r="I6014">
        <v>1</v>
      </c>
      <c r="J6014">
        <v>0</v>
      </c>
      <c r="K6014">
        <v>0</v>
      </c>
    </row>
    <row r="6015" spans="1:11" x14ac:dyDescent="0.25">
      <c r="A6015" t="str">
        <f>"7515"</f>
        <v>7515</v>
      </c>
      <c r="B6015" t="str">
        <f t="shared" si="393"/>
        <v>1</v>
      </c>
      <c r="C6015" t="str">
        <f t="shared" si="392"/>
        <v>325</v>
      </c>
      <c r="D6015" t="str">
        <f>"6"</f>
        <v>6</v>
      </c>
      <c r="E6015" t="str">
        <f>"1-325-6"</f>
        <v>1-325-6</v>
      </c>
      <c r="F6015" t="s">
        <v>15</v>
      </c>
      <c r="G6015" t="s">
        <v>20</v>
      </c>
      <c r="H6015" t="s">
        <v>21</v>
      </c>
      <c r="I6015">
        <v>1</v>
      </c>
      <c r="J6015">
        <v>0</v>
      </c>
      <c r="K6015">
        <v>0</v>
      </c>
    </row>
    <row r="6016" spans="1:11" x14ac:dyDescent="0.25">
      <c r="A6016" t="str">
        <f>"7516"</f>
        <v>7516</v>
      </c>
      <c r="B6016" t="str">
        <f t="shared" si="393"/>
        <v>1</v>
      </c>
      <c r="C6016" t="str">
        <f t="shared" si="392"/>
        <v>325</v>
      </c>
      <c r="D6016" t="str">
        <f>"26"</f>
        <v>26</v>
      </c>
      <c r="E6016" t="str">
        <f>"1-325-26"</f>
        <v>1-325-26</v>
      </c>
      <c r="F6016" t="s">
        <v>15</v>
      </c>
      <c r="G6016" t="s">
        <v>20</v>
      </c>
      <c r="H6016" t="s">
        <v>21</v>
      </c>
      <c r="I6016">
        <v>0</v>
      </c>
      <c r="J6016">
        <v>1</v>
      </c>
      <c r="K6016">
        <v>0</v>
      </c>
    </row>
    <row r="6017" spans="1:11" x14ac:dyDescent="0.25">
      <c r="A6017" t="str">
        <f>"7517"</f>
        <v>7517</v>
      </c>
      <c r="B6017" t="str">
        <f t="shared" si="393"/>
        <v>1</v>
      </c>
      <c r="C6017" t="str">
        <f t="shared" si="392"/>
        <v>325</v>
      </c>
      <c r="D6017" t="str">
        <f>"5"</f>
        <v>5</v>
      </c>
      <c r="E6017" t="str">
        <f>"1-325-5"</f>
        <v>1-325-5</v>
      </c>
      <c r="F6017" t="s">
        <v>15</v>
      </c>
      <c r="G6017" t="s">
        <v>20</v>
      </c>
      <c r="H6017" t="s">
        <v>21</v>
      </c>
      <c r="I6017">
        <v>1</v>
      </c>
      <c r="J6017">
        <v>0</v>
      </c>
      <c r="K6017">
        <v>0</v>
      </c>
    </row>
    <row r="6018" spans="1:11" x14ac:dyDescent="0.25">
      <c r="A6018" t="str">
        <f>"7518"</f>
        <v>7518</v>
      </c>
      <c r="B6018" t="str">
        <f t="shared" si="393"/>
        <v>1</v>
      </c>
      <c r="C6018" t="str">
        <f t="shared" si="392"/>
        <v>325</v>
      </c>
      <c r="D6018" t="str">
        <f>"3"</f>
        <v>3</v>
      </c>
      <c r="E6018" t="str">
        <f>"1-325-3"</f>
        <v>1-325-3</v>
      </c>
      <c r="F6018" t="s">
        <v>15</v>
      </c>
      <c r="G6018" t="s">
        <v>20</v>
      </c>
      <c r="H6018" t="s">
        <v>21</v>
      </c>
      <c r="I6018">
        <v>1</v>
      </c>
      <c r="J6018">
        <v>0</v>
      </c>
      <c r="K6018">
        <v>0</v>
      </c>
    </row>
    <row r="6019" spans="1:11" x14ac:dyDescent="0.25">
      <c r="A6019" t="str">
        <f>"7519"</f>
        <v>7519</v>
      </c>
      <c r="B6019" t="str">
        <f t="shared" si="393"/>
        <v>1</v>
      </c>
      <c r="C6019" t="str">
        <f t="shared" si="392"/>
        <v>325</v>
      </c>
      <c r="D6019" t="str">
        <f>"14"</f>
        <v>14</v>
      </c>
      <c r="E6019" t="str">
        <f>"1-325-14"</f>
        <v>1-325-14</v>
      </c>
      <c r="F6019" t="s">
        <v>15</v>
      </c>
      <c r="G6019" t="s">
        <v>20</v>
      </c>
      <c r="H6019" t="s">
        <v>21</v>
      </c>
      <c r="I6019">
        <v>0</v>
      </c>
      <c r="J6019">
        <v>0</v>
      </c>
      <c r="K6019">
        <v>1</v>
      </c>
    </row>
    <row r="6020" spans="1:11" x14ac:dyDescent="0.25">
      <c r="A6020" t="str">
        <f>"7520"</f>
        <v>7520</v>
      </c>
      <c r="B6020" t="str">
        <f t="shared" si="393"/>
        <v>1</v>
      </c>
      <c r="C6020" t="str">
        <f t="shared" si="392"/>
        <v>325</v>
      </c>
      <c r="D6020" t="str">
        <f>"12"</f>
        <v>12</v>
      </c>
      <c r="E6020" t="str">
        <f>"1-325-12"</f>
        <v>1-325-12</v>
      </c>
      <c r="F6020" t="s">
        <v>15</v>
      </c>
      <c r="G6020" t="s">
        <v>20</v>
      </c>
      <c r="H6020" t="s">
        <v>21</v>
      </c>
      <c r="I6020">
        <v>0</v>
      </c>
      <c r="J6020">
        <v>1</v>
      </c>
      <c r="K6020">
        <v>0</v>
      </c>
    </row>
    <row r="6021" spans="1:11" x14ac:dyDescent="0.25">
      <c r="A6021" t="str">
        <f>"7547"</f>
        <v>7547</v>
      </c>
      <c r="B6021" t="str">
        <f t="shared" si="393"/>
        <v>1</v>
      </c>
      <c r="C6021" t="str">
        <f t="shared" ref="C6021:C6041" si="394">"327"</f>
        <v>327</v>
      </c>
      <c r="D6021" t="str">
        <f>"15"</f>
        <v>15</v>
      </c>
      <c r="E6021" t="str">
        <f>"1-327-15"</f>
        <v>1-327-15</v>
      </c>
      <c r="F6021" t="s">
        <v>15</v>
      </c>
      <c r="G6021" t="s">
        <v>20</v>
      </c>
      <c r="H6021" t="s">
        <v>21</v>
      </c>
      <c r="I6021">
        <v>1</v>
      </c>
      <c r="J6021">
        <v>0</v>
      </c>
      <c r="K6021">
        <v>0</v>
      </c>
    </row>
    <row r="6022" spans="1:11" x14ac:dyDescent="0.25">
      <c r="A6022" t="str">
        <f>"7548"</f>
        <v>7548</v>
      </c>
      <c r="B6022" t="str">
        <f t="shared" si="393"/>
        <v>1</v>
      </c>
      <c r="C6022" t="str">
        <f t="shared" si="394"/>
        <v>327</v>
      </c>
      <c r="D6022" t="str">
        <f>"1"</f>
        <v>1</v>
      </c>
      <c r="E6022" t="str">
        <f>"1-327-1"</f>
        <v>1-327-1</v>
      </c>
      <c r="F6022" t="s">
        <v>15</v>
      </c>
      <c r="G6022" t="s">
        <v>20</v>
      </c>
      <c r="H6022" t="s">
        <v>21</v>
      </c>
      <c r="I6022">
        <v>0</v>
      </c>
      <c r="J6022">
        <v>0</v>
      </c>
      <c r="K6022">
        <v>1</v>
      </c>
    </row>
    <row r="6023" spans="1:11" x14ac:dyDescent="0.25">
      <c r="A6023" t="str">
        <f>"7550"</f>
        <v>7550</v>
      </c>
      <c r="B6023" t="str">
        <f t="shared" si="393"/>
        <v>1</v>
      </c>
      <c r="C6023" t="str">
        <f t="shared" si="394"/>
        <v>327</v>
      </c>
      <c r="D6023" t="str">
        <f>"16"</f>
        <v>16</v>
      </c>
      <c r="E6023" t="str">
        <f>"1-327-16"</f>
        <v>1-327-16</v>
      </c>
      <c r="F6023" t="s">
        <v>15</v>
      </c>
      <c r="G6023" t="s">
        <v>20</v>
      </c>
      <c r="H6023" t="s">
        <v>21</v>
      </c>
      <c r="I6023">
        <v>1</v>
      </c>
      <c r="J6023">
        <v>0</v>
      </c>
      <c r="K6023">
        <v>0</v>
      </c>
    </row>
    <row r="6024" spans="1:11" x14ac:dyDescent="0.25">
      <c r="A6024" t="str">
        <f>"7551"</f>
        <v>7551</v>
      </c>
      <c r="B6024" t="str">
        <f t="shared" si="393"/>
        <v>1</v>
      </c>
      <c r="C6024" t="str">
        <f t="shared" si="394"/>
        <v>327</v>
      </c>
      <c r="D6024" t="str">
        <f>"5"</f>
        <v>5</v>
      </c>
      <c r="E6024" t="str">
        <f>"1-327-5"</f>
        <v>1-327-5</v>
      </c>
      <c r="F6024" t="s">
        <v>15</v>
      </c>
      <c r="G6024" t="s">
        <v>20</v>
      </c>
      <c r="H6024" t="s">
        <v>21</v>
      </c>
      <c r="I6024">
        <v>1</v>
      </c>
      <c r="J6024">
        <v>0</v>
      </c>
      <c r="K6024">
        <v>0</v>
      </c>
    </row>
    <row r="6025" spans="1:11" x14ac:dyDescent="0.25">
      <c r="A6025" t="str">
        <f>"7552"</f>
        <v>7552</v>
      </c>
      <c r="B6025" t="str">
        <f t="shared" si="393"/>
        <v>1</v>
      </c>
      <c r="C6025" t="str">
        <f t="shared" si="394"/>
        <v>327</v>
      </c>
      <c r="D6025" t="str">
        <f>"17"</f>
        <v>17</v>
      </c>
      <c r="E6025" t="str">
        <f>"1-327-17"</f>
        <v>1-327-17</v>
      </c>
      <c r="F6025" t="s">
        <v>15</v>
      </c>
      <c r="G6025" t="s">
        <v>20</v>
      </c>
      <c r="H6025" t="s">
        <v>21</v>
      </c>
      <c r="I6025">
        <v>0</v>
      </c>
      <c r="J6025">
        <v>1</v>
      </c>
      <c r="K6025">
        <v>0</v>
      </c>
    </row>
    <row r="6026" spans="1:11" x14ac:dyDescent="0.25">
      <c r="A6026" t="str">
        <f>"7553"</f>
        <v>7553</v>
      </c>
      <c r="B6026" t="str">
        <f t="shared" si="393"/>
        <v>1</v>
      </c>
      <c r="C6026" t="str">
        <f t="shared" si="394"/>
        <v>327</v>
      </c>
      <c r="D6026" t="str">
        <f>"7"</f>
        <v>7</v>
      </c>
      <c r="E6026" t="str">
        <f>"1-327-7"</f>
        <v>1-327-7</v>
      </c>
      <c r="F6026" t="s">
        <v>15</v>
      </c>
      <c r="G6026" t="s">
        <v>20</v>
      </c>
      <c r="H6026" t="s">
        <v>21</v>
      </c>
      <c r="I6026">
        <v>0</v>
      </c>
      <c r="J6026">
        <v>1</v>
      </c>
      <c r="K6026">
        <v>0</v>
      </c>
    </row>
    <row r="6027" spans="1:11" x14ac:dyDescent="0.25">
      <c r="A6027" t="str">
        <f>"7554"</f>
        <v>7554</v>
      </c>
      <c r="B6027" t="str">
        <f t="shared" si="393"/>
        <v>1</v>
      </c>
      <c r="C6027" t="str">
        <f t="shared" si="394"/>
        <v>327</v>
      </c>
      <c r="D6027" t="str">
        <f>"18"</f>
        <v>18</v>
      </c>
      <c r="E6027" t="str">
        <f>"1-327-18"</f>
        <v>1-327-18</v>
      </c>
      <c r="F6027" t="s">
        <v>15</v>
      </c>
      <c r="G6027" t="s">
        <v>20</v>
      </c>
      <c r="H6027" t="s">
        <v>21</v>
      </c>
      <c r="I6027">
        <v>0</v>
      </c>
      <c r="J6027">
        <v>1</v>
      </c>
      <c r="K6027">
        <v>0</v>
      </c>
    </row>
    <row r="6028" spans="1:11" x14ac:dyDescent="0.25">
      <c r="A6028" t="str">
        <f>"7555"</f>
        <v>7555</v>
      </c>
      <c r="B6028" t="str">
        <f t="shared" si="393"/>
        <v>1</v>
      </c>
      <c r="C6028" t="str">
        <f t="shared" si="394"/>
        <v>327</v>
      </c>
      <c r="D6028" t="str">
        <f>"10"</f>
        <v>10</v>
      </c>
      <c r="E6028" t="str">
        <f>"1-327-10"</f>
        <v>1-327-10</v>
      </c>
      <c r="F6028" t="s">
        <v>15</v>
      </c>
      <c r="G6028" t="s">
        <v>20</v>
      </c>
      <c r="H6028" t="s">
        <v>21</v>
      </c>
      <c r="I6028">
        <v>0</v>
      </c>
      <c r="J6028">
        <v>0</v>
      </c>
      <c r="K6028">
        <v>1</v>
      </c>
    </row>
    <row r="6029" spans="1:11" x14ac:dyDescent="0.25">
      <c r="A6029" t="str">
        <f>"7556"</f>
        <v>7556</v>
      </c>
      <c r="B6029" t="str">
        <f t="shared" si="393"/>
        <v>1</v>
      </c>
      <c r="C6029" t="str">
        <f t="shared" si="394"/>
        <v>327</v>
      </c>
      <c r="D6029" t="str">
        <f>"19"</f>
        <v>19</v>
      </c>
      <c r="E6029" t="str">
        <f>"1-327-19"</f>
        <v>1-327-19</v>
      </c>
      <c r="F6029" t="s">
        <v>15</v>
      </c>
      <c r="G6029" t="s">
        <v>20</v>
      </c>
      <c r="H6029" t="s">
        <v>21</v>
      </c>
      <c r="I6029">
        <v>1</v>
      </c>
      <c r="J6029">
        <v>0</v>
      </c>
      <c r="K6029">
        <v>0</v>
      </c>
    </row>
    <row r="6030" spans="1:11" x14ac:dyDescent="0.25">
      <c r="A6030" t="str">
        <f>"7557"</f>
        <v>7557</v>
      </c>
      <c r="B6030" t="str">
        <f t="shared" si="393"/>
        <v>1</v>
      </c>
      <c r="C6030" t="str">
        <f t="shared" si="394"/>
        <v>327</v>
      </c>
      <c r="D6030" t="str">
        <f>"8"</f>
        <v>8</v>
      </c>
      <c r="E6030" t="str">
        <f>"1-327-8"</f>
        <v>1-327-8</v>
      </c>
      <c r="F6030" t="s">
        <v>15</v>
      </c>
      <c r="G6030" t="s">
        <v>20</v>
      </c>
      <c r="H6030" t="s">
        <v>21</v>
      </c>
      <c r="I6030">
        <v>1</v>
      </c>
      <c r="J6030">
        <v>0</v>
      </c>
      <c r="K6030">
        <v>0</v>
      </c>
    </row>
    <row r="6031" spans="1:11" x14ac:dyDescent="0.25">
      <c r="A6031" t="str">
        <f>"7558"</f>
        <v>7558</v>
      </c>
      <c r="B6031" t="str">
        <f t="shared" si="393"/>
        <v>1</v>
      </c>
      <c r="C6031" t="str">
        <f t="shared" si="394"/>
        <v>327</v>
      </c>
      <c r="D6031" t="str">
        <f>"20"</f>
        <v>20</v>
      </c>
      <c r="E6031" t="str">
        <f>"1-327-20"</f>
        <v>1-327-20</v>
      </c>
      <c r="F6031" t="s">
        <v>15</v>
      </c>
      <c r="G6031" t="s">
        <v>20</v>
      </c>
      <c r="H6031" t="s">
        <v>21</v>
      </c>
      <c r="I6031">
        <v>1</v>
      </c>
      <c r="J6031">
        <v>0</v>
      </c>
      <c r="K6031">
        <v>0</v>
      </c>
    </row>
    <row r="6032" spans="1:11" x14ac:dyDescent="0.25">
      <c r="A6032" t="str">
        <f>"7559"</f>
        <v>7559</v>
      </c>
      <c r="B6032" t="str">
        <f t="shared" si="393"/>
        <v>1</v>
      </c>
      <c r="C6032" t="str">
        <f t="shared" si="394"/>
        <v>327</v>
      </c>
      <c r="D6032" t="str">
        <f>"11"</f>
        <v>11</v>
      </c>
      <c r="E6032" t="str">
        <f>"1-327-11"</f>
        <v>1-327-11</v>
      </c>
      <c r="F6032" t="s">
        <v>15</v>
      </c>
      <c r="G6032" t="s">
        <v>20</v>
      </c>
      <c r="H6032" t="s">
        <v>21</v>
      </c>
      <c r="I6032">
        <v>1</v>
      </c>
      <c r="J6032">
        <v>0</v>
      </c>
      <c r="K6032">
        <v>0</v>
      </c>
    </row>
    <row r="6033" spans="1:11" x14ac:dyDescent="0.25">
      <c r="A6033" t="str">
        <f>"7560"</f>
        <v>7560</v>
      </c>
      <c r="B6033" t="str">
        <f t="shared" si="393"/>
        <v>1</v>
      </c>
      <c r="C6033" t="str">
        <f t="shared" si="394"/>
        <v>327</v>
      </c>
      <c r="D6033" t="str">
        <f>"21"</f>
        <v>21</v>
      </c>
      <c r="E6033" t="str">
        <f>"1-327-21"</f>
        <v>1-327-21</v>
      </c>
      <c r="F6033" t="s">
        <v>15</v>
      </c>
      <c r="G6033" t="s">
        <v>20</v>
      </c>
      <c r="H6033" t="s">
        <v>21</v>
      </c>
      <c r="I6033">
        <v>1</v>
      </c>
      <c r="J6033">
        <v>0</v>
      </c>
      <c r="K6033">
        <v>0</v>
      </c>
    </row>
    <row r="6034" spans="1:11" x14ac:dyDescent="0.25">
      <c r="A6034" t="str">
        <f>"7561"</f>
        <v>7561</v>
      </c>
      <c r="B6034" t="str">
        <f t="shared" si="393"/>
        <v>1</v>
      </c>
      <c r="C6034" t="str">
        <f t="shared" si="394"/>
        <v>327</v>
      </c>
      <c r="D6034" t="str">
        <f>"9"</f>
        <v>9</v>
      </c>
      <c r="E6034" t="str">
        <f>"1-327-9"</f>
        <v>1-327-9</v>
      </c>
      <c r="F6034" t="s">
        <v>15</v>
      </c>
      <c r="G6034" t="s">
        <v>20</v>
      </c>
      <c r="H6034" t="s">
        <v>21</v>
      </c>
      <c r="I6034">
        <v>0</v>
      </c>
      <c r="J6034">
        <v>1</v>
      </c>
      <c r="K6034">
        <v>0</v>
      </c>
    </row>
    <row r="6035" spans="1:11" x14ac:dyDescent="0.25">
      <c r="A6035" t="str">
        <f>"7563"</f>
        <v>7563</v>
      </c>
      <c r="B6035" t="str">
        <f t="shared" si="393"/>
        <v>1</v>
      </c>
      <c r="C6035" t="str">
        <f t="shared" si="394"/>
        <v>327</v>
      </c>
      <c r="D6035" t="str">
        <f>"2"</f>
        <v>2</v>
      </c>
      <c r="E6035" t="str">
        <f>"1-327-2"</f>
        <v>1-327-2</v>
      </c>
      <c r="F6035" t="s">
        <v>15</v>
      </c>
      <c r="G6035" t="s">
        <v>20</v>
      </c>
      <c r="H6035" t="s">
        <v>21</v>
      </c>
      <c r="I6035">
        <v>0</v>
      </c>
      <c r="J6035">
        <v>0</v>
      </c>
      <c r="K6035">
        <v>1</v>
      </c>
    </row>
    <row r="6036" spans="1:11" x14ac:dyDescent="0.25">
      <c r="A6036" t="str">
        <f>"7565"</f>
        <v>7565</v>
      </c>
      <c r="B6036" t="str">
        <f t="shared" si="393"/>
        <v>1</v>
      </c>
      <c r="C6036" t="str">
        <f t="shared" si="394"/>
        <v>327</v>
      </c>
      <c r="D6036" t="str">
        <f>"12"</f>
        <v>12</v>
      </c>
      <c r="E6036" t="str">
        <f>"1-327-12"</f>
        <v>1-327-12</v>
      </c>
      <c r="F6036" t="s">
        <v>15</v>
      </c>
      <c r="G6036" t="s">
        <v>20</v>
      </c>
      <c r="H6036" t="s">
        <v>21</v>
      </c>
      <c r="I6036">
        <v>0</v>
      </c>
      <c r="J6036">
        <v>1</v>
      </c>
      <c r="K6036">
        <v>0</v>
      </c>
    </row>
    <row r="6037" spans="1:11" x14ac:dyDescent="0.25">
      <c r="A6037" t="str">
        <f>"7567"</f>
        <v>7567</v>
      </c>
      <c r="B6037" t="str">
        <f t="shared" si="393"/>
        <v>1</v>
      </c>
      <c r="C6037" t="str">
        <f t="shared" si="394"/>
        <v>327</v>
      </c>
      <c r="D6037" t="str">
        <f>"13"</f>
        <v>13</v>
      </c>
      <c r="E6037" t="str">
        <f>"1-327-13"</f>
        <v>1-327-13</v>
      </c>
      <c r="F6037" t="s">
        <v>15</v>
      </c>
      <c r="G6037" t="s">
        <v>20</v>
      </c>
      <c r="H6037" t="s">
        <v>21</v>
      </c>
      <c r="I6037">
        <v>0</v>
      </c>
      <c r="J6037">
        <v>1</v>
      </c>
      <c r="K6037">
        <v>0</v>
      </c>
    </row>
    <row r="6038" spans="1:11" x14ac:dyDescent="0.25">
      <c r="A6038" t="str">
        <f>"7569"</f>
        <v>7569</v>
      </c>
      <c r="B6038" t="str">
        <f t="shared" si="393"/>
        <v>1</v>
      </c>
      <c r="C6038" t="str">
        <f t="shared" si="394"/>
        <v>327</v>
      </c>
      <c r="D6038" t="str">
        <f>"14"</f>
        <v>14</v>
      </c>
      <c r="E6038" t="str">
        <f>"1-327-14"</f>
        <v>1-327-14</v>
      </c>
      <c r="F6038" t="s">
        <v>15</v>
      </c>
      <c r="G6038" t="s">
        <v>20</v>
      </c>
      <c r="H6038" t="s">
        <v>21</v>
      </c>
      <c r="I6038">
        <v>0</v>
      </c>
      <c r="J6038">
        <v>0</v>
      </c>
      <c r="K6038">
        <v>1</v>
      </c>
    </row>
    <row r="6039" spans="1:11" x14ac:dyDescent="0.25">
      <c r="A6039" t="str">
        <f>"7571"</f>
        <v>7571</v>
      </c>
      <c r="B6039" t="str">
        <f t="shared" si="393"/>
        <v>1</v>
      </c>
      <c r="C6039" t="str">
        <f t="shared" si="394"/>
        <v>327</v>
      </c>
      <c r="D6039" t="str">
        <f>"6"</f>
        <v>6</v>
      </c>
      <c r="E6039" t="str">
        <f>"1-327-6"</f>
        <v>1-327-6</v>
      </c>
      <c r="F6039" t="s">
        <v>15</v>
      </c>
      <c r="G6039" t="s">
        <v>20</v>
      </c>
      <c r="H6039" t="s">
        <v>21</v>
      </c>
      <c r="I6039">
        <v>1</v>
      </c>
      <c r="J6039">
        <v>0</v>
      </c>
      <c r="K6039">
        <v>0</v>
      </c>
    </row>
    <row r="6040" spans="1:11" x14ac:dyDescent="0.25">
      <c r="A6040" t="str">
        <f>"7573"</f>
        <v>7573</v>
      </c>
      <c r="B6040" t="str">
        <f t="shared" si="393"/>
        <v>1</v>
      </c>
      <c r="C6040" t="str">
        <f t="shared" si="394"/>
        <v>327</v>
      </c>
      <c r="D6040" t="str">
        <f>"4"</f>
        <v>4</v>
      </c>
      <c r="E6040" t="str">
        <f>"1-327-4"</f>
        <v>1-327-4</v>
      </c>
      <c r="F6040" t="s">
        <v>15</v>
      </c>
      <c r="G6040" t="s">
        <v>20</v>
      </c>
      <c r="H6040" t="s">
        <v>21</v>
      </c>
      <c r="I6040">
        <v>1</v>
      </c>
      <c r="J6040">
        <v>0</v>
      </c>
      <c r="K6040">
        <v>0</v>
      </c>
    </row>
    <row r="6041" spans="1:11" x14ac:dyDescent="0.25">
      <c r="A6041" t="str">
        <f>"7575"</f>
        <v>7575</v>
      </c>
      <c r="B6041" t="str">
        <f t="shared" si="393"/>
        <v>1</v>
      </c>
      <c r="C6041" t="str">
        <f t="shared" si="394"/>
        <v>327</v>
      </c>
      <c r="D6041" t="str">
        <f>"3"</f>
        <v>3</v>
      </c>
      <c r="E6041" t="str">
        <f>"1-327-3"</f>
        <v>1-327-3</v>
      </c>
      <c r="F6041" t="s">
        <v>15</v>
      </c>
      <c r="G6041" t="s">
        <v>20</v>
      </c>
      <c r="H6041" t="s">
        <v>21</v>
      </c>
      <c r="I6041">
        <v>1</v>
      </c>
      <c r="J6041">
        <v>0</v>
      </c>
      <c r="K6041">
        <v>0</v>
      </c>
    </row>
    <row r="6042" spans="1:11" x14ac:dyDescent="0.25">
      <c r="A6042" t="str">
        <f>"7595"</f>
        <v>7595</v>
      </c>
      <c r="B6042" t="str">
        <f t="shared" ref="B6042:B6088" si="395">"1"</f>
        <v>1</v>
      </c>
      <c r="C6042" t="str">
        <f t="shared" ref="C6042:C6066" si="396">"329"</f>
        <v>329</v>
      </c>
      <c r="D6042" t="str">
        <f>"15"</f>
        <v>15</v>
      </c>
      <c r="E6042" t="str">
        <f>"1-329-15"</f>
        <v>1-329-15</v>
      </c>
      <c r="F6042" t="s">
        <v>15</v>
      </c>
      <c r="G6042" t="s">
        <v>16</v>
      </c>
      <c r="H6042" t="s">
        <v>17</v>
      </c>
      <c r="I6042">
        <v>0</v>
      </c>
      <c r="J6042">
        <v>1</v>
      </c>
      <c r="K6042">
        <v>0</v>
      </c>
    </row>
    <row r="6043" spans="1:11" x14ac:dyDescent="0.25">
      <c r="A6043" t="str">
        <f>"7596"</f>
        <v>7596</v>
      </c>
      <c r="B6043" t="str">
        <f t="shared" si="395"/>
        <v>1</v>
      </c>
      <c r="C6043" t="str">
        <f t="shared" si="396"/>
        <v>329</v>
      </c>
      <c r="D6043" t="str">
        <f>"6"</f>
        <v>6</v>
      </c>
      <c r="E6043" t="str">
        <f>"1-329-6"</f>
        <v>1-329-6</v>
      </c>
      <c r="F6043" t="s">
        <v>15</v>
      </c>
      <c r="G6043" t="s">
        <v>20</v>
      </c>
      <c r="H6043" t="s">
        <v>21</v>
      </c>
      <c r="I6043">
        <v>1</v>
      </c>
      <c r="J6043">
        <v>0</v>
      </c>
      <c r="K6043">
        <v>0</v>
      </c>
    </row>
    <row r="6044" spans="1:11" x14ac:dyDescent="0.25">
      <c r="A6044" t="str">
        <f>"7597"</f>
        <v>7597</v>
      </c>
      <c r="B6044" t="str">
        <f t="shared" si="395"/>
        <v>1</v>
      </c>
      <c r="C6044" t="str">
        <f t="shared" si="396"/>
        <v>329</v>
      </c>
      <c r="D6044" t="str">
        <f>"25"</f>
        <v>25</v>
      </c>
      <c r="E6044" t="str">
        <f>"1-329-25"</f>
        <v>1-329-25</v>
      </c>
      <c r="F6044" t="s">
        <v>15</v>
      </c>
      <c r="G6044" t="s">
        <v>18</v>
      </c>
      <c r="H6044" t="s">
        <v>19</v>
      </c>
      <c r="I6044">
        <v>1</v>
      </c>
      <c r="J6044">
        <v>0</v>
      </c>
      <c r="K6044">
        <v>0</v>
      </c>
    </row>
    <row r="6045" spans="1:11" x14ac:dyDescent="0.25">
      <c r="A6045" t="str">
        <f>"7598"</f>
        <v>7598</v>
      </c>
      <c r="B6045" t="str">
        <f t="shared" si="395"/>
        <v>1</v>
      </c>
      <c r="C6045" t="str">
        <f t="shared" si="396"/>
        <v>329</v>
      </c>
      <c r="D6045" t="str">
        <f>"16"</f>
        <v>16</v>
      </c>
      <c r="E6045" t="str">
        <f>"1-329-16"</f>
        <v>1-329-16</v>
      </c>
      <c r="F6045" t="s">
        <v>15</v>
      </c>
      <c r="G6045" t="s">
        <v>18</v>
      </c>
      <c r="H6045" t="s">
        <v>19</v>
      </c>
      <c r="I6045">
        <v>1</v>
      </c>
      <c r="J6045">
        <v>0</v>
      </c>
      <c r="K6045">
        <v>0</v>
      </c>
    </row>
    <row r="6046" spans="1:11" x14ac:dyDescent="0.25">
      <c r="A6046" t="str">
        <f>"7599"</f>
        <v>7599</v>
      </c>
      <c r="B6046" t="str">
        <f t="shared" si="395"/>
        <v>1</v>
      </c>
      <c r="C6046" t="str">
        <f t="shared" si="396"/>
        <v>329</v>
      </c>
      <c r="D6046" t="str">
        <f>"5"</f>
        <v>5</v>
      </c>
      <c r="E6046" t="str">
        <f>"1-329-5"</f>
        <v>1-329-5</v>
      </c>
      <c r="F6046" t="s">
        <v>15</v>
      </c>
      <c r="G6046" t="s">
        <v>20</v>
      </c>
      <c r="H6046" t="s">
        <v>21</v>
      </c>
      <c r="I6046">
        <v>1</v>
      </c>
      <c r="J6046">
        <v>0</v>
      </c>
      <c r="K6046">
        <v>0</v>
      </c>
    </row>
    <row r="6047" spans="1:11" x14ac:dyDescent="0.25">
      <c r="A6047" t="str">
        <f>"7600"</f>
        <v>7600</v>
      </c>
      <c r="B6047" t="str">
        <f t="shared" si="395"/>
        <v>1</v>
      </c>
      <c r="C6047" t="str">
        <f t="shared" si="396"/>
        <v>329</v>
      </c>
      <c r="D6047" t="str">
        <f>"17"</f>
        <v>17</v>
      </c>
      <c r="E6047" t="str">
        <f>"1-329-17"</f>
        <v>1-329-17</v>
      </c>
      <c r="F6047" t="s">
        <v>15</v>
      </c>
      <c r="G6047" t="s">
        <v>18</v>
      </c>
      <c r="H6047" t="s">
        <v>19</v>
      </c>
      <c r="I6047">
        <v>1</v>
      </c>
      <c r="J6047">
        <v>0</v>
      </c>
      <c r="K6047">
        <v>0</v>
      </c>
    </row>
    <row r="6048" spans="1:11" x14ac:dyDescent="0.25">
      <c r="A6048" t="str">
        <f>"7601"</f>
        <v>7601</v>
      </c>
      <c r="B6048" t="str">
        <f t="shared" si="395"/>
        <v>1</v>
      </c>
      <c r="C6048" t="str">
        <f t="shared" si="396"/>
        <v>329</v>
      </c>
      <c r="D6048" t="str">
        <f>"1"</f>
        <v>1</v>
      </c>
      <c r="E6048" t="str">
        <f>"1-329-1"</f>
        <v>1-329-1</v>
      </c>
      <c r="F6048" t="s">
        <v>15</v>
      </c>
      <c r="G6048" t="s">
        <v>16</v>
      </c>
      <c r="H6048" t="s">
        <v>17</v>
      </c>
      <c r="I6048">
        <v>0</v>
      </c>
      <c r="J6048">
        <v>0</v>
      </c>
      <c r="K6048">
        <v>1</v>
      </c>
    </row>
    <row r="6049" spans="1:11" x14ac:dyDescent="0.25">
      <c r="A6049" t="str">
        <f>"7602"</f>
        <v>7602</v>
      </c>
      <c r="B6049" t="str">
        <f t="shared" si="395"/>
        <v>1</v>
      </c>
      <c r="C6049" t="str">
        <f t="shared" si="396"/>
        <v>329</v>
      </c>
      <c r="D6049" t="str">
        <f>"18"</f>
        <v>18</v>
      </c>
      <c r="E6049" t="str">
        <f>"1-329-18"</f>
        <v>1-329-18</v>
      </c>
      <c r="F6049" t="s">
        <v>15</v>
      </c>
      <c r="G6049" t="s">
        <v>18</v>
      </c>
      <c r="H6049" t="s">
        <v>19</v>
      </c>
      <c r="I6049">
        <v>1</v>
      </c>
      <c r="J6049">
        <v>0</v>
      </c>
      <c r="K6049">
        <v>0</v>
      </c>
    </row>
    <row r="6050" spans="1:11" x14ac:dyDescent="0.25">
      <c r="A6050" t="str">
        <f>"7603"</f>
        <v>7603</v>
      </c>
      <c r="B6050" t="str">
        <f t="shared" si="395"/>
        <v>1</v>
      </c>
      <c r="C6050" t="str">
        <f t="shared" si="396"/>
        <v>329</v>
      </c>
      <c r="D6050" t="str">
        <f>"19"</f>
        <v>19</v>
      </c>
      <c r="E6050" t="str">
        <f>"1-329-19"</f>
        <v>1-329-19</v>
      </c>
      <c r="F6050" t="s">
        <v>15</v>
      </c>
      <c r="G6050" t="s">
        <v>16</v>
      </c>
      <c r="H6050" t="s">
        <v>17</v>
      </c>
      <c r="I6050">
        <v>1</v>
      </c>
      <c r="J6050">
        <v>0</v>
      </c>
      <c r="K6050">
        <v>0</v>
      </c>
    </row>
    <row r="6051" spans="1:11" x14ac:dyDescent="0.25">
      <c r="A6051" t="str">
        <f>"7604"</f>
        <v>7604</v>
      </c>
      <c r="B6051" t="str">
        <f t="shared" si="395"/>
        <v>1</v>
      </c>
      <c r="C6051" t="str">
        <f t="shared" si="396"/>
        <v>329</v>
      </c>
      <c r="D6051" t="str">
        <f>"20"</f>
        <v>20</v>
      </c>
      <c r="E6051" t="str">
        <f>"1-329-20"</f>
        <v>1-329-20</v>
      </c>
      <c r="F6051" t="s">
        <v>15</v>
      </c>
      <c r="G6051" t="s">
        <v>16</v>
      </c>
      <c r="H6051" t="s">
        <v>17</v>
      </c>
      <c r="I6051">
        <v>1</v>
      </c>
      <c r="J6051">
        <v>0</v>
      </c>
      <c r="K6051">
        <v>0</v>
      </c>
    </row>
    <row r="6052" spans="1:11" x14ac:dyDescent="0.25">
      <c r="A6052" t="str">
        <f>"7605"</f>
        <v>7605</v>
      </c>
      <c r="B6052" t="str">
        <f t="shared" si="395"/>
        <v>1</v>
      </c>
      <c r="C6052" t="str">
        <f t="shared" si="396"/>
        <v>329</v>
      </c>
      <c r="D6052" t="str">
        <f>"12"</f>
        <v>12</v>
      </c>
      <c r="E6052" t="str">
        <f>"1-329-12"</f>
        <v>1-329-12</v>
      </c>
      <c r="F6052" t="s">
        <v>15</v>
      </c>
      <c r="G6052" t="s">
        <v>18</v>
      </c>
      <c r="H6052" t="s">
        <v>19</v>
      </c>
      <c r="I6052">
        <v>1</v>
      </c>
      <c r="J6052">
        <v>0</v>
      </c>
      <c r="K6052">
        <v>0</v>
      </c>
    </row>
    <row r="6053" spans="1:11" x14ac:dyDescent="0.25">
      <c r="A6053" t="str">
        <f>"7606"</f>
        <v>7606</v>
      </c>
      <c r="B6053" t="str">
        <f t="shared" si="395"/>
        <v>1</v>
      </c>
      <c r="C6053" t="str">
        <f t="shared" si="396"/>
        <v>329</v>
      </c>
      <c r="D6053" t="str">
        <f>"21"</f>
        <v>21</v>
      </c>
      <c r="E6053" t="str">
        <f>"1-329-21"</f>
        <v>1-329-21</v>
      </c>
      <c r="F6053" t="s">
        <v>15</v>
      </c>
      <c r="G6053" t="s">
        <v>20</v>
      </c>
      <c r="H6053" t="s">
        <v>21</v>
      </c>
      <c r="I6053">
        <v>0</v>
      </c>
      <c r="J6053">
        <v>0</v>
      </c>
      <c r="K6053">
        <v>1</v>
      </c>
    </row>
    <row r="6054" spans="1:11" x14ac:dyDescent="0.25">
      <c r="A6054" t="str">
        <f>"7607"</f>
        <v>7607</v>
      </c>
      <c r="B6054" t="str">
        <f t="shared" si="395"/>
        <v>1</v>
      </c>
      <c r="C6054" t="str">
        <f t="shared" si="396"/>
        <v>329</v>
      </c>
      <c r="D6054" t="str">
        <f>"4"</f>
        <v>4</v>
      </c>
      <c r="E6054" t="str">
        <f>"1-329-4"</f>
        <v>1-329-4</v>
      </c>
      <c r="F6054" t="s">
        <v>15</v>
      </c>
      <c r="G6054" t="s">
        <v>18</v>
      </c>
      <c r="H6054" t="s">
        <v>19</v>
      </c>
      <c r="I6054">
        <v>1</v>
      </c>
      <c r="J6054">
        <v>0</v>
      </c>
      <c r="K6054">
        <v>0</v>
      </c>
    </row>
    <row r="6055" spans="1:11" x14ac:dyDescent="0.25">
      <c r="A6055" t="str">
        <f>"7608"</f>
        <v>7608</v>
      </c>
      <c r="B6055" t="str">
        <f t="shared" si="395"/>
        <v>1</v>
      </c>
      <c r="C6055" t="str">
        <f t="shared" si="396"/>
        <v>329</v>
      </c>
      <c r="D6055" t="str">
        <f>"22"</f>
        <v>22</v>
      </c>
      <c r="E6055" t="str">
        <f>"1-329-22"</f>
        <v>1-329-22</v>
      </c>
      <c r="F6055" t="s">
        <v>15</v>
      </c>
      <c r="G6055" t="s">
        <v>16</v>
      </c>
      <c r="H6055" t="s">
        <v>17</v>
      </c>
      <c r="I6055">
        <v>1</v>
      </c>
      <c r="J6055">
        <v>0</v>
      </c>
      <c r="K6055">
        <v>0</v>
      </c>
    </row>
    <row r="6056" spans="1:11" x14ac:dyDescent="0.25">
      <c r="A6056" t="str">
        <f>"7609"</f>
        <v>7609</v>
      </c>
      <c r="B6056" t="str">
        <f t="shared" si="395"/>
        <v>1</v>
      </c>
      <c r="C6056" t="str">
        <f t="shared" si="396"/>
        <v>329</v>
      </c>
      <c r="D6056" t="str">
        <f>"8"</f>
        <v>8</v>
      </c>
      <c r="E6056" t="str">
        <f>"1-329-8"</f>
        <v>1-329-8</v>
      </c>
      <c r="F6056" t="s">
        <v>15</v>
      </c>
      <c r="G6056" t="s">
        <v>16</v>
      </c>
      <c r="H6056" t="s">
        <v>17</v>
      </c>
      <c r="I6056">
        <v>1</v>
      </c>
      <c r="J6056">
        <v>0</v>
      </c>
      <c r="K6056">
        <v>0</v>
      </c>
    </row>
    <row r="6057" spans="1:11" x14ac:dyDescent="0.25">
      <c r="A6057" t="str">
        <f>"7610"</f>
        <v>7610</v>
      </c>
      <c r="B6057" t="str">
        <f t="shared" si="395"/>
        <v>1</v>
      </c>
      <c r="C6057" t="str">
        <f t="shared" si="396"/>
        <v>329</v>
      </c>
      <c r="D6057" t="str">
        <f>"23"</f>
        <v>23</v>
      </c>
      <c r="E6057" t="str">
        <f>"1-329-23"</f>
        <v>1-329-23</v>
      </c>
      <c r="F6057" t="s">
        <v>15</v>
      </c>
      <c r="G6057" t="s">
        <v>16</v>
      </c>
      <c r="H6057" t="s">
        <v>17</v>
      </c>
      <c r="I6057">
        <v>1</v>
      </c>
      <c r="J6057">
        <v>0</v>
      </c>
      <c r="K6057">
        <v>0</v>
      </c>
    </row>
    <row r="6058" spans="1:11" x14ac:dyDescent="0.25">
      <c r="A6058" t="str">
        <f>"7611"</f>
        <v>7611</v>
      </c>
      <c r="B6058" t="str">
        <f t="shared" si="395"/>
        <v>1</v>
      </c>
      <c r="C6058" t="str">
        <f t="shared" si="396"/>
        <v>329</v>
      </c>
      <c r="D6058" t="str">
        <f>"2"</f>
        <v>2</v>
      </c>
      <c r="E6058" t="str">
        <f>"1-329-2"</f>
        <v>1-329-2</v>
      </c>
      <c r="F6058" t="s">
        <v>15</v>
      </c>
      <c r="G6058" t="s">
        <v>18</v>
      </c>
      <c r="H6058" t="s">
        <v>19</v>
      </c>
      <c r="I6058">
        <v>1</v>
      </c>
      <c r="J6058">
        <v>0</v>
      </c>
      <c r="K6058">
        <v>0</v>
      </c>
    </row>
    <row r="6059" spans="1:11" x14ac:dyDescent="0.25">
      <c r="A6059" t="str">
        <f>"7612"</f>
        <v>7612</v>
      </c>
      <c r="B6059" t="str">
        <f t="shared" si="395"/>
        <v>1</v>
      </c>
      <c r="C6059" t="str">
        <f t="shared" si="396"/>
        <v>329</v>
      </c>
      <c r="D6059" t="str">
        <f>"24"</f>
        <v>24</v>
      </c>
      <c r="E6059" t="str">
        <f>"1-329-24"</f>
        <v>1-329-24</v>
      </c>
      <c r="F6059" t="s">
        <v>15</v>
      </c>
      <c r="G6059" t="s">
        <v>18</v>
      </c>
      <c r="H6059" t="s">
        <v>19</v>
      </c>
      <c r="I6059">
        <v>1</v>
      </c>
      <c r="J6059">
        <v>0</v>
      </c>
      <c r="K6059">
        <v>0</v>
      </c>
    </row>
    <row r="6060" spans="1:11" x14ac:dyDescent="0.25">
      <c r="A6060" t="str">
        <f>"7613"</f>
        <v>7613</v>
      </c>
      <c r="B6060" t="str">
        <f t="shared" si="395"/>
        <v>1</v>
      </c>
      <c r="C6060" t="str">
        <f t="shared" si="396"/>
        <v>329</v>
      </c>
      <c r="D6060" t="str">
        <f>"3"</f>
        <v>3</v>
      </c>
      <c r="E6060" t="str">
        <f>"1-329-3"</f>
        <v>1-329-3</v>
      </c>
      <c r="F6060" t="s">
        <v>15</v>
      </c>
      <c r="G6060" t="s">
        <v>16</v>
      </c>
      <c r="H6060" t="s">
        <v>17</v>
      </c>
      <c r="I6060">
        <v>1</v>
      </c>
      <c r="J6060">
        <v>0</v>
      </c>
      <c r="K6060">
        <v>0</v>
      </c>
    </row>
    <row r="6061" spans="1:11" x14ac:dyDescent="0.25">
      <c r="A6061" t="str">
        <f>"7614"</f>
        <v>7614</v>
      </c>
      <c r="B6061" t="str">
        <f t="shared" si="395"/>
        <v>1</v>
      </c>
      <c r="C6061" t="str">
        <f t="shared" si="396"/>
        <v>329</v>
      </c>
      <c r="D6061" t="str">
        <f>"11"</f>
        <v>11</v>
      </c>
      <c r="E6061" t="str">
        <f>"1-329-11"</f>
        <v>1-329-11</v>
      </c>
      <c r="F6061" t="s">
        <v>15</v>
      </c>
      <c r="G6061" t="s">
        <v>16</v>
      </c>
      <c r="H6061" t="s">
        <v>17</v>
      </c>
      <c r="I6061">
        <v>1</v>
      </c>
      <c r="J6061">
        <v>0</v>
      </c>
      <c r="K6061">
        <v>0</v>
      </c>
    </row>
    <row r="6062" spans="1:11" x14ac:dyDescent="0.25">
      <c r="A6062" t="str">
        <f>"7615"</f>
        <v>7615</v>
      </c>
      <c r="B6062" t="str">
        <f t="shared" si="395"/>
        <v>1</v>
      </c>
      <c r="C6062" t="str">
        <f t="shared" si="396"/>
        <v>329</v>
      </c>
      <c r="D6062" t="str">
        <f>"10"</f>
        <v>10</v>
      </c>
      <c r="E6062" t="str">
        <f>"1-329-10"</f>
        <v>1-329-10</v>
      </c>
      <c r="F6062" t="s">
        <v>15</v>
      </c>
      <c r="G6062" t="s">
        <v>16</v>
      </c>
      <c r="H6062" t="s">
        <v>17</v>
      </c>
      <c r="I6062">
        <v>1</v>
      </c>
      <c r="J6062">
        <v>0</v>
      </c>
      <c r="K6062">
        <v>0</v>
      </c>
    </row>
    <row r="6063" spans="1:11" x14ac:dyDescent="0.25">
      <c r="A6063" t="str">
        <f>"7616"</f>
        <v>7616</v>
      </c>
      <c r="B6063" t="str">
        <f t="shared" si="395"/>
        <v>1</v>
      </c>
      <c r="C6063" t="str">
        <f t="shared" si="396"/>
        <v>329</v>
      </c>
      <c r="D6063" t="str">
        <f>"7"</f>
        <v>7</v>
      </c>
      <c r="E6063" t="str">
        <f>"1-329-7"</f>
        <v>1-329-7</v>
      </c>
      <c r="F6063" t="s">
        <v>15</v>
      </c>
      <c r="G6063" t="s">
        <v>16</v>
      </c>
      <c r="H6063" t="s">
        <v>17</v>
      </c>
      <c r="I6063">
        <v>0</v>
      </c>
      <c r="J6063">
        <v>1</v>
      </c>
      <c r="K6063">
        <v>0</v>
      </c>
    </row>
    <row r="6064" spans="1:11" x14ac:dyDescent="0.25">
      <c r="A6064" t="str">
        <f>"7617"</f>
        <v>7617</v>
      </c>
      <c r="B6064" t="str">
        <f t="shared" si="395"/>
        <v>1</v>
      </c>
      <c r="C6064" t="str">
        <f t="shared" si="396"/>
        <v>329</v>
      </c>
      <c r="D6064" t="str">
        <f>"9"</f>
        <v>9</v>
      </c>
      <c r="E6064" t="str">
        <f>"1-329-9"</f>
        <v>1-329-9</v>
      </c>
      <c r="F6064" t="s">
        <v>15</v>
      </c>
      <c r="G6064" t="s">
        <v>16</v>
      </c>
      <c r="H6064" t="s">
        <v>17</v>
      </c>
      <c r="I6064">
        <v>1</v>
      </c>
      <c r="J6064">
        <v>0</v>
      </c>
      <c r="K6064">
        <v>0</v>
      </c>
    </row>
    <row r="6065" spans="1:11" x14ac:dyDescent="0.25">
      <c r="A6065" t="str">
        <f>"7618"</f>
        <v>7618</v>
      </c>
      <c r="B6065" t="str">
        <f t="shared" si="395"/>
        <v>1</v>
      </c>
      <c r="C6065" t="str">
        <f t="shared" si="396"/>
        <v>329</v>
      </c>
      <c r="D6065" t="str">
        <f>"13"</f>
        <v>13</v>
      </c>
      <c r="E6065" t="str">
        <f>"1-329-13"</f>
        <v>1-329-13</v>
      </c>
      <c r="F6065" t="s">
        <v>15</v>
      </c>
      <c r="G6065" t="s">
        <v>16</v>
      </c>
      <c r="H6065" t="s">
        <v>17</v>
      </c>
      <c r="I6065">
        <v>0</v>
      </c>
      <c r="J6065">
        <v>0</v>
      </c>
      <c r="K6065">
        <v>0</v>
      </c>
    </row>
    <row r="6066" spans="1:11" x14ac:dyDescent="0.25">
      <c r="A6066" t="str">
        <f>"7619"</f>
        <v>7619</v>
      </c>
      <c r="B6066" t="str">
        <f t="shared" si="395"/>
        <v>1</v>
      </c>
      <c r="C6066" t="str">
        <f t="shared" si="396"/>
        <v>329</v>
      </c>
      <c r="D6066" t="str">
        <f>"14"</f>
        <v>14</v>
      </c>
      <c r="E6066" t="str">
        <f>"1-329-14"</f>
        <v>1-329-14</v>
      </c>
      <c r="F6066" t="s">
        <v>15</v>
      </c>
      <c r="G6066" t="s">
        <v>16</v>
      </c>
      <c r="H6066" t="s">
        <v>17</v>
      </c>
      <c r="I6066">
        <v>0</v>
      </c>
      <c r="J6066">
        <v>0</v>
      </c>
      <c r="K6066">
        <v>0</v>
      </c>
    </row>
    <row r="6067" spans="1:11" x14ac:dyDescent="0.25">
      <c r="A6067" t="str">
        <f>"7620"</f>
        <v>7620</v>
      </c>
      <c r="B6067" t="str">
        <f t="shared" si="395"/>
        <v>1</v>
      </c>
      <c r="C6067" t="str">
        <f t="shared" ref="C6067:C6085" si="397">"330"</f>
        <v>330</v>
      </c>
      <c r="D6067" t="str">
        <f>"15"</f>
        <v>15</v>
      </c>
      <c r="E6067" t="str">
        <f>"1-330-15"</f>
        <v>1-330-15</v>
      </c>
      <c r="F6067" t="s">
        <v>15</v>
      </c>
      <c r="G6067" t="s">
        <v>20</v>
      </c>
      <c r="H6067" t="s">
        <v>21</v>
      </c>
      <c r="I6067">
        <v>0</v>
      </c>
      <c r="J6067">
        <v>1</v>
      </c>
      <c r="K6067">
        <v>0</v>
      </c>
    </row>
    <row r="6068" spans="1:11" x14ac:dyDescent="0.25">
      <c r="A6068" t="str">
        <f>"7621"</f>
        <v>7621</v>
      </c>
      <c r="B6068" t="str">
        <f t="shared" si="395"/>
        <v>1</v>
      </c>
      <c r="C6068" t="str">
        <f t="shared" si="397"/>
        <v>330</v>
      </c>
      <c r="D6068" t="str">
        <f>"6"</f>
        <v>6</v>
      </c>
      <c r="E6068" t="str">
        <f>"1-330-6"</f>
        <v>1-330-6</v>
      </c>
      <c r="F6068" t="s">
        <v>15</v>
      </c>
      <c r="G6068" t="s">
        <v>20</v>
      </c>
      <c r="H6068" t="s">
        <v>21</v>
      </c>
      <c r="I6068">
        <v>0</v>
      </c>
      <c r="J6068">
        <v>0</v>
      </c>
      <c r="K6068">
        <v>1</v>
      </c>
    </row>
    <row r="6069" spans="1:11" x14ac:dyDescent="0.25">
      <c r="A6069" t="str">
        <f>"7622"</f>
        <v>7622</v>
      </c>
      <c r="B6069" t="str">
        <f t="shared" si="395"/>
        <v>1</v>
      </c>
      <c r="C6069" t="str">
        <f t="shared" si="397"/>
        <v>330</v>
      </c>
      <c r="D6069" t="str">
        <f>"16"</f>
        <v>16</v>
      </c>
      <c r="E6069" t="str">
        <f>"1-330-16"</f>
        <v>1-330-16</v>
      </c>
      <c r="F6069" t="s">
        <v>15</v>
      </c>
      <c r="G6069" t="s">
        <v>20</v>
      </c>
      <c r="H6069" t="s">
        <v>21</v>
      </c>
      <c r="I6069">
        <v>1</v>
      </c>
      <c r="J6069">
        <v>0</v>
      </c>
      <c r="K6069">
        <v>0</v>
      </c>
    </row>
    <row r="6070" spans="1:11" x14ac:dyDescent="0.25">
      <c r="A6070" t="str">
        <f>"7623"</f>
        <v>7623</v>
      </c>
      <c r="B6070" t="str">
        <f t="shared" si="395"/>
        <v>1</v>
      </c>
      <c r="C6070" t="str">
        <f t="shared" si="397"/>
        <v>330</v>
      </c>
      <c r="D6070" t="str">
        <f>"2"</f>
        <v>2</v>
      </c>
      <c r="E6070" t="str">
        <f>"1-330-2"</f>
        <v>1-330-2</v>
      </c>
      <c r="F6070" t="s">
        <v>15</v>
      </c>
      <c r="G6070" t="s">
        <v>20</v>
      </c>
      <c r="H6070" t="s">
        <v>21</v>
      </c>
      <c r="I6070">
        <v>0</v>
      </c>
      <c r="J6070">
        <v>0</v>
      </c>
      <c r="K6070">
        <v>1</v>
      </c>
    </row>
    <row r="6071" spans="1:11" x14ac:dyDescent="0.25">
      <c r="A6071" t="str">
        <f>"7624"</f>
        <v>7624</v>
      </c>
      <c r="B6071" t="str">
        <f t="shared" si="395"/>
        <v>1</v>
      </c>
      <c r="C6071" t="str">
        <f t="shared" si="397"/>
        <v>330</v>
      </c>
      <c r="D6071" t="str">
        <f>"17"</f>
        <v>17</v>
      </c>
      <c r="E6071" t="str">
        <f>"1-330-17"</f>
        <v>1-330-17</v>
      </c>
      <c r="F6071" t="s">
        <v>15</v>
      </c>
      <c r="G6071" t="s">
        <v>20</v>
      </c>
      <c r="H6071" t="s">
        <v>21</v>
      </c>
      <c r="I6071">
        <v>1</v>
      </c>
      <c r="J6071">
        <v>0</v>
      </c>
      <c r="K6071">
        <v>0</v>
      </c>
    </row>
    <row r="6072" spans="1:11" x14ac:dyDescent="0.25">
      <c r="A6072" t="str">
        <f>"7625"</f>
        <v>7625</v>
      </c>
      <c r="B6072" t="str">
        <f t="shared" si="395"/>
        <v>1</v>
      </c>
      <c r="C6072" t="str">
        <f t="shared" si="397"/>
        <v>330</v>
      </c>
      <c r="D6072" t="str">
        <f>"1"</f>
        <v>1</v>
      </c>
      <c r="E6072" t="str">
        <f>"1-330-1"</f>
        <v>1-330-1</v>
      </c>
      <c r="F6072" t="s">
        <v>15</v>
      </c>
      <c r="G6072" t="s">
        <v>20</v>
      </c>
      <c r="H6072" t="s">
        <v>21</v>
      </c>
      <c r="I6072">
        <v>1</v>
      </c>
      <c r="J6072">
        <v>0</v>
      </c>
      <c r="K6072">
        <v>0</v>
      </c>
    </row>
    <row r="6073" spans="1:11" x14ac:dyDescent="0.25">
      <c r="A6073" t="str">
        <f>"7626"</f>
        <v>7626</v>
      </c>
      <c r="B6073" t="str">
        <f t="shared" si="395"/>
        <v>1</v>
      </c>
      <c r="C6073" t="str">
        <f t="shared" si="397"/>
        <v>330</v>
      </c>
      <c r="D6073" t="str">
        <f>"18"</f>
        <v>18</v>
      </c>
      <c r="E6073" t="str">
        <f>"1-330-18"</f>
        <v>1-330-18</v>
      </c>
      <c r="F6073" t="s">
        <v>15</v>
      </c>
      <c r="G6073" t="s">
        <v>20</v>
      </c>
      <c r="H6073" t="s">
        <v>21</v>
      </c>
      <c r="I6073">
        <v>1</v>
      </c>
      <c r="J6073">
        <v>0</v>
      </c>
      <c r="K6073">
        <v>0</v>
      </c>
    </row>
    <row r="6074" spans="1:11" x14ac:dyDescent="0.25">
      <c r="A6074" t="str">
        <f>"7627"</f>
        <v>7627</v>
      </c>
      <c r="B6074" t="str">
        <f t="shared" si="395"/>
        <v>1</v>
      </c>
      <c r="C6074" t="str">
        <f t="shared" si="397"/>
        <v>330</v>
      </c>
      <c r="D6074" t="str">
        <f>"7"</f>
        <v>7</v>
      </c>
      <c r="E6074" t="str">
        <f>"1-330-7"</f>
        <v>1-330-7</v>
      </c>
      <c r="F6074" t="s">
        <v>15</v>
      </c>
      <c r="G6074" t="s">
        <v>20</v>
      </c>
      <c r="H6074" t="s">
        <v>21</v>
      </c>
      <c r="I6074">
        <v>0</v>
      </c>
      <c r="J6074">
        <v>0</v>
      </c>
      <c r="K6074">
        <v>1</v>
      </c>
    </row>
    <row r="6075" spans="1:11" x14ac:dyDescent="0.25">
      <c r="A6075" t="str">
        <f>"7628"</f>
        <v>7628</v>
      </c>
      <c r="B6075" t="str">
        <f t="shared" si="395"/>
        <v>1</v>
      </c>
      <c r="C6075" t="str">
        <f t="shared" si="397"/>
        <v>330</v>
      </c>
      <c r="D6075" t="str">
        <f>"19"</f>
        <v>19</v>
      </c>
      <c r="E6075" t="str">
        <f>"1-330-19"</f>
        <v>1-330-19</v>
      </c>
      <c r="F6075" t="s">
        <v>15</v>
      </c>
      <c r="G6075" t="s">
        <v>20</v>
      </c>
      <c r="H6075" t="s">
        <v>21</v>
      </c>
      <c r="I6075">
        <v>1</v>
      </c>
      <c r="J6075">
        <v>0</v>
      </c>
      <c r="K6075">
        <v>0</v>
      </c>
    </row>
    <row r="6076" spans="1:11" x14ac:dyDescent="0.25">
      <c r="A6076" t="str">
        <f>"7629"</f>
        <v>7629</v>
      </c>
      <c r="B6076" t="str">
        <f t="shared" si="395"/>
        <v>1</v>
      </c>
      <c r="C6076" t="str">
        <f t="shared" si="397"/>
        <v>330</v>
      </c>
      <c r="D6076" t="str">
        <f>"13"</f>
        <v>13</v>
      </c>
      <c r="E6076" t="str">
        <f>"1-330-13"</f>
        <v>1-330-13</v>
      </c>
      <c r="F6076" t="s">
        <v>15</v>
      </c>
      <c r="G6076" t="s">
        <v>20</v>
      </c>
      <c r="H6076" t="s">
        <v>21</v>
      </c>
      <c r="I6076">
        <v>1</v>
      </c>
      <c r="J6076">
        <v>0</v>
      </c>
      <c r="K6076">
        <v>0</v>
      </c>
    </row>
    <row r="6077" spans="1:11" x14ac:dyDescent="0.25">
      <c r="A6077" t="str">
        <f>"7630"</f>
        <v>7630</v>
      </c>
      <c r="B6077" t="str">
        <f t="shared" si="395"/>
        <v>1</v>
      </c>
      <c r="C6077" t="str">
        <f t="shared" si="397"/>
        <v>330</v>
      </c>
      <c r="D6077" t="str">
        <f>"5"</f>
        <v>5</v>
      </c>
      <c r="E6077" t="str">
        <f>"1-330-5"</f>
        <v>1-330-5</v>
      </c>
      <c r="F6077" t="s">
        <v>15</v>
      </c>
      <c r="G6077" t="s">
        <v>20</v>
      </c>
      <c r="H6077" t="s">
        <v>21</v>
      </c>
      <c r="I6077">
        <v>0</v>
      </c>
      <c r="J6077">
        <v>0</v>
      </c>
      <c r="K6077">
        <v>1</v>
      </c>
    </row>
    <row r="6078" spans="1:11" x14ac:dyDescent="0.25">
      <c r="A6078" t="str">
        <f>"7631"</f>
        <v>7631</v>
      </c>
      <c r="B6078" t="str">
        <f t="shared" si="395"/>
        <v>1</v>
      </c>
      <c r="C6078" t="str">
        <f t="shared" si="397"/>
        <v>330</v>
      </c>
      <c r="D6078" t="str">
        <f>"14"</f>
        <v>14</v>
      </c>
      <c r="E6078" t="str">
        <f>"1-330-14"</f>
        <v>1-330-14</v>
      </c>
      <c r="F6078" t="s">
        <v>15</v>
      </c>
      <c r="G6078" t="s">
        <v>20</v>
      </c>
      <c r="H6078" t="s">
        <v>21</v>
      </c>
      <c r="I6078">
        <v>0</v>
      </c>
      <c r="J6078">
        <v>1</v>
      </c>
      <c r="K6078">
        <v>0</v>
      </c>
    </row>
    <row r="6079" spans="1:11" x14ac:dyDescent="0.25">
      <c r="A6079" t="str">
        <f>"7632"</f>
        <v>7632</v>
      </c>
      <c r="B6079" t="str">
        <f t="shared" si="395"/>
        <v>1</v>
      </c>
      <c r="C6079" t="str">
        <f t="shared" si="397"/>
        <v>330</v>
      </c>
      <c r="D6079" t="str">
        <f>"12"</f>
        <v>12</v>
      </c>
      <c r="E6079" t="str">
        <f>"1-330-12"</f>
        <v>1-330-12</v>
      </c>
      <c r="F6079" t="s">
        <v>15</v>
      </c>
      <c r="G6079" t="s">
        <v>20</v>
      </c>
      <c r="H6079" t="s">
        <v>21</v>
      </c>
      <c r="I6079">
        <v>1</v>
      </c>
      <c r="J6079">
        <v>0</v>
      </c>
      <c r="K6079">
        <v>0</v>
      </c>
    </row>
    <row r="6080" spans="1:11" x14ac:dyDescent="0.25">
      <c r="A6080" t="str">
        <f>"7633"</f>
        <v>7633</v>
      </c>
      <c r="B6080" t="str">
        <f t="shared" si="395"/>
        <v>1</v>
      </c>
      <c r="C6080" t="str">
        <f t="shared" si="397"/>
        <v>330</v>
      </c>
      <c r="D6080" t="str">
        <f>"9"</f>
        <v>9</v>
      </c>
      <c r="E6080" t="str">
        <f>"1-330-9"</f>
        <v>1-330-9</v>
      </c>
      <c r="F6080" t="s">
        <v>15</v>
      </c>
      <c r="G6080" t="s">
        <v>20</v>
      </c>
      <c r="H6080" t="s">
        <v>21</v>
      </c>
      <c r="I6080">
        <v>0</v>
      </c>
      <c r="J6080">
        <v>0</v>
      </c>
      <c r="K6080">
        <v>1</v>
      </c>
    </row>
    <row r="6081" spans="1:11" x14ac:dyDescent="0.25">
      <c r="A6081" t="str">
        <f>"7634"</f>
        <v>7634</v>
      </c>
      <c r="B6081" t="str">
        <f t="shared" si="395"/>
        <v>1</v>
      </c>
      <c r="C6081" t="str">
        <f t="shared" si="397"/>
        <v>330</v>
      </c>
      <c r="D6081" t="str">
        <f>"10"</f>
        <v>10</v>
      </c>
      <c r="E6081" t="str">
        <f>"1-330-10"</f>
        <v>1-330-10</v>
      </c>
      <c r="F6081" t="s">
        <v>15</v>
      </c>
      <c r="G6081" t="s">
        <v>20</v>
      </c>
      <c r="H6081" t="s">
        <v>21</v>
      </c>
      <c r="I6081">
        <v>0</v>
      </c>
      <c r="J6081">
        <v>1</v>
      </c>
      <c r="K6081">
        <v>0</v>
      </c>
    </row>
    <row r="6082" spans="1:11" x14ac:dyDescent="0.25">
      <c r="A6082" t="str">
        <f>"7635"</f>
        <v>7635</v>
      </c>
      <c r="B6082" t="str">
        <f t="shared" si="395"/>
        <v>1</v>
      </c>
      <c r="C6082" t="str">
        <f t="shared" si="397"/>
        <v>330</v>
      </c>
      <c r="D6082" t="str">
        <f>"4"</f>
        <v>4</v>
      </c>
      <c r="E6082" t="str">
        <f>"1-330-4"</f>
        <v>1-330-4</v>
      </c>
      <c r="F6082" t="s">
        <v>15</v>
      </c>
      <c r="G6082" t="s">
        <v>20</v>
      </c>
      <c r="H6082" t="s">
        <v>21</v>
      </c>
      <c r="I6082">
        <v>0</v>
      </c>
      <c r="J6082">
        <v>1</v>
      </c>
      <c r="K6082">
        <v>0</v>
      </c>
    </row>
    <row r="6083" spans="1:11" x14ac:dyDescent="0.25">
      <c r="A6083" t="str">
        <f>"7636"</f>
        <v>7636</v>
      </c>
      <c r="B6083" t="str">
        <f t="shared" si="395"/>
        <v>1</v>
      </c>
      <c r="C6083" t="str">
        <f t="shared" si="397"/>
        <v>330</v>
      </c>
      <c r="D6083" t="str">
        <f>"8"</f>
        <v>8</v>
      </c>
      <c r="E6083" t="str">
        <f>"1-330-8"</f>
        <v>1-330-8</v>
      </c>
      <c r="F6083" t="s">
        <v>15</v>
      </c>
      <c r="G6083" t="s">
        <v>20</v>
      </c>
      <c r="H6083" t="s">
        <v>21</v>
      </c>
      <c r="I6083">
        <v>0</v>
      </c>
      <c r="J6083">
        <v>0</v>
      </c>
      <c r="K6083">
        <v>1</v>
      </c>
    </row>
    <row r="6084" spans="1:11" x14ac:dyDescent="0.25">
      <c r="A6084" t="str">
        <f>"7637"</f>
        <v>7637</v>
      </c>
      <c r="B6084" t="str">
        <f t="shared" si="395"/>
        <v>1</v>
      </c>
      <c r="C6084" t="str">
        <f t="shared" si="397"/>
        <v>330</v>
      </c>
      <c r="D6084" t="str">
        <f>"3"</f>
        <v>3</v>
      </c>
      <c r="E6084" t="str">
        <f>"1-330-3"</f>
        <v>1-330-3</v>
      </c>
      <c r="F6084" t="s">
        <v>15</v>
      </c>
      <c r="G6084" t="s">
        <v>20</v>
      </c>
      <c r="H6084" t="s">
        <v>21</v>
      </c>
      <c r="I6084">
        <v>1</v>
      </c>
      <c r="J6084">
        <v>0</v>
      </c>
      <c r="K6084">
        <v>0</v>
      </c>
    </row>
    <row r="6085" spans="1:11" x14ac:dyDescent="0.25">
      <c r="A6085" t="str">
        <f>"7638"</f>
        <v>7638</v>
      </c>
      <c r="B6085" t="str">
        <f t="shared" si="395"/>
        <v>1</v>
      </c>
      <c r="C6085" t="str">
        <f t="shared" si="397"/>
        <v>330</v>
      </c>
      <c r="D6085" t="str">
        <f>"11"</f>
        <v>11</v>
      </c>
      <c r="E6085" t="str">
        <f>"1-330-11"</f>
        <v>1-330-11</v>
      </c>
      <c r="F6085" t="s">
        <v>15</v>
      </c>
      <c r="G6085" t="s">
        <v>20</v>
      </c>
      <c r="H6085" t="s">
        <v>21</v>
      </c>
      <c r="I6085">
        <v>1</v>
      </c>
      <c r="J6085">
        <v>0</v>
      </c>
      <c r="K6085">
        <v>0</v>
      </c>
    </row>
    <row r="6086" spans="1:11" x14ac:dyDescent="0.25">
      <c r="A6086" t="str">
        <f>"7639"</f>
        <v>7639</v>
      </c>
      <c r="B6086" t="str">
        <f t="shared" si="395"/>
        <v>1</v>
      </c>
      <c r="C6086" t="str">
        <f t="shared" ref="C6086:C6110" si="398">"331"</f>
        <v>331</v>
      </c>
      <c r="D6086" t="str">
        <f>"15"</f>
        <v>15</v>
      </c>
      <c r="E6086" t="str">
        <f>"1-331-15"</f>
        <v>1-331-15</v>
      </c>
      <c r="F6086" t="s">
        <v>15</v>
      </c>
      <c r="G6086" t="s">
        <v>20</v>
      </c>
      <c r="H6086" t="s">
        <v>21</v>
      </c>
      <c r="I6086">
        <v>1</v>
      </c>
      <c r="J6086">
        <v>0</v>
      </c>
      <c r="K6086">
        <v>0</v>
      </c>
    </row>
    <row r="6087" spans="1:11" x14ac:dyDescent="0.25">
      <c r="A6087" t="str">
        <f>"7640"</f>
        <v>7640</v>
      </c>
      <c r="B6087" t="str">
        <f t="shared" si="395"/>
        <v>1</v>
      </c>
      <c r="C6087" t="str">
        <f t="shared" si="398"/>
        <v>331</v>
      </c>
      <c r="D6087" t="str">
        <f>"5"</f>
        <v>5</v>
      </c>
      <c r="E6087" t="str">
        <f>"1-331-5"</f>
        <v>1-331-5</v>
      </c>
      <c r="F6087" t="s">
        <v>15</v>
      </c>
      <c r="G6087" t="s">
        <v>20</v>
      </c>
      <c r="H6087" t="s">
        <v>21</v>
      </c>
      <c r="I6087">
        <v>1</v>
      </c>
      <c r="J6087">
        <v>0</v>
      </c>
      <c r="K6087">
        <v>0</v>
      </c>
    </row>
    <row r="6088" spans="1:11" x14ac:dyDescent="0.25">
      <c r="A6088" t="str">
        <f>"7641"</f>
        <v>7641</v>
      </c>
      <c r="B6088" t="str">
        <f t="shared" si="395"/>
        <v>1</v>
      </c>
      <c r="C6088" t="str">
        <f t="shared" si="398"/>
        <v>331</v>
      </c>
      <c r="D6088" t="str">
        <f>"24"</f>
        <v>24</v>
      </c>
      <c r="E6088" t="str">
        <f>"1-331-24"</f>
        <v>1-331-24</v>
      </c>
      <c r="F6088" t="s">
        <v>15</v>
      </c>
      <c r="G6088" t="s">
        <v>20</v>
      </c>
      <c r="H6088" t="s">
        <v>21</v>
      </c>
      <c r="I6088">
        <v>1</v>
      </c>
      <c r="J6088">
        <v>0</v>
      </c>
      <c r="K6088">
        <v>0</v>
      </c>
    </row>
    <row r="6089" spans="1:11" x14ac:dyDescent="0.25">
      <c r="A6089" t="str">
        <f>"7642"</f>
        <v>7642</v>
      </c>
      <c r="B6089" t="str">
        <f t="shared" ref="B6089:B6147" si="399">"1"</f>
        <v>1</v>
      </c>
      <c r="C6089" t="str">
        <f t="shared" si="398"/>
        <v>331</v>
      </c>
      <c r="D6089" t="str">
        <f>"16"</f>
        <v>16</v>
      </c>
      <c r="E6089" t="str">
        <f>"1-331-16"</f>
        <v>1-331-16</v>
      </c>
      <c r="F6089" t="s">
        <v>15</v>
      </c>
      <c r="G6089" t="s">
        <v>20</v>
      </c>
      <c r="H6089" t="s">
        <v>21</v>
      </c>
      <c r="I6089">
        <v>1</v>
      </c>
      <c r="J6089">
        <v>0</v>
      </c>
      <c r="K6089">
        <v>0</v>
      </c>
    </row>
    <row r="6090" spans="1:11" x14ac:dyDescent="0.25">
      <c r="A6090" t="str">
        <f>"7643"</f>
        <v>7643</v>
      </c>
      <c r="B6090" t="str">
        <f t="shared" si="399"/>
        <v>1</v>
      </c>
      <c r="C6090" t="str">
        <f t="shared" si="398"/>
        <v>331</v>
      </c>
      <c r="D6090" t="str">
        <f>"8"</f>
        <v>8</v>
      </c>
      <c r="E6090" t="str">
        <f>"1-331-8"</f>
        <v>1-331-8</v>
      </c>
      <c r="F6090" t="s">
        <v>15</v>
      </c>
      <c r="G6090" t="s">
        <v>20</v>
      </c>
      <c r="H6090" t="s">
        <v>21</v>
      </c>
      <c r="I6090">
        <v>1</v>
      </c>
      <c r="J6090">
        <v>0</v>
      </c>
      <c r="K6090">
        <v>0</v>
      </c>
    </row>
    <row r="6091" spans="1:11" x14ac:dyDescent="0.25">
      <c r="A6091" t="str">
        <f>"7644"</f>
        <v>7644</v>
      </c>
      <c r="B6091" t="str">
        <f t="shared" si="399"/>
        <v>1</v>
      </c>
      <c r="C6091" t="str">
        <f t="shared" si="398"/>
        <v>331</v>
      </c>
      <c r="D6091" t="str">
        <f>"17"</f>
        <v>17</v>
      </c>
      <c r="E6091" t="str">
        <f>"1-331-17"</f>
        <v>1-331-17</v>
      </c>
      <c r="F6091" t="s">
        <v>15</v>
      </c>
      <c r="G6091" t="s">
        <v>20</v>
      </c>
      <c r="H6091" t="s">
        <v>21</v>
      </c>
      <c r="I6091">
        <v>0</v>
      </c>
      <c r="J6091">
        <v>1</v>
      </c>
      <c r="K6091">
        <v>0</v>
      </c>
    </row>
    <row r="6092" spans="1:11" x14ac:dyDescent="0.25">
      <c r="A6092" t="str">
        <f>"7645"</f>
        <v>7645</v>
      </c>
      <c r="B6092" t="str">
        <f t="shared" si="399"/>
        <v>1</v>
      </c>
      <c r="C6092" t="str">
        <f t="shared" si="398"/>
        <v>331</v>
      </c>
      <c r="D6092" t="str">
        <f>"1"</f>
        <v>1</v>
      </c>
      <c r="E6092" t="str">
        <f>"1-331-1"</f>
        <v>1-331-1</v>
      </c>
      <c r="F6092" t="s">
        <v>15</v>
      </c>
      <c r="G6092" t="s">
        <v>20</v>
      </c>
      <c r="H6092" t="s">
        <v>21</v>
      </c>
      <c r="I6092">
        <v>1</v>
      </c>
      <c r="J6092">
        <v>0</v>
      </c>
      <c r="K6092">
        <v>0</v>
      </c>
    </row>
    <row r="6093" spans="1:11" x14ac:dyDescent="0.25">
      <c r="A6093" t="str">
        <f>"7646"</f>
        <v>7646</v>
      </c>
      <c r="B6093" t="str">
        <f t="shared" si="399"/>
        <v>1</v>
      </c>
      <c r="C6093" t="str">
        <f t="shared" si="398"/>
        <v>331</v>
      </c>
      <c r="D6093" t="str">
        <f>"18"</f>
        <v>18</v>
      </c>
      <c r="E6093" t="str">
        <f>"1-331-18"</f>
        <v>1-331-18</v>
      </c>
      <c r="F6093" t="s">
        <v>15</v>
      </c>
      <c r="G6093" t="s">
        <v>20</v>
      </c>
      <c r="H6093" t="s">
        <v>21</v>
      </c>
      <c r="I6093">
        <v>0</v>
      </c>
      <c r="J6093">
        <v>1</v>
      </c>
      <c r="K6093">
        <v>0</v>
      </c>
    </row>
    <row r="6094" spans="1:11" x14ac:dyDescent="0.25">
      <c r="A6094" t="str">
        <f>"7647"</f>
        <v>7647</v>
      </c>
      <c r="B6094" t="str">
        <f t="shared" si="399"/>
        <v>1</v>
      </c>
      <c r="C6094" t="str">
        <f t="shared" si="398"/>
        <v>331</v>
      </c>
      <c r="D6094" t="str">
        <f>"9"</f>
        <v>9</v>
      </c>
      <c r="E6094" t="str">
        <f>"1-331-9"</f>
        <v>1-331-9</v>
      </c>
      <c r="F6094" t="s">
        <v>15</v>
      </c>
      <c r="G6094" t="s">
        <v>20</v>
      </c>
      <c r="H6094" t="s">
        <v>21</v>
      </c>
      <c r="I6094">
        <v>0</v>
      </c>
      <c r="J6094">
        <v>0</v>
      </c>
      <c r="K6094">
        <v>1</v>
      </c>
    </row>
    <row r="6095" spans="1:11" x14ac:dyDescent="0.25">
      <c r="A6095" t="str">
        <f>"7648"</f>
        <v>7648</v>
      </c>
      <c r="B6095" t="str">
        <f t="shared" si="399"/>
        <v>1</v>
      </c>
      <c r="C6095" t="str">
        <f t="shared" si="398"/>
        <v>331</v>
      </c>
      <c r="D6095" t="str">
        <f>"19"</f>
        <v>19</v>
      </c>
      <c r="E6095" t="str">
        <f>"1-331-19"</f>
        <v>1-331-19</v>
      </c>
      <c r="F6095" t="s">
        <v>15</v>
      </c>
      <c r="G6095" t="s">
        <v>20</v>
      </c>
      <c r="H6095" t="s">
        <v>21</v>
      </c>
      <c r="I6095">
        <v>0</v>
      </c>
      <c r="J6095">
        <v>0</v>
      </c>
      <c r="K6095">
        <v>1</v>
      </c>
    </row>
    <row r="6096" spans="1:11" x14ac:dyDescent="0.25">
      <c r="A6096" t="str">
        <f>"7649"</f>
        <v>7649</v>
      </c>
      <c r="B6096" t="str">
        <f t="shared" si="399"/>
        <v>1</v>
      </c>
      <c r="C6096" t="str">
        <f t="shared" si="398"/>
        <v>331</v>
      </c>
      <c r="D6096" t="str">
        <f>"11"</f>
        <v>11</v>
      </c>
      <c r="E6096" t="str">
        <f>"1-331-11"</f>
        <v>1-331-11</v>
      </c>
      <c r="F6096" t="s">
        <v>15</v>
      </c>
      <c r="G6096" t="s">
        <v>20</v>
      </c>
      <c r="H6096" t="s">
        <v>21</v>
      </c>
      <c r="I6096">
        <v>1</v>
      </c>
      <c r="J6096">
        <v>0</v>
      </c>
      <c r="K6096">
        <v>0</v>
      </c>
    </row>
    <row r="6097" spans="1:11" x14ac:dyDescent="0.25">
      <c r="A6097" t="str">
        <f>"7650"</f>
        <v>7650</v>
      </c>
      <c r="B6097" t="str">
        <f t="shared" si="399"/>
        <v>1</v>
      </c>
      <c r="C6097" t="str">
        <f t="shared" si="398"/>
        <v>331</v>
      </c>
      <c r="D6097" t="str">
        <f>"20"</f>
        <v>20</v>
      </c>
      <c r="E6097" t="str">
        <f>"1-331-20"</f>
        <v>1-331-20</v>
      </c>
      <c r="F6097" t="s">
        <v>15</v>
      </c>
      <c r="G6097" t="s">
        <v>20</v>
      </c>
      <c r="H6097" t="s">
        <v>21</v>
      </c>
      <c r="I6097">
        <v>0</v>
      </c>
      <c r="J6097">
        <v>1</v>
      </c>
      <c r="K6097">
        <v>0</v>
      </c>
    </row>
    <row r="6098" spans="1:11" x14ac:dyDescent="0.25">
      <c r="A6098" t="str">
        <f>"7651"</f>
        <v>7651</v>
      </c>
      <c r="B6098" t="str">
        <f t="shared" si="399"/>
        <v>1</v>
      </c>
      <c r="C6098" t="str">
        <f t="shared" si="398"/>
        <v>331</v>
      </c>
      <c r="D6098" t="str">
        <f>"2"</f>
        <v>2</v>
      </c>
      <c r="E6098" t="str">
        <f>"1-331-2"</f>
        <v>1-331-2</v>
      </c>
      <c r="F6098" t="s">
        <v>15</v>
      </c>
      <c r="G6098" t="s">
        <v>20</v>
      </c>
      <c r="H6098" t="s">
        <v>21</v>
      </c>
      <c r="I6098">
        <v>0</v>
      </c>
      <c r="J6098">
        <v>0</v>
      </c>
      <c r="K6098">
        <v>1</v>
      </c>
    </row>
    <row r="6099" spans="1:11" x14ac:dyDescent="0.25">
      <c r="A6099" t="str">
        <f>"7652"</f>
        <v>7652</v>
      </c>
      <c r="B6099" t="str">
        <f t="shared" si="399"/>
        <v>1</v>
      </c>
      <c r="C6099" t="str">
        <f t="shared" si="398"/>
        <v>331</v>
      </c>
      <c r="D6099" t="str">
        <f>"21"</f>
        <v>21</v>
      </c>
      <c r="E6099" t="str">
        <f>"1-331-21"</f>
        <v>1-331-21</v>
      </c>
      <c r="F6099" t="s">
        <v>15</v>
      </c>
      <c r="G6099" t="s">
        <v>20</v>
      </c>
      <c r="H6099" t="s">
        <v>21</v>
      </c>
      <c r="I6099">
        <v>0</v>
      </c>
      <c r="J6099">
        <v>0</v>
      </c>
      <c r="K6099">
        <v>1</v>
      </c>
    </row>
    <row r="6100" spans="1:11" x14ac:dyDescent="0.25">
      <c r="A6100" t="str">
        <f>"7653"</f>
        <v>7653</v>
      </c>
      <c r="B6100" t="str">
        <f t="shared" si="399"/>
        <v>1</v>
      </c>
      <c r="C6100" t="str">
        <f t="shared" si="398"/>
        <v>331</v>
      </c>
      <c r="D6100" t="str">
        <f>"6"</f>
        <v>6</v>
      </c>
      <c r="E6100" t="str">
        <f>"1-331-6"</f>
        <v>1-331-6</v>
      </c>
      <c r="F6100" t="s">
        <v>15</v>
      </c>
      <c r="G6100" t="s">
        <v>20</v>
      </c>
      <c r="H6100" t="s">
        <v>21</v>
      </c>
      <c r="I6100">
        <v>1</v>
      </c>
      <c r="J6100">
        <v>0</v>
      </c>
      <c r="K6100">
        <v>0</v>
      </c>
    </row>
    <row r="6101" spans="1:11" x14ac:dyDescent="0.25">
      <c r="A6101" t="str">
        <f>"7654"</f>
        <v>7654</v>
      </c>
      <c r="B6101" t="str">
        <f t="shared" si="399"/>
        <v>1</v>
      </c>
      <c r="C6101" t="str">
        <f t="shared" si="398"/>
        <v>331</v>
      </c>
      <c r="D6101" t="str">
        <f>"22"</f>
        <v>22</v>
      </c>
      <c r="E6101" t="str">
        <f>"1-331-22"</f>
        <v>1-331-22</v>
      </c>
      <c r="F6101" t="s">
        <v>15</v>
      </c>
      <c r="G6101" t="s">
        <v>20</v>
      </c>
      <c r="H6101" t="s">
        <v>21</v>
      </c>
      <c r="I6101">
        <v>0</v>
      </c>
      <c r="J6101">
        <v>1</v>
      </c>
      <c r="K6101">
        <v>0</v>
      </c>
    </row>
    <row r="6102" spans="1:11" x14ac:dyDescent="0.25">
      <c r="A6102" t="str">
        <f>"7655"</f>
        <v>7655</v>
      </c>
      <c r="B6102" t="str">
        <f t="shared" si="399"/>
        <v>1</v>
      </c>
      <c r="C6102" t="str">
        <f t="shared" si="398"/>
        <v>331</v>
      </c>
      <c r="D6102" t="str">
        <f>"12"</f>
        <v>12</v>
      </c>
      <c r="E6102" t="str">
        <f>"1-331-12"</f>
        <v>1-331-12</v>
      </c>
      <c r="F6102" t="s">
        <v>15</v>
      </c>
      <c r="G6102" t="s">
        <v>20</v>
      </c>
      <c r="H6102" t="s">
        <v>21</v>
      </c>
      <c r="I6102">
        <v>0</v>
      </c>
      <c r="J6102">
        <v>0</v>
      </c>
      <c r="K6102">
        <v>1</v>
      </c>
    </row>
    <row r="6103" spans="1:11" x14ac:dyDescent="0.25">
      <c r="A6103" t="str">
        <f>"7656"</f>
        <v>7656</v>
      </c>
      <c r="B6103" t="str">
        <f t="shared" si="399"/>
        <v>1</v>
      </c>
      <c r="C6103" t="str">
        <f t="shared" si="398"/>
        <v>331</v>
      </c>
      <c r="D6103" t="str">
        <f>"23"</f>
        <v>23</v>
      </c>
      <c r="E6103" t="str">
        <f>"1-331-23"</f>
        <v>1-331-23</v>
      </c>
      <c r="F6103" t="s">
        <v>15</v>
      </c>
      <c r="G6103" t="s">
        <v>20</v>
      </c>
      <c r="H6103" t="s">
        <v>21</v>
      </c>
      <c r="I6103">
        <v>1</v>
      </c>
      <c r="J6103">
        <v>0</v>
      </c>
      <c r="K6103">
        <v>0</v>
      </c>
    </row>
    <row r="6104" spans="1:11" x14ac:dyDescent="0.25">
      <c r="A6104" t="str">
        <f>"7657"</f>
        <v>7657</v>
      </c>
      <c r="B6104" t="str">
        <f t="shared" si="399"/>
        <v>1</v>
      </c>
      <c r="C6104" t="str">
        <f t="shared" si="398"/>
        <v>331</v>
      </c>
      <c r="D6104" t="str">
        <f>"10"</f>
        <v>10</v>
      </c>
      <c r="E6104" t="str">
        <f>"1-331-10"</f>
        <v>1-331-10</v>
      </c>
      <c r="F6104" t="s">
        <v>15</v>
      </c>
      <c r="G6104" t="s">
        <v>20</v>
      </c>
      <c r="H6104" t="s">
        <v>21</v>
      </c>
      <c r="I6104">
        <v>0</v>
      </c>
      <c r="J6104">
        <v>0</v>
      </c>
      <c r="K6104">
        <v>1</v>
      </c>
    </row>
    <row r="6105" spans="1:11" x14ac:dyDescent="0.25">
      <c r="A6105" t="str">
        <f>"7658"</f>
        <v>7658</v>
      </c>
      <c r="B6105" t="str">
        <f t="shared" si="399"/>
        <v>1</v>
      </c>
      <c r="C6105" t="str">
        <f t="shared" si="398"/>
        <v>331</v>
      </c>
      <c r="D6105" t="str">
        <f>"25"</f>
        <v>25</v>
      </c>
      <c r="E6105" t="str">
        <f>"1-331-25"</f>
        <v>1-331-25</v>
      </c>
      <c r="F6105" t="s">
        <v>15</v>
      </c>
      <c r="G6105" t="s">
        <v>20</v>
      </c>
      <c r="H6105" t="s">
        <v>21</v>
      </c>
      <c r="I6105">
        <v>0</v>
      </c>
      <c r="J6105">
        <v>0</v>
      </c>
      <c r="K6105">
        <v>1</v>
      </c>
    </row>
    <row r="6106" spans="1:11" x14ac:dyDescent="0.25">
      <c r="A6106" t="str">
        <f>"7659"</f>
        <v>7659</v>
      </c>
      <c r="B6106" t="str">
        <f t="shared" si="399"/>
        <v>1</v>
      </c>
      <c r="C6106" t="str">
        <f t="shared" si="398"/>
        <v>331</v>
      </c>
      <c r="D6106" t="str">
        <f>"4"</f>
        <v>4</v>
      </c>
      <c r="E6106" t="str">
        <f>"1-331-4"</f>
        <v>1-331-4</v>
      </c>
      <c r="F6106" t="s">
        <v>15</v>
      </c>
      <c r="G6106" t="s">
        <v>20</v>
      </c>
      <c r="H6106" t="s">
        <v>21</v>
      </c>
      <c r="I6106">
        <v>0</v>
      </c>
      <c r="J6106">
        <v>0</v>
      </c>
      <c r="K6106">
        <v>1</v>
      </c>
    </row>
    <row r="6107" spans="1:11" x14ac:dyDescent="0.25">
      <c r="A6107" t="str">
        <f>"7660"</f>
        <v>7660</v>
      </c>
      <c r="B6107" t="str">
        <f t="shared" si="399"/>
        <v>1</v>
      </c>
      <c r="C6107" t="str">
        <f t="shared" si="398"/>
        <v>331</v>
      </c>
      <c r="D6107" t="str">
        <f>"3"</f>
        <v>3</v>
      </c>
      <c r="E6107" t="str">
        <f>"1-331-3"</f>
        <v>1-331-3</v>
      </c>
      <c r="F6107" t="s">
        <v>15</v>
      </c>
      <c r="G6107" t="s">
        <v>20</v>
      </c>
      <c r="H6107" t="s">
        <v>21</v>
      </c>
      <c r="I6107">
        <v>0</v>
      </c>
      <c r="J6107">
        <v>1</v>
      </c>
      <c r="K6107">
        <v>0</v>
      </c>
    </row>
    <row r="6108" spans="1:11" x14ac:dyDescent="0.25">
      <c r="A6108" t="str">
        <f>"7661"</f>
        <v>7661</v>
      </c>
      <c r="B6108" t="str">
        <f t="shared" si="399"/>
        <v>1</v>
      </c>
      <c r="C6108" t="str">
        <f t="shared" si="398"/>
        <v>331</v>
      </c>
      <c r="D6108" t="str">
        <f>"7"</f>
        <v>7</v>
      </c>
      <c r="E6108" t="str">
        <f>"1-331-7"</f>
        <v>1-331-7</v>
      </c>
      <c r="F6108" t="s">
        <v>15</v>
      </c>
      <c r="G6108" t="s">
        <v>20</v>
      </c>
      <c r="H6108" t="s">
        <v>21</v>
      </c>
      <c r="I6108">
        <v>0</v>
      </c>
      <c r="J6108">
        <v>0</v>
      </c>
      <c r="K6108">
        <v>1</v>
      </c>
    </row>
    <row r="6109" spans="1:11" x14ac:dyDescent="0.25">
      <c r="A6109" t="str">
        <f>"7662"</f>
        <v>7662</v>
      </c>
      <c r="B6109" t="str">
        <f t="shared" si="399"/>
        <v>1</v>
      </c>
      <c r="C6109" t="str">
        <f t="shared" si="398"/>
        <v>331</v>
      </c>
      <c r="D6109" t="str">
        <f>"14"</f>
        <v>14</v>
      </c>
      <c r="E6109" t="str">
        <f>"1-331-14"</f>
        <v>1-331-14</v>
      </c>
      <c r="F6109" t="s">
        <v>15</v>
      </c>
      <c r="G6109" t="s">
        <v>20</v>
      </c>
      <c r="H6109" t="s">
        <v>21</v>
      </c>
      <c r="I6109">
        <v>1</v>
      </c>
      <c r="J6109">
        <v>0</v>
      </c>
      <c r="K6109">
        <v>0</v>
      </c>
    </row>
    <row r="6110" spans="1:11" x14ac:dyDescent="0.25">
      <c r="A6110" t="str">
        <f>"7663"</f>
        <v>7663</v>
      </c>
      <c r="B6110" t="str">
        <f t="shared" si="399"/>
        <v>1</v>
      </c>
      <c r="C6110" t="str">
        <f t="shared" si="398"/>
        <v>331</v>
      </c>
      <c r="D6110" t="str">
        <f>"13"</f>
        <v>13</v>
      </c>
      <c r="E6110" t="str">
        <f>"1-331-13"</f>
        <v>1-331-13</v>
      </c>
      <c r="F6110" t="s">
        <v>15</v>
      </c>
      <c r="G6110" t="s">
        <v>20</v>
      </c>
      <c r="H6110" t="s">
        <v>21</v>
      </c>
      <c r="I6110">
        <v>0</v>
      </c>
      <c r="J6110">
        <v>0</v>
      </c>
      <c r="K6110">
        <v>1</v>
      </c>
    </row>
    <row r="6111" spans="1:11" x14ac:dyDescent="0.25">
      <c r="A6111" t="str">
        <f>"7664"</f>
        <v>7664</v>
      </c>
      <c r="B6111" t="str">
        <f t="shared" si="399"/>
        <v>1</v>
      </c>
      <c r="C6111" t="str">
        <f t="shared" ref="C6111:C6130" si="400">"332"</f>
        <v>332</v>
      </c>
      <c r="D6111" t="str">
        <f>"22"</f>
        <v>22</v>
      </c>
      <c r="E6111" t="str">
        <f>"1-332-22"</f>
        <v>1-332-22</v>
      </c>
      <c r="F6111" t="s">
        <v>15</v>
      </c>
      <c r="G6111" t="s">
        <v>16</v>
      </c>
      <c r="H6111" t="s">
        <v>17</v>
      </c>
      <c r="I6111">
        <v>1</v>
      </c>
      <c r="J6111">
        <v>0</v>
      </c>
      <c r="K6111">
        <v>0</v>
      </c>
    </row>
    <row r="6112" spans="1:11" x14ac:dyDescent="0.25">
      <c r="A6112" t="str">
        <f>"7666"</f>
        <v>7666</v>
      </c>
      <c r="B6112" t="str">
        <f t="shared" si="399"/>
        <v>1</v>
      </c>
      <c r="C6112" t="str">
        <f t="shared" si="400"/>
        <v>332</v>
      </c>
      <c r="D6112" t="str">
        <f>"17"</f>
        <v>17</v>
      </c>
      <c r="E6112" t="str">
        <f>"1-332-17"</f>
        <v>1-332-17</v>
      </c>
      <c r="F6112" t="s">
        <v>15</v>
      </c>
      <c r="G6112" t="s">
        <v>16</v>
      </c>
      <c r="H6112" t="s">
        <v>17</v>
      </c>
      <c r="I6112">
        <v>0</v>
      </c>
      <c r="J6112">
        <v>1</v>
      </c>
      <c r="K6112">
        <v>0</v>
      </c>
    </row>
    <row r="6113" spans="1:11" x14ac:dyDescent="0.25">
      <c r="A6113" t="str">
        <f>"7667"</f>
        <v>7667</v>
      </c>
      <c r="B6113" t="str">
        <f t="shared" si="399"/>
        <v>1</v>
      </c>
      <c r="C6113" t="str">
        <f t="shared" si="400"/>
        <v>332</v>
      </c>
      <c r="D6113" t="str">
        <f>"15"</f>
        <v>15</v>
      </c>
      <c r="E6113" t="str">
        <f>"1-332-15"</f>
        <v>1-332-15</v>
      </c>
      <c r="F6113" t="s">
        <v>15</v>
      </c>
      <c r="G6113" t="s">
        <v>16</v>
      </c>
      <c r="H6113" t="s">
        <v>17</v>
      </c>
      <c r="I6113">
        <v>0</v>
      </c>
      <c r="J6113">
        <v>1</v>
      </c>
      <c r="K6113">
        <v>0</v>
      </c>
    </row>
    <row r="6114" spans="1:11" x14ac:dyDescent="0.25">
      <c r="A6114" t="str">
        <f>"7669"</f>
        <v>7669</v>
      </c>
      <c r="B6114" t="str">
        <f t="shared" si="399"/>
        <v>1</v>
      </c>
      <c r="C6114" t="str">
        <f t="shared" si="400"/>
        <v>332</v>
      </c>
      <c r="D6114" t="str">
        <f>"20"</f>
        <v>20</v>
      </c>
      <c r="E6114" t="str">
        <f>"1-332-20"</f>
        <v>1-332-20</v>
      </c>
      <c r="F6114" t="s">
        <v>15</v>
      </c>
      <c r="G6114" t="s">
        <v>16</v>
      </c>
      <c r="H6114" t="s">
        <v>17</v>
      </c>
      <c r="I6114">
        <v>0</v>
      </c>
      <c r="J6114">
        <v>0</v>
      </c>
      <c r="K6114">
        <v>1</v>
      </c>
    </row>
    <row r="6115" spans="1:11" x14ac:dyDescent="0.25">
      <c r="A6115" t="str">
        <f>"7670"</f>
        <v>7670</v>
      </c>
      <c r="B6115" t="str">
        <f t="shared" si="399"/>
        <v>1</v>
      </c>
      <c r="C6115" t="str">
        <f t="shared" si="400"/>
        <v>332</v>
      </c>
      <c r="D6115" t="str">
        <f>"16"</f>
        <v>16</v>
      </c>
      <c r="E6115" t="str">
        <f>"1-332-16"</f>
        <v>1-332-16</v>
      </c>
      <c r="F6115" t="s">
        <v>15</v>
      </c>
      <c r="G6115" t="s">
        <v>16</v>
      </c>
      <c r="H6115" t="s">
        <v>17</v>
      </c>
      <c r="I6115">
        <v>0</v>
      </c>
      <c r="J6115">
        <v>1</v>
      </c>
      <c r="K6115">
        <v>0</v>
      </c>
    </row>
    <row r="6116" spans="1:11" x14ac:dyDescent="0.25">
      <c r="A6116" t="str">
        <f>"7672"</f>
        <v>7672</v>
      </c>
      <c r="B6116" t="str">
        <f t="shared" si="399"/>
        <v>1</v>
      </c>
      <c r="C6116" t="str">
        <f t="shared" si="400"/>
        <v>332</v>
      </c>
      <c r="D6116" t="str">
        <f>"18"</f>
        <v>18</v>
      </c>
      <c r="E6116" t="str">
        <f>"1-332-18"</f>
        <v>1-332-18</v>
      </c>
      <c r="F6116" t="s">
        <v>15</v>
      </c>
      <c r="G6116" t="s">
        <v>16</v>
      </c>
      <c r="H6116" t="s">
        <v>17</v>
      </c>
      <c r="I6116">
        <v>1</v>
      </c>
      <c r="J6116">
        <v>0</v>
      </c>
      <c r="K6116">
        <v>0</v>
      </c>
    </row>
    <row r="6117" spans="1:11" x14ac:dyDescent="0.25">
      <c r="A6117" t="str">
        <f>"7674"</f>
        <v>7674</v>
      </c>
      <c r="B6117" t="str">
        <f t="shared" si="399"/>
        <v>1</v>
      </c>
      <c r="C6117" t="str">
        <f t="shared" si="400"/>
        <v>332</v>
      </c>
      <c r="D6117" t="str">
        <f>"19"</f>
        <v>19</v>
      </c>
      <c r="E6117" t="str">
        <f>"1-332-19"</f>
        <v>1-332-19</v>
      </c>
      <c r="F6117" t="s">
        <v>15</v>
      </c>
      <c r="G6117" t="s">
        <v>16</v>
      </c>
      <c r="H6117" t="s">
        <v>17</v>
      </c>
      <c r="I6117">
        <v>0</v>
      </c>
      <c r="J6117">
        <v>0</v>
      </c>
      <c r="K6117">
        <v>1</v>
      </c>
    </row>
    <row r="6118" spans="1:11" x14ac:dyDescent="0.25">
      <c r="A6118" t="str">
        <f>"7676"</f>
        <v>7676</v>
      </c>
      <c r="B6118" t="str">
        <f t="shared" si="399"/>
        <v>1</v>
      </c>
      <c r="C6118" t="str">
        <f t="shared" si="400"/>
        <v>332</v>
      </c>
      <c r="D6118" t="str">
        <f>"23"</f>
        <v>23</v>
      </c>
      <c r="E6118" t="str">
        <f>"1-332-23"</f>
        <v>1-332-23</v>
      </c>
      <c r="F6118" t="s">
        <v>15</v>
      </c>
      <c r="G6118" t="s">
        <v>16</v>
      </c>
      <c r="H6118" t="s">
        <v>17</v>
      </c>
      <c r="I6118">
        <v>1</v>
      </c>
      <c r="J6118">
        <v>0</v>
      </c>
      <c r="K6118">
        <v>0</v>
      </c>
    </row>
    <row r="6119" spans="1:11" x14ac:dyDescent="0.25">
      <c r="A6119" t="str">
        <f>"7677"</f>
        <v>7677</v>
      </c>
      <c r="B6119" t="str">
        <f t="shared" si="399"/>
        <v>1</v>
      </c>
      <c r="C6119" t="str">
        <f t="shared" si="400"/>
        <v>332</v>
      </c>
      <c r="D6119" t="str">
        <f>"14"</f>
        <v>14</v>
      </c>
      <c r="E6119" t="str">
        <f>"1-332-14"</f>
        <v>1-332-14</v>
      </c>
      <c r="F6119" t="s">
        <v>15</v>
      </c>
      <c r="G6119" t="s">
        <v>16</v>
      </c>
      <c r="H6119" t="s">
        <v>17</v>
      </c>
      <c r="I6119">
        <v>1</v>
      </c>
      <c r="J6119">
        <v>0</v>
      </c>
      <c r="K6119">
        <v>0</v>
      </c>
    </row>
    <row r="6120" spans="1:11" x14ac:dyDescent="0.25">
      <c r="A6120" t="str">
        <f>"7678"</f>
        <v>7678</v>
      </c>
      <c r="B6120" t="str">
        <f t="shared" si="399"/>
        <v>1</v>
      </c>
      <c r="C6120" t="str">
        <f t="shared" si="400"/>
        <v>332</v>
      </c>
      <c r="D6120" t="str">
        <f>"24"</f>
        <v>24</v>
      </c>
      <c r="E6120" t="str">
        <f>"1-332-24"</f>
        <v>1-332-24</v>
      </c>
      <c r="F6120" t="s">
        <v>15</v>
      </c>
      <c r="G6120" t="s">
        <v>16</v>
      </c>
      <c r="H6120" t="s">
        <v>17</v>
      </c>
      <c r="I6120">
        <v>1</v>
      </c>
      <c r="J6120">
        <v>0</v>
      </c>
      <c r="K6120">
        <v>0</v>
      </c>
    </row>
    <row r="6121" spans="1:11" x14ac:dyDescent="0.25">
      <c r="A6121" t="str">
        <f>"7679"</f>
        <v>7679</v>
      </c>
      <c r="B6121" t="str">
        <f t="shared" si="399"/>
        <v>1</v>
      </c>
      <c r="C6121" t="str">
        <f t="shared" si="400"/>
        <v>332</v>
      </c>
      <c r="D6121" t="str">
        <f>"12"</f>
        <v>12</v>
      </c>
      <c r="E6121" t="str">
        <f>"1-332-12"</f>
        <v>1-332-12</v>
      </c>
      <c r="F6121" t="s">
        <v>15</v>
      </c>
      <c r="G6121" t="s">
        <v>16</v>
      </c>
      <c r="H6121" t="s">
        <v>17</v>
      </c>
      <c r="I6121">
        <v>1</v>
      </c>
      <c r="J6121">
        <v>0</v>
      </c>
      <c r="K6121">
        <v>0</v>
      </c>
    </row>
    <row r="6122" spans="1:11" x14ac:dyDescent="0.25">
      <c r="A6122" t="str">
        <f>"7680"</f>
        <v>7680</v>
      </c>
      <c r="B6122" t="str">
        <f t="shared" si="399"/>
        <v>1</v>
      </c>
      <c r="C6122" t="str">
        <f t="shared" si="400"/>
        <v>332</v>
      </c>
      <c r="D6122" t="str">
        <f>"25"</f>
        <v>25</v>
      </c>
      <c r="E6122" t="str">
        <f>"1-332-25"</f>
        <v>1-332-25</v>
      </c>
      <c r="F6122" t="s">
        <v>15</v>
      </c>
      <c r="G6122" t="s">
        <v>16</v>
      </c>
      <c r="H6122" t="s">
        <v>17</v>
      </c>
      <c r="I6122">
        <v>1</v>
      </c>
      <c r="J6122">
        <v>0</v>
      </c>
      <c r="K6122">
        <v>0</v>
      </c>
    </row>
    <row r="6123" spans="1:11" x14ac:dyDescent="0.25">
      <c r="A6123" t="str">
        <f>"7681"</f>
        <v>7681</v>
      </c>
      <c r="B6123" t="str">
        <f t="shared" si="399"/>
        <v>1</v>
      </c>
      <c r="C6123" t="str">
        <f t="shared" si="400"/>
        <v>332</v>
      </c>
      <c r="D6123" t="str">
        <f>"11"</f>
        <v>11</v>
      </c>
      <c r="E6123" t="str">
        <f>"1-332-11"</f>
        <v>1-332-11</v>
      </c>
      <c r="F6123" t="s">
        <v>15</v>
      </c>
      <c r="G6123" t="s">
        <v>16</v>
      </c>
      <c r="H6123" t="s">
        <v>17</v>
      </c>
      <c r="I6123">
        <v>1</v>
      </c>
      <c r="J6123">
        <v>0</v>
      </c>
      <c r="K6123">
        <v>0</v>
      </c>
    </row>
    <row r="6124" spans="1:11" x14ac:dyDescent="0.25">
      <c r="A6124" t="str">
        <f>"7682"</f>
        <v>7682</v>
      </c>
      <c r="B6124" t="str">
        <f t="shared" si="399"/>
        <v>1</v>
      </c>
      <c r="C6124" t="str">
        <f t="shared" si="400"/>
        <v>332</v>
      </c>
      <c r="D6124" t="str">
        <f>"5"</f>
        <v>5</v>
      </c>
      <c r="E6124" t="str">
        <f>"1-332-5"</f>
        <v>1-332-5</v>
      </c>
      <c r="F6124" t="s">
        <v>15</v>
      </c>
      <c r="G6124" t="s">
        <v>16</v>
      </c>
      <c r="H6124" t="s">
        <v>17</v>
      </c>
      <c r="I6124">
        <v>1</v>
      </c>
      <c r="J6124">
        <v>0</v>
      </c>
      <c r="K6124">
        <v>0</v>
      </c>
    </row>
    <row r="6125" spans="1:11" x14ac:dyDescent="0.25">
      <c r="A6125" t="str">
        <f>"7683"</f>
        <v>7683</v>
      </c>
      <c r="B6125" t="str">
        <f t="shared" si="399"/>
        <v>1</v>
      </c>
      <c r="C6125" t="str">
        <f t="shared" si="400"/>
        <v>332</v>
      </c>
      <c r="D6125" t="str">
        <f>"13"</f>
        <v>13</v>
      </c>
      <c r="E6125" t="str">
        <f>"1-332-13"</f>
        <v>1-332-13</v>
      </c>
      <c r="F6125" t="s">
        <v>15</v>
      </c>
      <c r="G6125" t="s">
        <v>16</v>
      </c>
      <c r="H6125" t="s">
        <v>17</v>
      </c>
      <c r="I6125">
        <v>1</v>
      </c>
      <c r="J6125">
        <v>0</v>
      </c>
      <c r="K6125">
        <v>0</v>
      </c>
    </row>
    <row r="6126" spans="1:11" x14ac:dyDescent="0.25">
      <c r="A6126" t="str">
        <f>"7684"</f>
        <v>7684</v>
      </c>
      <c r="B6126" t="str">
        <f t="shared" si="399"/>
        <v>1</v>
      </c>
      <c r="C6126" t="str">
        <f t="shared" si="400"/>
        <v>332</v>
      </c>
      <c r="D6126" t="str">
        <f>"9"</f>
        <v>9</v>
      </c>
      <c r="E6126" t="str">
        <f>"1-332-9"</f>
        <v>1-332-9</v>
      </c>
      <c r="F6126" t="s">
        <v>15</v>
      </c>
      <c r="G6126" t="s">
        <v>16</v>
      </c>
      <c r="H6126" t="s">
        <v>17</v>
      </c>
      <c r="I6126">
        <v>1</v>
      </c>
      <c r="J6126">
        <v>0</v>
      </c>
      <c r="K6126">
        <v>0</v>
      </c>
    </row>
    <row r="6127" spans="1:11" x14ac:dyDescent="0.25">
      <c r="A6127" t="str">
        <f>"7685"</f>
        <v>7685</v>
      </c>
      <c r="B6127" t="str">
        <f t="shared" si="399"/>
        <v>1</v>
      </c>
      <c r="C6127" t="str">
        <f t="shared" si="400"/>
        <v>332</v>
      </c>
      <c r="D6127" t="str">
        <f>"10"</f>
        <v>10</v>
      </c>
      <c r="E6127" t="str">
        <f>"1-332-10"</f>
        <v>1-332-10</v>
      </c>
      <c r="F6127" t="s">
        <v>15</v>
      </c>
      <c r="G6127" t="s">
        <v>16</v>
      </c>
      <c r="H6127" t="s">
        <v>17</v>
      </c>
      <c r="I6127">
        <v>1</v>
      </c>
      <c r="J6127">
        <v>0</v>
      </c>
      <c r="K6127">
        <v>0</v>
      </c>
    </row>
    <row r="6128" spans="1:11" x14ac:dyDescent="0.25">
      <c r="A6128" t="str">
        <f>"7686"</f>
        <v>7686</v>
      </c>
      <c r="B6128" t="str">
        <f t="shared" si="399"/>
        <v>1</v>
      </c>
      <c r="C6128" t="str">
        <f t="shared" si="400"/>
        <v>332</v>
      </c>
      <c r="D6128" t="str">
        <f>"7"</f>
        <v>7</v>
      </c>
      <c r="E6128" t="str">
        <f>"1-332-7"</f>
        <v>1-332-7</v>
      </c>
      <c r="F6128" t="s">
        <v>15</v>
      </c>
      <c r="G6128" t="s">
        <v>16</v>
      </c>
      <c r="H6128" t="s">
        <v>17</v>
      </c>
      <c r="I6128">
        <v>0</v>
      </c>
      <c r="J6128">
        <v>1</v>
      </c>
      <c r="K6128">
        <v>0</v>
      </c>
    </row>
    <row r="6129" spans="1:11" x14ac:dyDescent="0.25">
      <c r="A6129" t="str">
        <f>"7687"</f>
        <v>7687</v>
      </c>
      <c r="B6129" t="str">
        <f t="shared" si="399"/>
        <v>1</v>
      </c>
      <c r="C6129" t="str">
        <f t="shared" si="400"/>
        <v>332</v>
      </c>
      <c r="D6129" t="str">
        <f>"8"</f>
        <v>8</v>
      </c>
      <c r="E6129" t="str">
        <f>"1-332-8"</f>
        <v>1-332-8</v>
      </c>
      <c r="F6129" t="s">
        <v>15</v>
      </c>
      <c r="G6129" t="s">
        <v>16</v>
      </c>
      <c r="H6129" t="s">
        <v>17</v>
      </c>
      <c r="I6129">
        <v>0</v>
      </c>
      <c r="J6129">
        <v>1</v>
      </c>
      <c r="K6129">
        <v>0</v>
      </c>
    </row>
    <row r="6130" spans="1:11" x14ac:dyDescent="0.25">
      <c r="A6130" t="str">
        <f>"7688"</f>
        <v>7688</v>
      </c>
      <c r="B6130" t="str">
        <f t="shared" si="399"/>
        <v>1</v>
      </c>
      <c r="C6130" t="str">
        <f t="shared" si="400"/>
        <v>332</v>
      </c>
      <c r="D6130" t="str">
        <f>"6"</f>
        <v>6</v>
      </c>
      <c r="E6130" t="str">
        <f>"1-332-6"</f>
        <v>1-332-6</v>
      </c>
      <c r="F6130" t="s">
        <v>15</v>
      </c>
      <c r="G6130" t="s">
        <v>16</v>
      </c>
      <c r="H6130" t="s">
        <v>17</v>
      </c>
      <c r="I6130">
        <v>1</v>
      </c>
      <c r="J6130">
        <v>0</v>
      </c>
      <c r="K6130">
        <v>0</v>
      </c>
    </row>
    <row r="6131" spans="1:11" x14ac:dyDescent="0.25">
      <c r="A6131" t="str">
        <f>"7689"</f>
        <v>7689</v>
      </c>
      <c r="B6131" t="str">
        <f t="shared" si="399"/>
        <v>1</v>
      </c>
      <c r="C6131" t="str">
        <f t="shared" ref="C6131:C6155" si="401">"333"</f>
        <v>333</v>
      </c>
      <c r="D6131" t="str">
        <f>"22"</f>
        <v>22</v>
      </c>
      <c r="E6131" t="str">
        <f>"1-333-22"</f>
        <v>1-333-22</v>
      </c>
      <c r="F6131" t="s">
        <v>15</v>
      </c>
      <c r="G6131" t="s">
        <v>20</v>
      </c>
      <c r="H6131" t="s">
        <v>21</v>
      </c>
      <c r="I6131">
        <v>1</v>
      </c>
      <c r="J6131">
        <v>0</v>
      </c>
      <c r="K6131">
        <v>0</v>
      </c>
    </row>
    <row r="6132" spans="1:11" x14ac:dyDescent="0.25">
      <c r="A6132" t="str">
        <f>"7690"</f>
        <v>7690</v>
      </c>
      <c r="B6132" t="str">
        <f t="shared" si="399"/>
        <v>1</v>
      </c>
      <c r="C6132" t="str">
        <f t="shared" si="401"/>
        <v>333</v>
      </c>
      <c r="D6132" t="str">
        <f>"21"</f>
        <v>21</v>
      </c>
      <c r="E6132" t="str">
        <f>"1-333-21"</f>
        <v>1-333-21</v>
      </c>
      <c r="F6132" t="s">
        <v>15</v>
      </c>
      <c r="G6132" t="s">
        <v>20</v>
      </c>
      <c r="H6132" t="s">
        <v>21</v>
      </c>
      <c r="I6132">
        <v>1</v>
      </c>
      <c r="J6132">
        <v>0</v>
      </c>
      <c r="K6132">
        <v>0</v>
      </c>
    </row>
    <row r="6133" spans="1:11" x14ac:dyDescent="0.25">
      <c r="A6133" t="str">
        <f>"7691"</f>
        <v>7691</v>
      </c>
      <c r="B6133" t="str">
        <f t="shared" si="399"/>
        <v>1</v>
      </c>
      <c r="C6133" t="str">
        <f t="shared" si="401"/>
        <v>333</v>
      </c>
      <c r="D6133" t="str">
        <f>"17"</f>
        <v>17</v>
      </c>
      <c r="E6133" t="str">
        <f>"1-333-17"</f>
        <v>1-333-17</v>
      </c>
      <c r="F6133" t="s">
        <v>15</v>
      </c>
      <c r="G6133" t="s">
        <v>20</v>
      </c>
      <c r="H6133" t="s">
        <v>21</v>
      </c>
      <c r="I6133">
        <v>0</v>
      </c>
      <c r="J6133">
        <v>0</v>
      </c>
      <c r="K6133">
        <v>1</v>
      </c>
    </row>
    <row r="6134" spans="1:11" x14ac:dyDescent="0.25">
      <c r="A6134" t="str">
        <f>"7692"</f>
        <v>7692</v>
      </c>
      <c r="B6134" t="str">
        <f t="shared" si="399"/>
        <v>1</v>
      </c>
      <c r="C6134" t="str">
        <f t="shared" si="401"/>
        <v>333</v>
      </c>
      <c r="D6134" t="str">
        <f>"15"</f>
        <v>15</v>
      </c>
      <c r="E6134" t="str">
        <f>"1-333-15"</f>
        <v>1-333-15</v>
      </c>
      <c r="F6134" t="s">
        <v>15</v>
      </c>
      <c r="G6134" t="s">
        <v>20</v>
      </c>
      <c r="H6134" t="s">
        <v>21</v>
      </c>
      <c r="I6134">
        <v>1</v>
      </c>
      <c r="J6134">
        <v>0</v>
      </c>
      <c r="K6134">
        <v>0</v>
      </c>
    </row>
    <row r="6135" spans="1:11" x14ac:dyDescent="0.25">
      <c r="A6135" t="str">
        <f>"7693"</f>
        <v>7693</v>
      </c>
      <c r="B6135" t="str">
        <f t="shared" si="399"/>
        <v>1</v>
      </c>
      <c r="C6135" t="str">
        <f t="shared" si="401"/>
        <v>333</v>
      </c>
      <c r="D6135" t="str">
        <f>"1"</f>
        <v>1</v>
      </c>
      <c r="E6135" t="str">
        <f>"1-333-1"</f>
        <v>1-333-1</v>
      </c>
      <c r="F6135" t="s">
        <v>15</v>
      </c>
      <c r="G6135" t="s">
        <v>20</v>
      </c>
      <c r="H6135" t="s">
        <v>21</v>
      </c>
      <c r="I6135">
        <v>0</v>
      </c>
      <c r="J6135">
        <v>0</v>
      </c>
      <c r="K6135">
        <v>1</v>
      </c>
    </row>
    <row r="6136" spans="1:11" x14ac:dyDescent="0.25">
      <c r="A6136" t="str">
        <f>"7694"</f>
        <v>7694</v>
      </c>
      <c r="B6136" t="str">
        <f t="shared" si="399"/>
        <v>1</v>
      </c>
      <c r="C6136" t="str">
        <f t="shared" si="401"/>
        <v>333</v>
      </c>
      <c r="D6136" t="str">
        <f>"20"</f>
        <v>20</v>
      </c>
      <c r="E6136" t="str">
        <f>"1-333-20"</f>
        <v>1-333-20</v>
      </c>
      <c r="F6136" t="s">
        <v>15</v>
      </c>
      <c r="G6136" t="s">
        <v>20</v>
      </c>
      <c r="H6136" t="s">
        <v>21</v>
      </c>
      <c r="I6136">
        <v>1</v>
      </c>
      <c r="J6136">
        <v>0</v>
      </c>
      <c r="K6136">
        <v>0</v>
      </c>
    </row>
    <row r="6137" spans="1:11" x14ac:dyDescent="0.25">
      <c r="A6137" t="str">
        <f>"7695"</f>
        <v>7695</v>
      </c>
      <c r="B6137" t="str">
        <f t="shared" si="399"/>
        <v>1</v>
      </c>
      <c r="C6137" t="str">
        <f t="shared" si="401"/>
        <v>333</v>
      </c>
      <c r="D6137" t="str">
        <f>"16"</f>
        <v>16</v>
      </c>
      <c r="E6137" t="str">
        <f>"1-333-16"</f>
        <v>1-333-16</v>
      </c>
      <c r="F6137" t="s">
        <v>15</v>
      </c>
      <c r="G6137" t="s">
        <v>20</v>
      </c>
      <c r="H6137" t="s">
        <v>21</v>
      </c>
      <c r="I6137">
        <v>1</v>
      </c>
      <c r="J6137">
        <v>0</v>
      </c>
      <c r="K6137">
        <v>0</v>
      </c>
    </row>
    <row r="6138" spans="1:11" x14ac:dyDescent="0.25">
      <c r="A6138" t="str">
        <f>"7696"</f>
        <v>7696</v>
      </c>
      <c r="B6138" t="str">
        <f t="shared" si="399"/>
        <v>1</v>
      </c>
      <c r="C6138" t="str">
        <f t="shared" si="401"/>
        <v>333</v>
      </c>
      <c r="D6138" t="str">
        <f>"10"</f>
        <v>10</v>
      </c>
      <c r="E6138" t="str">
        <f>"1-333-10"</f>
        <v>1-333-10</v>
      </c>
      <c r="F6138" t="s">
        <v>15</v>
      </c>
      <c r="G6138" t="s">
        <v>20</v>
      </c>
      <c r="H6138" t="s">
        <v>21</v>
      </c>
      <c r="I6138">
        <v>1</v>
      </c>
      <c r="J6138">
        <v>0</v>
      </c>
      <c r="K6138">
        <v>0</v>
      </c>
    </row>
    <row r="6139" spans="1:11" x14ac:dyDescent="0.25">
      <c r="A6139" t="str">
        <f>"7697"</f>
        <v>7697</v>
      </c>
      <c r="B6139" t="str">
        <f t="shared" si="399"/>
        <v>1</v>
      </c>
      <c r="C6139" t="str">
        <f t="shared" si="401"/>
        <v>333</v>
      </c>
      <c r="D6139" t="str">
        <f>"18"</f>
        <v>18</v>
      </c>
      <c r="E6139" t="str">
        <f>"1-333-18"</f>
        <v>1-333-18</v>
      </c>
      <c r="F6139" t="s">
        <v>15</v>
      </c>
      <c r="G6139" t="s">
        <v>20</v>
      </c>
      <c r="H6139" t="s">
        <v>21</v>
      </c>
      <c r="I6139">
        <v>0</v>
      </c>
      <c r="J6139">
        <v>1</v>
      </c>
      <c r="K6139">
        <v>0</v>
      </c>
    </row>
    <row r="6140" spans="1:11" x14ac:dyDescent="0.25">
      <c r="A6140" t="str">
        <f>"7698"</f>
        <v>7698</v>
      </c>
      <c r="B6140" t="str">
        <f t="shared" si="399"/>
        <v>1</v>
      </c>
      <c r="C6140" t="str">
        <f t="shared" si="401"/>
        <v>333</v>
      </c>
      <c r="D6140" t="str">
        <f>"2"</f>
        <v>2</v>
      </c>
      <c r="E6140" t="str">
        <f>"1-333-2"</f>
        <v>1-333-2</v>
      </c>
      <c r="F6140" t="s">
        <v>15</v>
      </c>
      <c r="G6140" t="s">
        <v>20</v>
      </c>
      <c r="H6140" t="s">
        <v>21</v>
      </c>
      <c r="I6140">
        <v>1</v>
      </c>
      <c r="J6140">
        <v>0</v>
      </c>
      <c r="K6140">
        <v>0</v>
      </c>
    </row>
    <row r="6141" spans="1:11" x14ac:dyDescent="0.25">
      <c r="A6141" t="str">
        <f>"7699"</f>
        <v>7699</v>
      </c>
      <c r="B6141" t="str">
        <f t="shared" si="399"/>
        <v>1</v>
      </c>
      <c r="C6141" t="str">
        <f t="shared" si="401"/>
        <v>333</v>
      </c>
      <c r="D6141" t="str">
        <f>"19"</f>
        <v>19</v>
      </c>
      <c r="E6141" t="str">
        <f>"1-333-19"</f>
        <v>1-333-19</v>
      </c>
      <c r="F6141" t="s">
        <v>15</v>
      </c>
      <c r="G6141" t="s">
        <v>20</v>
      </c>
      <c r="H6141" t="s">
        <v>21</v>
      </c>
      <c r="I6141">
        <v>1</v>
      </c>
      <c r="J6141">
        <v>0</v>
      </c>
      <c r="K6141">
        <v>0</v>
      </c>
    </row>
    <row r="6142" spans="1:11" x14ac:dyDescent="0.25">
      <c r="A6142" t="str">
        <f>"7700"</f>
        <v>7700</v>
      </c>
      <c r="B6142" t="str">
        <f t="shared" si="399"/>
        <v>1</v>
      </c>
      <c r="C6142" t="str">
        <f t="shared" si="401"/>
        <v>333</v>
      </c>
      <c r="D6142" t="str">
        <f>"7"</f>
        <v>7</v>
      </c>
      <c r="E6142" t="str">
        <f>"1-333-7"</f>
        <v>1-333-7</v>
      </c>
      <c r="F6142" t="s">
        <v>15</v>
      </c>
      <c r="G6142" t="s">
        <v>20</v>
      </c>
      <c r="H6142" t="s">
        <v>21</v>
      </c>
      <c r="I6142">
        <v>1</v>
      </c>
      <c r="J6142">
        <v>0</v>
      </c>
      <c r="K6142">
        <v>0</v>
      </c>
    </row>
    <row r="6143" spans="1:11" x14ac:dyDescent="0.25">
      <c r="A6143" t="str">
        <f>"7701"</f>
        <v>7701</v>
      </c>
      <c r="B6143" t="str">
        <f t="shared" si="399"/>
        <v>1</v>
      </c>
      <c r="C6143" t="str">
        <f t="shared" si="401"/>
        <v>333</v>
      </c>
      <c r="D6143" t="str">
        <f>"23"</f>
        <v>23</v>
      </c>
      <c r="E6143" t="str">
        <f>"1-333-23"</f>
        <v>1-333-23</v>
      </c>
      <c r="F6143" t="s">
        <v>15</v>
      </c>
      <c r="G6143" t="s">
        <v>20</v>
      </c>
      <c r="H6143" t="s">
        <v>21</v>
      </c>
      <c r="I6143">
        <v>1</v>
      </c>
      <c r="J6143">
        <v>0</v>
      </c>
      <c r="K6143">
        <v>0</v>
      </c>
    </row>
    <row r="6144" spans="1:11" x14ac:dyDescent="0.25">
      <c r="A6144" t="str">
        <f>"7702"</f>
        <v>7702</v>
      </c>
      <c r="B6144" t="str">
        <f t="shared" si="399"/>
        <v>1</v>
      </c>
      <c r="C6144" t="str">
        <f t="shared" si="401"/>
        <v>333</v>
      </c>
      <c r="D6144" t="str">
        <f>"24"</f>
        <v>24</v>
      </c>
      <c r="E6144" t="str">
        <f>"1-333-24"</f>
        <v>1-333-24</v>
      </c>
      <c r="F6144" t="s">
        <v>15</v>
      </c>
      <c r="G6144" t="s">
        <v>20</v>
      </c>
      <c r="H6144" t="s">
        <v>21</v>
      </c>
      <c r="I6144">
        <v>0</v>
      </c>
      <c r="J6144">
        <v>0</v>
      </c>
      <c r="K6144">
        <v>1</v>
      </c>
    </row>
    <row r="6145" spans="1:11" x14ac:dyDescent="0.25">
      <c r="A6145" t="str">
        <f>"7703"</f>
        <v>7703</v>
      </c>
      <c r="B6145" t="str">
        <f t="shared" si="399"/>
        <v>1</v>
      </c>
      <c r="C6145" t="str">
        <f t="shared" si="401"/>
        <v>333</v>
      </c>
      <c r="D6145" t="str">
        <f>"11"</f>
        <v>11</v>
      </c>
      <c r="E6145" t="str">
        <f>"1-333-11"</f>
        <v>1-333-11</v>
      </c>
      <c r="F6145" t="s">
        <v>15</v>
      </c>
      <c r="G6145" t="s">
        <v>20</v>
      </c>
      <c r="H6145" t="s">
        <v>21</v>
      </c>
      <c r="I6145">
        <v>0</v>
      </c>
      <c r="J6145">
        <v>1</v>
      </c>
      <c r="K6145">
        <v>0</v>
      </c>
    </row>
    <row r="6146" spans="1:11" x14ac:dyDescent="0.25">
      <c r="A6146" t="str">
        <f>"7704"</f>
        <v>7704</v>
      </c>
      <c r="B6146" t="str">
        <f t="shared" si="399"/>
        <v>1</v>
      </c>
      <c r="C6146" t="str">
        <f t="shared" si="401"/>
        <v>333</v>
      </c>
      <c r="D6146" t="str">
        <f>"25"</f>
        <v>25</v>
      </c>
      <c r="E6146" t="str">
        <f>"1-333-25"</f>
        <v>1-333-25</v>
      </c>
      <c r="F6146" t="s">
        <v>15</v>
      </c>
      <c r="G6146" t="s">
        <v>20</v>
      </c>
      <c r="H6146" t="s">
        <v>21</v>
      </c>
      <c r="I6146">
        <v>0</v>
      </c>
      <c r="J6146">
        <v>0</v>
      </c>
      <c r="K6146">
        <v>1</v>
      </c>
    </row>
    <row r="6147" spans="1:11" x14ac:dyDescent="0.25">
      <c r="A6147" t="str">
        <f>"7705"</f>
        <v>7705</v>
      </c>
      <c r="B6147" t="str">
        <f t="shared" si="399"/>
        <v>1</v>
      </c>
      <c r="C6147" t="str">
        <f t="shared" si="401"/>
        <v>333</v>
      </c>
      <c r="D6147" t="str">
        <f>"5"</f>
        <v>5</v>
      </c>
      <c r="E6147" t="str">
        <f>"1-333-5"</f>
        <v>1-333-5</v>
      </c>
      <c r="F6147" t="s">
        <v>15</v>
      </c>
      <c r="G6147" t="s">
        <v>20</v>
      </c>
      <c r="H6147" t="s">
        <v>21</v>
      </c>
      <c r="I6147">
        <v>0</v>
      </c>
      <c r="J6147">
        <v>0</v>
      </c>
      <c r="K6147">
        <v>1</v>
      </c>
    </row>
    <row r="6148" spans="1:11" x14ac:dyDescent="0.25">
      <c r="A6148" t="str">
        <f>"7706"</f>
        <v>7706</v>
      </c>
      <c r="B6148" t="str">
        <f t="shared" ref="B6148:B6205" si="402">"1"</f>
        <v>1</v>
      </c>
      <c r="C6148" t="str">
        <f t="shared" si="401"/>
        <v>333</v>
      </c>
      <c r="D6148" t="str">
        <f>"6"</f>
        <v>6</v>
      </c>
      <c r="E6148" t="str">
        <f>"1-333-6"</f>
        <v>1-333-6</v>
      </c>
      <c r="F6148" t="s">
        <v>15</v>
      </c>
      <c r="G6148" t="s">
        <v>16</v>
      </c>
      <c r="H6148" t="s">
        <v>17</v>
      </c>
      <c r="I6148">
        <v>0</v>
      </c>
      <c r="J6148">
        <v>0</v>
      </c>
      <c r="K6148">
        <v>1</v>
      </c>
    </row>
    <row r="6149" spans="1:11" x14ac:dyDescent="0.25">
      <c r="A6149" t="str">
        <f>"7707"</f>
        <v>7707</v>
      </c>
      <c r="B6149" t="str">
        <f t="shared" si="402"/>
        <v>1</v>
      </c>
      <c r="C6149" t="str">
        <f t="shared" si="401"/>
        <v>333</v>
      </c>
      <c r="D6149" t="str">
        <f>"12"</f>
        <v>12</v>
      </c>
      <c r="E6149" t="str">
        <f>"1-333-12"</f>
        <v>1-333-12</v>
      </c>
      <c r="F6149" t="s">
        <v>15</v>
      </c>
      <c r="G6149" t="s">
        <v>20</v>
      </c>
      <c r="H6149" t="s">
        <v>21</v>
      </c>
      <c r="I6149">
        <v>1</v>
      </c>
      <c r="J6149">
        <v>0</v>
      </c>
      <c r="K6149">
        <v>0</v>
      </c>
    </row>
    <row r="6150" spans="1:11" x14ac:dyDescent="0.25">
      <c r="A6150" t="str">
        <f>"7708"</f>
        <v>7708</v>
      </c>
      <c r="B6150" t="str">
        <f t="shared" si="402"/>
        <v>1</v>
      </c>
      <c r="C6150" t="str">
        <f t="shared" si="401"/>
        <v>333</v>
      </c>
      <c r="D6150" t="str">
        <f>"3"</f>
        <v>3</v>
      </c>
      <c r="E6150" t="str">
        <f>"1-333-3"</f>
        <v>1-333-3</v>
      </c>
      <c r="F6150" t="s">
        <v>15</v>
      </c>
      <c r="G6150" t="s">
        <v>20</v>
      </c>
      <c r="H6150" t="s">
        <v>21</v>
      </c>
      <c r="I6150">
        <v>1</v>
      </c>
      <c r="J6150">
        <v>0</v>
      </c>
      <c r="K6150">
        <v>0</v>
      </c>
    </row>
    <row r="6151" spans="1:11" x14ac:dyDescent="0.25">
      <c r="A6151" t="str">
        <f>"7709"</f>
        <v>7709</v>
      </c>
      <c r="B6151" t="str">
        <f t="shared" si="402"/>
        <v>1</v>
      </c>
      <c r="C6151" t="str">
        <f t="shared" si="401"/>
        <v>333</v>
      </c>
      <c r="D6151" t="str">
        <f>"13"</f>
        <v>13</v>
      </c>
      <c r="E6151" t="str">
        <f>"1-333-13"</f>
        <v>1-333-13</v>
      </c>
      <c r="F6151" t="s">
        <v>15</v>
      </c>
      <c r="G6151" t="s">
        <v>20</v>
      </c>
      <c r="H6151" t="s">
        <v>21</v>
      </c>
      <c r="I6151">
        <v>1</v>
      </c>
      <c r="J6151">
        <v>0</v>
      </c>
      <c r="K6151">
        <v>0</v>
      </c>
    </row>
    <row r="6152" spans="1:11" x14ac:dyDescent="0.25">
      <c r="A6152" t="str">
        <f>"7710"</f>
        <v>7710</v>
      </c>
      <c r="B6152" t="str">
        <f t="shared" si="402"/>
        <v>1</v>
      </c>
      <c r="C6152" t="str">
        <f t="shared" si="401"/>
        <v>333</v>
      </c>
      <c r="D6152" t="str">
        <f>"8"</f>
        <v>8</v>
      </c>
      <c r="E6152" t="str">
        <f>"1-333-8"</f>
        <v>1-333-8</v>
      </c>
      <c r="F6152" t="s">
        <v>15</v>
      </c>
      <c r="G6152" t="s">
        <v>20</v>
      </c>
      <c r="H6152" t="s">
        <v>21</v>
      </c>
      <c r="I6152">
        <v>1</v>
      </c>
      <c r="J6152">
        <v>0</v>
      </c>
      <c r="K6152">
        <v>0</v>
      </c>
    </row>
    <row r="6153" spans="1:11" x14ac:dyDescent="0.25">
      <c r="A6153" t="str">
        <f>"7711"</f>
        <v>7711</v>
      </c>
      <c r="B6153" t="str">
        <f t="shared" si="402"/>
        <v>1</v>
      </c>
      <c r="C6153" t="str">
        <f t="shared" si="401"/>
        <v>333</v>
      </c>
      <c r="D6153" t="str">
        <f>"9"</f>
        <v>9</v>
      </c>
      <c r="E6153" t="str">
        <f>"1-333-9"</f>
        <v>1-333-9</v>
      </c>
      <c r="F6153" t="s">
        <v>15</v>
      </c>
      <c r="G6153" t="s">
        <v>20</v>
      </c>
      <c r="H6153" t="s">
        <v>21</v>
      </c>
      <c r="I6153">
        <v>1</v>
      </c>
      <c r="J6153">
        <v>0</v>
      </c>
      <c r="K6153">
        <v>0</v>
      </c>
    </row>
    <row r="6154" spans="1:11" x14ac:dyDescent="0.25">
      <c r="A6154" t="str">
        <f>"7712"</f>
        <v>7712</v>
      </c>
      <c r="B6154" t="str">
        <f t="shared" si="402"/>
        <v>1</v>
      </c>
      <c r="C6154" t="str">
        <f t="shared" si="401"/>
        <v>333</v>
      </c>
      <c r="D6154" t="str">
        <f>"14"</f>
        <v>14</v>
      </c>
      <c r="E6154" t="str">
        <f>"1-333-14"</f>
        <v>1-333-14</v>
      </c>
      <c r="F6154" t="s">
        <v>15</v>
      </c>
      <c r="G6154" t="s">
        <v>20</v>
      </c>
      <c r="H6154" t="s">
        <v>21</v>
      </c>
      <c r="I6154">
        <v>0</v>
      </c>
      <c r="J6154">
        <v>0</v>
      </c>
      <c r="K6154">
        <v>1</v>
      </c>
    </row>
    <row r="6155" spans="1:11" x14ac:dyDescent="0.25">
      <c r="A6155" t="str">
        <f>"7713"</f>
        <v>7713</v>
      </c>
      <c r="B6155" t="str">
        <f t="shared" si="402"/>
        <v>1</v>
      </c>
      <c r="C6155" t="str">
        <f t="shared" si="401"/>
        <v>333</v>
      </c>
      <c r="D6155" t="str">
        <f>"4"</f>
        <v>4</v>
      </c>
      <c r="E6155" t="str">
        <f>"1-333-4"</f>
        <v>1-333-4</v>
      </c>
      <c r="F6155" t="s">
        <v>15</v>
      </c>
      <c r="G6155" t="s">
        <v>20</v>
      </c>
      <c r="H6155" t="s">
        <v>21</v>
      </c>
      <c r="I6155">
        <v>0</v>
      </c>
      <c r="J6155">
        <v>0</v>
      </c>
      <c r="K6155">
        <v>0</v>
      </c>
    </row>
    <row r="6156" spans="1:11" x14ac:dyDescent="0.25">
      <c r="A6156" t="str">
        <f>"7714"</f>
        <v>7714</v>
      </c>
      <c r="B6156" t="str">
        <f t="shared" si="402"/>
        <v>1</v>
      </c>
      <c r="C6156" t="str">
        <f t="shared" ref="C6156:C6180" si="403">"334"</f>
        <v>334</v>
      </c>
      <c r="D6156" t="str">
        <f>"21"</f>
        <v>21</v>
      </c>
      <c r="E6156" t="str">
        <f>"1-334-21"</f>
        <v>1-334-21</v>
      </c>
      <c r="F6156" t="s">
        <v>15</v>
      </c>
      <c r="G6156" t="s">
        <v>20</v>
      </c>
      <c r="H6156" t="s">
        <v>21</v>
      </c>
      <c r="I6156">
        <v>0</v>
      </c>
      <c r="J6156">
        <v>1</v>
      </c>
      <c r="K6156">
        <v>0</v>
      </c>
    </row>
    <row r="6157" spans="1:11" x14ac:dyDescent="0.25">
      <c r="A6157" t="str">
        <f>"7715"</f>
        <v>7715</v>
      </c>
      <c r="B6157" t="str">
        <f t="shared" si="402"/>
        <v>1</v>
      </c>
      <c r="C6157" t="str">
        <f t="shared" si="403"/>
        <v>334</v>
      </c>
      <c r="D6157" t="str">
        <f>"15"</f>
        <v>15</v>
      </c>
      <c r="E6157" t="str">
        <f>"1-334-15"</f>
        <v>1-334-15</v>
      </c>
      <c r="F6157" t="s">
        <v>15</v>
      </c>
      <c r="G6157" t="s">
        <v>20</v>
      </c>
      <c r="H6157" t="s">
        <v>21</v>
      </c>
      <c r="I6157">
        <v>1</v>
      </c>
      <c r="J6157">
        <v>0</v>
      </c>
      <c r="K6157">
        <v>0</v>
      </c>
    </row>
    <row r="6158" spans="1:11" x14ac:dyDescent="0.25">
      <c r="A6158" t="str">
        <f>"7716"</f>
        <v>7716</v>
      </c>
      <c r="B6158" t="str">
        <f t="shared" si="402"/>
        <v>1</v>
      </c>
      <c r="C6158" t="str">
        <f t="shared" si="403"/>
        <v>334</v>
      </c>
      <c r="D6158" t="str">
        <f>"2"</f>
        <v>2</v>
      </c>
      <c r="E6158" t="str">
        <f>"1-334-2"</f>
        <v>1-334-2</v>
      </c>
      <c r="F6158" t="s">
        <v>15</v>
      </c>
      <c r="G6158" t="s">
        <v>20</v>
      </c>
      <c r="H6158" t="s">
        <v>21</v>
      </c>
      <c r="I6158">
        <v>0</v>
      </c>
      <c r="J6158">
        <v>0</v>
      </c>
      <c r="K6158">
        <v>1</v>
      </c>
    </row>
    <row r="6159" spans="1:11" x14ac:dyDescent="0.25">
      <c r="A6159" t="str">
        <f>"7717"</f>
        <v>7717</v>
      </c>
      <c r="B6159" t="str">
        <f t="shared" si="402"/>
        <v>1</v>
      </c>
      <c r="C6159" t="str">
        <f t="shared" si="403"/>
        <v>334</v>
      </c>
      <c r="D6159" t="str">
        <f>"24"</f>
        <v>24</v>
      </c>
      <c r="E6159" t="str">
        <f>"1-334-24"</f>
        <v>1-334-24</v>
      </c>
      <c r="F6159" t="s">
        <v>15</v>
      </c>
      <c r="G6159" t="s">
        <v>20</v>
      </c>
      <c r="H6159" t="s">
        <v>21</v>
      </c>
      <c r="I6159">
        <v>1</v>
      </c>
      <c r="J6159">
        <v>0</v>
      </c>
      <c r="K6159">
        <v>0</v>
      </c>
    </row>
    <row r="6160" spans="1:11" x14ac:dyDescent="0.25">
      <c r="A6160" t="str">
        <f>"7718"</f>
        <v>7718</v>
      </c>
      <c r="B6160" t="str">
        <f t="shared" si="402"/>
        <v>1</v>
      </c>
      <c r="C6160" t="str">
        <f t="shared" si="403"/>
        <v>334</v>
      </c>
      <c r="D6160" t="str">
        <f>"16"</f>
        <v>16</v>
      </c>
      <c r="E6160" t="str">
        <f>"1-334-16"</f>
        <v>1-334-16</v>
      </c>
      <c r="F6160" t="s">
        <v>15</v>
      </c>
      <c r="G6160" t="s">
        <v>20</v>
      </c>
      <c r="H6160" t="s">
        <v>21</v>
      </c>
      <c r="I6160">
        <v>1</v>
      </c>
      <c r="J6160">
        <v>0</v>
      </c>
      <c r="K6160">
        <v>0</v>
      </c>
    </row>
    <row r="6161" spans="1:11" x14ac:dyDescent="0.25">
      <c r="A6161" t="str">
        <f>"7719"</f>
        <v>7719</v>
      </c>
      <c r="B6161" t="str">
        <f t="shared" si="402"/>
        <v>1</v>
      </c>
      <c r="C6161" t="str">
        <f t="shared" si="403"/>
        <v>334</v>
      </c>
      <c r="D6161" t="str">
        <f>"5"</f>
        <v>5</v>
      </c>
      <c r="E6161" t="str">
        <f>"1-334-5"</f>
        <v>1-334-5</v>
      </c>
      <c r="F6161" t="s">
        <v>15</v>
      </c>
      <c r="G6161" t="s">
        <v>20</v>
      </c>
      <c r="H6161" t="s">
        <v>21</v>
      </c>
      <c r="I6161">
        <v>1</v>
      </c>
      <c r="J6161">
        <v>0</v>
      </c>
      <c r="K6161">
        <v>0</v>
      </c>
    </row>
    <row r="6162" spans="1:11" x14ac:dyDescent="0.25">
      <c r="A6162" t="str">
        <f>"7720"</f>
        <v>7720</v>
      </c>
      <c r="B6162" t="str">
        <f t="shared" si="402"/>
        <v>1</v>
      </c>
      <c r="C6162" t="str">
        <f t="shared" si="403"/>
        <v>334</v>
      </c>
      <c r="D6162" t="str">
        <f>"17"</f>
        <v>17</v>
      </c>
      <c r="E6162" t="str">
        <f>"1-334-17"</f>
        <v>1-334-17</v>
      </c>
      <c r="F6162" t="s">
        <v>15</v>
      </c>
      <c r="G6162" t="s">
        <v>20</v>
      </c>
      <c r="H6162" t="s">
        <v>21</v>
      </c>
      <c r="I6162">
        <v>0</v>
      </c>
      <c r="J6162">
        <v>0</v>
      </c>
      <c r="K6162">
        <v>1</v>
      </c>
    </row>
    <row r="6163" spans="1:11" x14ac:dyDescent="0.25">
      <c r="A6163" t="str">
        <f>"7721"</f>
        <v>7721</v>
      </c>
      <c r="B6163" t="str">
        <f t="shared" si="402"/>
        <v>1</v>
      </c>
      <c r="C6163" t="str">
        <f t="shared" si="403"/>
        <v>334</v>
      </c>
      <c r="D6163" t="str">
        <f>"18"</f>
        <v>18</v>
      </c>
      <c r="E6163" t="str">
        <f>"1-334-18"</f>
        <v>1-334-18</v>
      </c>
      <c r="F6163" t="s">
        <v>15</v>
      </c>
      <c r="G6163" t="s">
        <v>20</v>
      </c>
      <c r="H6163" t="s">
        <v>21</v>
      </c>
      <c r="I6163">
        <v>0</v>
      </c>
      <c r="J6163">
        <v>1</v>
      </c>
      <c r="K6163">
        <v>0</v>
      </c>
    </row>
    <row r="6164" spans="1:11" x14ac:dyDescent="0.25">
      <c r="A6164" t="str">
        <f>"7722"</f>
        <v>7722</v>
      </c>
      <c r="B6164" t="str">
        <f t="shared" si="402"/>
        <v>1</v>
      </c>
      <c r="C6164" t="str">
        <f t="shared" si="403"/>
        <v>334</v>
      </c>
      <c r="D6164" t="str">
        <f>"8"</f>
        <v>8</v>
      </c>
      <c r="E6164" t="str">
        <f>"1-334-8"</f>
        <v>1-334-8</v>
      </c>
      <c r="F6164" t="s">
        <v>15</v>
      </c>
      <c r="G6164" t="s">
        <v>20</v>
      </c>
      <c r="H6164" t="s">
        <v>21</v>
      </c>
      <c r="I6164">
        <v>0</v>
      </c>
      <c r="J6164">
        <v>1</v>
      </c>
      <c r="K6164">
        <v>0</v>
      </c>
    </row>
    <row r="6165" spans="1:11" x14ac:dyDescent="0.25">
      <c r="A6165" t="str">
        <f>"7723"</f>
        <v>7723</v>
      </c>
      <c r="B6165" t="str">
        <f t="shared" si="402"/>
        <v>1</v>
      </c>
      <c r="C6165" t="str">
        <f t="shared" si="403"/>
        <v>334</v>
      </c>
      <c r="D6165" t="str">
        <f>"19"</f>
        <v>19</v>
      </c>
      <c r="E6165" t="str">
        <f>"1-334-19"</f>
        <v>1-334-19</v>
      </c>
      <c r="F6165" t="s">
        <v>15</v>
      </c>
      <c r="G6165" t="s">
        <v>20</v>
      </c>
      <c r="H6165" t="s">
        <v>21</v>
      </c>
      <c r="I6165">
        <v>0</v>
      </c>
      <c r="J6165">
        <v>0</v>
      </c>
      <c r="K6165">
        <v>1</v>
      </c>
    </row>
    <row r="6166" spans="1:11" x14ac:dyDescent="0.25">
      <c r="A6166" t="str">
        <f>"7724"</f>
        <v>7724</v>
      </c>
      <c r="B6166" t="str">
        <f t="shared" si="402"/>
        <v>1</v>
      </c>
      <c r="C6166" t="str">
        <f t="shared" si="403"/>
        <v>334</v>
      </c>
      <c r="D6166" t="str">
        <f>"14"</f>
        <v>14</v>
      </c>
      <c r="E6166" t="str">
        <f>"1-334-14"</f>
        <v>1-334-14</v>
      </c>
      <c r="F6166" t="s">
        <v>15</v>
      </c>
      <c r="G6166" t="s">
        <v>20</v>
      </c>
      <c r="H6166" t="s">
        <v>21</v>
      </c>
      <c r="I6166">
        <v>1</v>
      </c>
      <c r="J6166">
        <v>0</v>
      </c>
      <c r="K6166">
        <v>0</v>
      </c>
    </row>
    <row r="6167" spans="1:11" x14ac:dyDescent="0.25">
      <c r="A6167" t="str">
        <f>"7725"</f>
        <v>7725</v>
      </c>
      <c r="B6167" t="str">
        <f t="shared" si="402"/>
        <v>1</v>
      </c>
      <c r="C6167" t="str">
        <f t="shared" si="403"/>
        <v>334</v>
      </c>
      <c r="D6167" t="str">
        <f>"20"</f>
        <v>20</v>
      </c>
      <c r="E6167" t="str">
        <f>"1-334-20"</f>
        <v>1-334-20</v>
      </c>
      <c r="F6167" t="s">
        <v>15</v>
      </c>
      <c r="G6167" t="s">
        <v>20</v>
      </c>
      <c r="H6167" t="s">
        <v>21</v>
      </c>
      <c r="I6167">
        <v>0</v>
      </c>
      <c r="J6167">
        <v>0</v>
      </c>
      <c r="K6167">
        <v>1</v>
      </c>
    </row>
    <row r="6168" spans="1:11" x14ac:dyDescent="0.25">
      <c r="A6168" t="str">
        <f>"7726"</f>
        <v>7726</v>
      </c>
      <c r="B6168" t="str">
        <f t="shared" si="402"/>
        <v>1</v>
      </c>
      <c r="C6168" t="str">
        <f t="shared" si="403"/>
        <v>334</v>
      </c>
      <c r="D6168" t="str">
        <f>"12"</f>
        <v>12</v>
      </c>
      <c r="E6168" t="str">
        <f>"1-334-12"</f>
        <v>1-334-12</v>
      </c>
      <c r="F6168" t="s">
        <v>15</v>
      </c>
      <c r="G6168" t="s">
        <v>20</v>
      </c>
      <c r="H6168" t="s">
        <v>21</v>
      </c>
      <c r="I6168">
        <v>0</v>
      </c>
      <c r="J6168">
        <v>1</v>
      </c>
      <c r="K6168">
        <v>0</v>
      </c>
    </row>
    <row r="6169" spans="1:11" x14ac:dyDescent="0.25">
      <c r="A6169" t="str">
        <f>"7727"</f>
        <v>7727</v>
      </c>
      <c r="B6169" t="str">
        <f t="shared" si="402"/>
        <v>1</v>
      </c>
      <c r="C6169" t="str">
        <f t="shared" si="403"/>
        <v>334</v>
      </c>
      <c r="D6169" t="str">
        <f>"22"</f>
        <v>22</v>
      </c>
      <c r="E6169" t="str">
        <f>"1-334-22"</f>
        <v>1-334-22</v>
      </c>
      <c r="F6169" t="s">
        <v>15</v>
      </c>
      <c r="G6169" t="s">
        <v>20</v>
      </c>
      <c r="H6169" t="s">
        <v>21</v>
      </c>
      <c r="I6169">
        <v>1</v>
      </c>
      <c r="J6169">
        <v>0</v>
      </c>
      <c r="K6169">
        <v>0</v>
      </c>
    </row>
    <row r="6170" spans="1:11" x14ac:dyDescent="0.25">
      <c r="A6170" t="str">
        <f>"7728"</f>
        <v>7728</v>
      </c>
      <c r="B6170" t="str">
        <f t="shared" si="402"/>
        <v>1</v>
      </c>
      <c r="C6170" t="str">
        <f t="shared" si="403"/>
        <v>334</v>
      </c>
      <c r="D6170" t="str">
        <f>"7"</f>
        <v>7</v>
      </c>
      <c r="E6170" t="str">
        <f>"1-334-7"</f>
        <v>1-334-7</v>
      </c>
      <c r="F6170" t="s">
        <v>15</v>
      </c>
      <c r="G6170" t="s">
        <v>20</v>
      </c>
      <c r="H6170" t="s">
        <v>21</v>
      </c>
      <c r="I6170">
        <v>0</v>
      </c>
      <c r="J6170">
        <v>0</v>
      </c>
      <c r="K6170">
        <v>1</v>
      </c>
    </row>
    <row r="6171" spans="1:11" x14ac:dyDescent="0.25">
      <c r="A6171" t="str">
        <f>"7729"</f>
        <v>7729</v>
      </c>
      <c r="B6171" t="str">
        <f t="shared" si="402"/>
        <v>1</v>
      </c>
      <c r="C6171" t="str">
        <f t="shared" si="403"/>
        <v>334</v>
      </c>
      <c r="D6171" t="str">
        <f>"23"</f>
        <v>23</v>
      </c>
      <c r="E6171" t="str">
        <f>"1-334-23"</f>
        <v>1-334-23</v>
      </c>
      <c r="F6171" t="s">
        <v>15</v>
      </c>
      <c r="G6171" t="s">
        <v>20</v>
      </c>
      <c r="H6171" t="s">
        <v>21</v>
      </c>
      <c r="I6171">
        <v>1</v>
      </c>
      <c r="J6171">
        <v>0</v>
      </c>
      <c r="K6171">
        <v>0</v>
      </c>
    </row>
    <row r="6172" spans="1:11" x14ac:dyDescent="0.25">
      <c r="A6172" t="str">
        <f>"7730"</f>
        <v>7730</v>
      </c>
      <c r="B6172" t="str">
        <f t="shared" si="402"/>
        <v>1</v>
      </c>
      <c r="C6172" t="str">
        <f t="shared" si="403"/>
        <v>334</v>
      </c>
      <c r="D6172" t="str">
        <f>"10"</f>
        <v>10</v>
      </c>
      <c r="E6172" t="str">
        <f>"1-334-10"</f>
        <v>1-334-10</v>
      </c>
      <c r="F6172" t="s">
        <v>15</v>
      </c>
      <c r="G6172" t="s">
        <v>20</v>
      </c>
      <c r="H6172" t="s">
        <v>21</v>
      </c>
      <c r="I6172">
        <v>0</v>
      </c>
      <c r="J6172">
        <v>1</v>
      </c>
      <c r="K6172">
        <v>0</v>
      </c>
    </row>
    <row r="6173" spans="1:11" x14ac:dyDescent="0.25">
      <c r="A6173" t="str">
        <f>"7731"</f>
        <v>7731</v>
      </c>
      <c r="B6173" t="str">
        <f t="shared" si="402"/>
        <v>1</v>
      </c>
      <c r="C6173" t="str">
        <f t="shared" si="403"/>
        <v>334</v>
      </c>
      <c r="D6173" t="str">
        <f>"25"</f>
        <v>25</v>
      </c>
      <c r="E6173" t="str">
        <f>"1-334-25"</f>
        <v>1-334-25</v>
      </c>
      <c r="F6173" t="s">
        <v>15</v>
      </c>
      <c r="G6173" t="s">
        <v>20</v>
      </c>
      <c r="H6173" t="s">
        <v>21</v>
      </c>
      <c r="I6173">
        <v>0</v>
      </c>
      <c r="J6173">
        <v>0</v>
      </c>
      <c r="K6173">
        <v>1</v>
      </c>
    </row>
    <row r="6174" spans="1:11" x14ac:dyDescent="0.25">
      <c r="A6174" t="str">
        <f>"7732"</f>
        <v>7732</v>
      </c>
      <c r="B6174" t="str">
        <f t="shared" si="402"/>
        <v>1</v>
      </c>
      <c r="C6174" t="str">
        <f t="shared" si="403"/>
        <v>334</v>
      </c>
      <c r="D6174" t="str">
        <f>"11"</f>
        <v>11</v>
      </c>
      <c r="E6174" t="str">
        <f>"1-334-11"</f>
        <v>1-334-11</v>
      </c>
      <c r="F6174" t="s">
        <v>15</v>
      </c>
      <c r="G6174" t="s">
        <v>20</v>
      </c>
      <c r="H6174" t="s">
        <v>21</v>
      </c>
      <c r="I6174">
        <v>0</v>
      </c>
      <c r="J6174">
        <v>0</v>
      </c>
      <c r="K6174">
        <v>1</v>
      </c>
    </row>
    <row r="6175" spans="1:11" x14ac:dyDescent="0.25">
      <c r="A6175" t="str">
        <f>"7733"</f>
        <v>7733</v>
      </c>
      <c r="B6175" t="str">
        <f t="shared" si="402"/>
        <v>1</v>
      </c>
      <c r="C6175" t="str">
        <f t="shared" si="403"/>
        <v>334</v>
      </c>
      <c r="D6175" t="str">
        <f>"6"</f>
        <v>6</v>
      </c>
      <c r="E6175" t="str">
        <f>"1-334-6"</f>
        <v>1-334-6</v>
      </c>
      <c r="F6175" t="s">
        <v>15</v>
      </c>
      <c r="G6175" t="s">
        <v>20</v>
      </c>
      <c r="H6175" t="s">
        <v>21</v>
      </c>
      <c r="I6175">
        <v>0</v>
      </c>
      <c r="J6175">
        <v>0</v>
      </c>
      <c r="K6175">
        <v>1</v>
      </c>
    </row>
    <row r="6176" spans="1:11" x14ac:dyDescent="0.25">
      <c r="A6176" t="str">
        <f>"7734"</f>
        <v>7734</v>
      </c>
      <c r="B6176" t="str">
        <f t="shared" si="402"/>
        <v>1</v>
      </c>
      <c r="C6176" t="str">
        <f t="shared" si="403"/>
        <v>334</v>
      </c>
      <c r="D6176" t="str">
        <f>"13"</f>
        <v>13</v>
      </c>
      <c r="E6176" t="str">
        <f>"1-334-13"</f>
        <v>1-334-13</v>
      </c>
      <c r="F6176" t="s">
        <v>15</v>
      </c>
      <c r="G6176" t="s">
        <v>20</v>
      </c>
      <c r="H6176" t="s">
        <v>21</v>
      </c>
      <c r="I6176">
        <v>0</v>
      </c>
      <c r="J6176">
        <v>0</v>
      </c>
      <c r="K6176">
        <v>1</v>
      </c>
    </row>
    <row r="6177" spans="1:11" x14ac:dyDescent="0.25">
      <c r="A6177" t="str">
        <f>"7735"</f>
        <v>7735</v>
      </c>
      <c r="B6177" t="str">
        <f t="shared" si="402"/>
        <v>1</v>
      </c>
      <c r="C6177" t="str">
        <f t="shared" si="403"/>
        <v>334</v>
      </c>
      <c r="D6177" t="str">
        <f>"4"</f>
        <v>4</v>
      </c>
      <c r="E6177" t="str">
        <f>"1-334-4"</f>
        <v>1-334-4</v>
      </c>
      <c r="F6177" t="s">
        <v>15</v>
      </c>
      <c r="G6177" t="s">
        <v>20</v>
      </c>
      <c r="H6177" t="s">
        <v>21</v>
      </c>
      <c r="I6177">
        <v>1</v>
      </c>
      <c r="J6177">
        <v>0</v>
      </c>
      <c r="K6177">
        <v>0</v>
      </c>
    </row>
    <row r="6178" spans="1:11" x14ac:dyDescent="0.25">
      <c r="A6178" t="str">
        <f>"7736"</f>
        <v>7736</v>
      </c>
      <c r="B6178" t="str">
        <f t="shared" si="402"/>
        <v>1</v>
      </c>
      <c r="C6178" t="str">
        <f t="shared" si="403"/>
        <v>334</v>
      </c>
      <c r="D6178" t="str">
        <f>"9"</f>
        <v>9</v>
      </c>
      <c r="E6178" t="str">
        <f>"1-334-9"</f>
        <v>1-334-9</v>
      </c>
      <c r="F6178" t="s">
        <v>15</v>
      </c>
      <c r="G6178" t="s">
        <v>20</v>
      </c>
      <c r="H6178" t="s">
        <v>21</v>
      </c>
      <c r="I6178">
        <v>0</v>
      </c>
      <c r="J6178">
        <v>0</v>
      </c>
      <c r="K6178">
        <v>1</v>
      </c>
    </row>
    <row r="6179" spans="1:11" x14ac:dyDescent="0.25">
      <c r="A6179" t="str">
        <f>"7737"</f>
        <v>7737</v>
      </c>
      <c r="B6179" t="str">
        <f t="shared" si="402"/>
        <v>1</v>
      </c>
      <c r="C6179" t="str">
        <f t="shared" si="403"/>
        <v>334</v>
      </c>
      <c r="D6179" t="str">
        <f>"3"</f>
        <v>3</v>
      </c>
      <c r="E6179" t="str">
        <f>"1-334-3"</f>
        <v>1-334-3</v>
      </c>
      <c r="F6179" t="s">
        <v>15</v>
      </c>
      <c r="G6179" t="s">
        <v>20</v>
      </c>
      <c r="H6179" t="s">
        <v>21</v>
      </c>
      <c r="I6179">
        <v>0</v>
      </c>
      <c r="J6179">
        <v>1</v>
      </c>
      <c r="K6179">
        <v>0</v>
      </c>
    </row>
    <row r="6180" spans="1:11" x14ac:dyDescent="0.25">
      <c r="A6180" t="str">
        <f>"7738"</f>
        <v>7738</v>
      </c>
      <c r="B6180" t="str">
        <f t="shared" si="402"/>
        <v>1</v>
      </c>
      <c r="C6180" t="str">
        <f t="shared" si="403"/>
        <v>334</v>
      </c>
      <c r="D6180" t="str">
        <f>"1"</f>
        <v>1</v>
      </c>
      <c r="E6180" t="str">
        <f>"1-334-1"</f>
        <v>1-334-1</v>
      </c>
      <c r="F6180" t="s">
        <v>15</v>
      </c>
      <c r="G6180" t="s">
        <v>20</v>
      </c>
      <c r="H6180" t="s">
        <v>21</v>
      </c>
      <c r="I6180">
        <v>0</v>
      </c>
      <c r="J6180">
        <v>0</v>
      </c>
      <c r="K6180">
        <v>0</v>
      </c>
    </row>
    <row r="6181" spans="1:11" x14ac:dyDescent="0.25">
      <c r="A6181" t="str">
        <f>"7739"</f>
        <v>7739</v>
      </c>
      <c r="B6181" t="str">
        <f t="shared" si="402"/>
        <v>1</v>
      </c>
      <c r="C6181" t="str">
        <f t="shared" ref="C6181:C6201" si="404">"335"</f>
        <v>335</v>
      </c>
      <c r="D6181" t="str">
        <f>"26"</f>
        <v>26</v>
      </c>
      <c r="E6181" t="str">
        <f>"1-335-26"</f>
        <v>1-335-26</v>
      </c>
      <c r="F6181" t="s">
        <v>15</v>
      </c>
      <c r="G6181" t="s">
        <v>20</v>
      </c>
      <c r="H6181" t="s">
        <v>21</v>
      </c>
      <c r="I6181">
        <v>0</v>
      </c>
      <c r="J6181">
        <v>0</v>
      </c>
      <c r="K6181">
        <v>1</v>
      </c>
    </row>
    <row r="6182" spans="1:11" x14ac:dyDescent="0.25">
      <c r="A6182" t="str">
        <f>"7740"</f>
        <v>7740</v>
      </c>
      <c r="B6182" t="str">
        <f t="shared" si="402"/>
        <v>1</v>
      </c>
      <c r="C6182" t="str">
        <f t="shared" si="404"/>
        <v>335</v>
      </c>
      <c r="D6182" t="str">
        <f>"25"</f>
        <v>25</v>
      </c>
      <c r="E6182" t="str">
        <f>"1-335-25"</f>
        <v>1-335-25</v>
      </c>
      <c r="F6182" t="s">
        <v>15</v>
      </c>
      <c r="G6182" t="s">
        <v>20</v>
      </c>
      <c r="H6182" t="s">
        <v>21</v>
      </c>
      <c r="I6182">
        <v>0</v>
      </c>
      <c r="J6182">
        <v>0</v>
      </c>
      <c r="K6182">
        <v>1</v>
      </c>
    </row>
    <row r="6183" spans="1:11" x14ac:dyDescent="0.25">
      <c r="A6183" t="str">
        <f>"7741"</f>
        <v>7741</v>
      </c>
      <c r="B6183" t="str">
        <f t="shared" si="402"/>
        <v>1</v>
      </c>
      <c r="C6183" t="str">
        <f t="shared" si="404"/>
        <v>335</v>
      </c>
      <c r="D6183" t="str">
        <f>"17"</f>
        <v>17</v>
      </c>
      <c r="E6183" t="str">
        <f>"1-335-17"</f>
        <v>1-335-17</v>
      </c>
      <c r="F6183" t="s">
        <v>15</v>
      </c>
      <c r="G6183" t="s">
        <v>20</v>
      </c>
      <c r="H6183" t="s">
        <v>21</v>
      </c>
      <c r="I6183">
        <v>1</v>
      </c>
      <c r="J6183">
        <v>0</v>
      </c>
      <c r="K6183">
        <v>0</v>
      </c>
    </row>
    <row r="6184" spans="1:11" x14ac:dyDescent="0.25">
      <c r="A6184" t="str">
        <f>"7742"</f>
        <v>7742</v>
      </c>
      <c r="B6184" t="str">
        <f t="shared" si="402"/>
        <v>1</v>
      </c>
      <c r="C6184" t="str">
        <f t="shared" si="404"/>
        <v>335</v>
      </c>
      <c r="D6184" t="str">
        <f>"15"</f>
        <v>15</v>
      </c>
      <c r="E6184" t="str">
        <f>"1-335-15"</f>
        <v>1-335-15</v>
      </c>
      <c r="F6184" t="s">
        <v>15</v>
      </c>
      <c r="G6184" t="s">
        <v>20</v>
      </c>
      <c r="H6184" t="s">
        <v>21</v>
      </c>
      <c r="I6184">
        <v>1</v>
      </c>
      <c r="J6184">
        <v>0</v>
      </c>
      <c r="K6184">
        <v>0</v>
      </c>
    </row>
    <row r="6185" spans="1:11" x14ac:dyDescent="0.25">
      <c r="A6185" t="str">
        <f>"7743"</f>
        <v>7743</v>
      </c>
      <c r="B6185" t="str">
        <f t="shared" si="402"/>
        <v>1</v>
      </c>
      <c r="C6185" t="str">
        <f t="shared" si="404"/>
        <v>335</v>
      </c>
      <c r="D6185" t="str">
        <f>"1"</f>
        <v>1</v>
      </c>
      <c r="E6185" t="str">
        <f>"1-335-1"</f>
        <v>1-335-1</v>
      </c>
      <c r="F6185" t="s">
        <v>15</v>
      </c>
      <c r="G6185" t="s">
        <v>20</v>
      </c>
      <c r="H6185" t="s">
        <v>21</v>
      </c>
      <c r="I6185">
        <v>0</v>
      </c>
      <c r="J6185">
        <v>0</v>
      </c>
      <c r="K6185">
        <v>1</v>
      </c>
    </row>
    <row r="6186" spans="1:11" x14ac:dyDescent="0.25">
      <c r="A6186" t="str">
        <f>"7744"</f>
        <v>7744</v>
      </c>
      <c r="B6186" t="str">
        <f t="shared" si="402"/>
        <v>1</v>
      </c>
      <c r="C6186" t="str">
        <f t="shared" si="404"/>
        <v>335</v>
      </c>
      <c r="D6186" t="str">
        <f>"16"</f>
        <v>16</v>
      </c>
      <c r="E6186" t="str">
        <f>"1-335-16"</f>
        <v>1-335-16</v>
      </c>
      <c r="F6186" t="s">
        <v>15</v>
      </c>
      <c r="G6186" t="s">
        <v>20</v>
      </c>
      <c r="H6186" t="s">
        <v>21</v>
      </c>
      <c r="I6186">
        <v>0</v>
      </c>
      <c r="J6186">
        <v>0</v>
      </c>
      <c r="K6186">
        <v>1</v>
      </c>
    </row>
    <row r="6187" spans="1:11" x14ac:dyDescent="0.25">
      <c r="A6187" t="str">
        <f>"7745"</f>
        <v>7745</v>
      </c>
      <c r="B6187" t="str">
        <f t="shared" si="402"/>
        <v>1</v>
      </c>
      <c r="C6187" t="str">
        <f t="shared" si="404"/>
        <v>335</v>
      </c>
      <c r="D6187" t="str">
        <f>"5"</f>
        <v>5</v>
      </c>
      <c r="E6187" t="str">
        <f>"1-335-5"</f>
        <v>1-335-5</v>
      </c>
      <c r="F6187" t="s">
        <v>15</v>
      </c>
      <c r="G6187" t="s">
        <v>20</v>
      </c>
      <c r="H6187" t="s">
        <v>21</v>
      </c>
      <c r="I6187">
        <v>0</v>
      </c>
      <c r="J6187">
        <v>1</v>
      </c>
      <c r="K6187">
        <v>0</v>
      </c>
    </row>
    <row r="6188" spans="1:11" x14ac:dyDescent="0.25">
      <c r="A6188" t="str">
        <f>"7750"</f>
        <v>7750</v>
      </c>
      <c r="B6188" t="str">
        <f t="shared" si="402"/>
        <v>1</v>
      </c>
      <c r="C6188" t="str">
        <f t="shared" si="404"/>
        <v>335</v>
      </c>
      <c r="D6188" t="str">
        <f>"20"</f>
        <v>20</v>
      </c>
      <c r="E6188" t="str">
        <f>"1-335-20"</f>
        <v>1-335-20</v>
      </c>
      <c r="F6188" t="s">
        <v>15</v>
      </c>
      <c r="G6188" t="s">
        <v>20</v>
      </c>
      <c r="H6188" t="s">
        <v>21</v>
      </c>
      <c r="I6188">
        <v>0</v>
      </c>
      <c r="J6188">
        <v>1</v>
      </c>
      <c r="K6188">
        <v>0</v>
      </c>
    </row>
    <row r="6189" spans="1:11" x14ac:dyDescent="0.25">
      <c r="A6189" t="str">
        <f>"7752"</f>
        <v>7752</v>
      </c>
      <c r="B6189" t="str">
        <f t="shared" si="402"/>
        <v>1</v>
      </c>
      <c r="C6189" t="str">
        <f t="shared" si="404"/>
        <v>335</v>
      </c>
      <c r="D6189" t="str">
        <f>"21"</f>
        <v>21</v>
      </c>
      <c r="E6189" t="str">
        <f>"1-335-21"</f>
        <v>1-335-21</v>
      </c>
      <c r="F6189" t="s">
        <v>15</v>
      </c>
      <c r="G6189" t="s">
        <v>20</v>
      </c>
      <c r="H6189" t="s">
        <v>21</v>
      </c>
      <c r="I6189">
        <v>0</v>
      </c>
      <c r="J6189">
        <v>0</v>
      </c>
      <c r="K6189">
        <v>1</v>
      </c>
    </row>
    <row r="6190" spans="1:11" x14ac:dyDescent="0.25">
      <c r="A6190" t="str">
        <f>"7753"</f>
        <v>7753</v>
      </c>
      <c r="B6190" t="str">
        <f t="shared" si="402"/>
        <v>1</v>
      </c>
      <c r="C6190" t="str">
        <f t="shared" si="404"/>
        <v>335</v>
      </c>
      <c r="D6190" t="str">
        <f>"22"</f>
        <v>22</v>
      </c>
      <c r="E6190" t="str">
        <f>"1-335-22"</f>
        <v>1-335-22</v>
      </c>
      <c r="F6190" t="s">
        <v>15</v>
      </c>
      <c r="G6190" t="s">
        <v>20</v>
      </c>
      <c r="H6190" t="s">
        <v>21</v>
      </c>
      <c r="I6190">
        <v>1</v>
      </c>
      <c r="J6190">
        <v>0</v>
      </c>
      <c r="K6190">
        <v>0</v>
      </c>
    </row>
    <row r="6191" spans="1:11" x14ac:dyDescent="0.25">
      <c r="A6191" t="str">
        <f>"7754"</f>
        <v>7754</v>
      </c>
      <c r="B6191" t="str">
        <f t="shared" si="402"/>
        <v>1</v>
      </c>
      <c r="C6191" t="str">
        <f t="shared" si="404"/>
        <v>335</v>
      </c>
      <c r="D6191" t="str">
        <f>"10"</f>
        <v>10</v>
      </c>
      <c r="E6191" t="str">
        <f>"1-335-10"</f>
        <v>1-335-10</v>
      </c>
      <c r="F6191" t="s">
        <v>15</v>
      </c>
      <c r="G6191" t="s">
        <v>20</v>
      </c>
      <c r="H6191" t="s">
        <v>21</v>
      </c>
      <c r="I6191">
        <v>1</v>
      </c>
      <c r="J6191">
        <v>0</v>
      </c>
      <c r="K6191">
        <v>0</v>
      </c>
    </row>
    <row r="6192" spans="1:11" x14ac:dyDescent="0.25">
      <c r="A6192" t="str">
        <f>"7755"</f>
        <v>7755</v>
      </c>
      <c r="B6192" t="str">
        <f t="shared" si="402"/>
        <v>1</v>
      </c>
      <c r="C6192" t="str">
        <f t="shared" si="404"/>
        <v>335</v>
      </c>
      <c r="D6192" t="str">
        <f>"23"</f>
        <v>23</v>
      </c>
      <c r="E6192" t="str">
        <f>"1-335-23"</f>
        <v>1-335-23</v>
      </c>
      <c r="F6192" t="s">
        <v>15</v>
      </c>
      <c r="G6192" t="s">
        <v>20</v>
      </c>
      <c r="H6192" t="s">
        <v>21</v>
      </c>
      <c r="I6192">
        <v>0</v>
      </c>
      <c r="J6192">
        <v>1</v>
      </c>
      <c r="K6192">
        <v>0</v>
      </c>
    </row>
    <row r="6193" spans="1:11" x14ac:dyDescent="0.25">
      <c r="A6193" t="str">
        <f>"7756"</f>
        <v>7756</v>
      </c>
      <c r="B6193" t="str">
        <f t="shared" si="402"/>
        <v>1</v>
      </c>
      <c r="C6193" t="str">
        <f t="shared" si="404"/>
        <v>335</v>
      </c>
      <c r="D6193" t="str">
        <f>"6"</f>
        <v>6</v>
      </c>
      <c r="E6193" t="str">
        <f>"1-335-6"</f>
        <v>1-335-6</v>
      </c>
      <c r="F6193" t="s">
        <v>15</v>
      </c>
      <c r="G6193" t="s">
        <v>20</v>
      </c>
      <c r="H6193" t="s">
        <v>21</v>
      </c>
      <c r="I6193">
        <v>0</v>
      </c>
      <c r="J6193">
        <v>0</v>
      </c>
      <c r="K6193">
        <v>1</v>
      </c>
    </row>
    <row r="6194" spans="1:11" x14ac:dyDescent="0.25">
      <c r="A6194" t="str">
        <f>"7757"</f>
        <v>7757</v>
      </c>
      <c r="B6194" t="str">
        <f t="shared" si="402"/>
        <v>1</v>
      </c>
      <c r="C6194" t="str">
        <f t="shared" si="404"/>
        <v>335</v>
      </c>
      <c r="D6194" t="str">
        <f>"13"</f>
        <v>13</v>
      </c>
      <c r="E6194" t="str">
        <f>"1-335-13"</f>
        <v>1-335-13</v>
      </c>
      <c r="F6194" t="s">
        <v>15</v>
      </c>
      <c r="G6194" t="s">
        <v>20</v>
      </c>
      <c r="H6194" t="s">
        <v>21</v>
      </c>
      <c r="I6194">
        <v>0</v>
      </c>
      <c r="J6194">
        <v>0</v>
      </c>
      <c r="K6194">
        <v>1</v>
      </c>
    </row>
    <row r="6195" spans="1:11" x14ac:dyDescent="0.25">
      <c r="A6195" t="str">
        <f>"7759"</f>
        <v>7759</v>
      </c>
      <c r="B6195" t="str">
        <f t="shared" si="402"/>
        <v>1</v>
      </c>
      <c r="C6195" t="str">
        <f t="shared" si="404"/>
        <v>335</v>
      </c>
      <c r="D6195" t="str">
        <f>"14"</f>
        <v>14</v>
      </c>
      <c r="E6195" t="str">
        <f>"1-335-14"</f>
        <v>1-335-14</v>
      </c>
      <c r="F6195" t="s">
        <v>15</v>
      </c>
      <c r="G6195" t="s">
        <v>20</v>
      </c>
      <c r="H6195" t="s">
        <v>21</v>
      </c>
      <c r="I6195">
        <v>0</v>
      </c>
      <c r="J6195">
        <v>0</v>
      </c>
      <c r="K6195">
        <v>1</v>
      </c>
    </row>
    <row r="6196" spans="1:11" x14ac:dyDescent="0.25">
      <c r="A6196" t="str">
        <f>"7760"</f>
        <v>7760</v>
      </c>
      <c r="B6196" t="str">
        <f t="shared" si="402"/>
        <v>1</v>
      </c>
      <c r="C6196" t="str">
        <f t="shared" si="404"/>
        <v>335</v>
      </c>
      <c r="D6196" t="str">
        <f>"9"</f>
        <v>9</v>
      </c>
      <c r="E6196" t="str">
        <f>"1-335-9"</f>
        <v>1-335-9</v>
      </c>
      <c r="F6196" t="s">
        <v>15</v>
      </c>
      <c r="G6196" t="s">
        <v>20</v>
      </c>
      <c r="H6196" t="s">
        <v>21</v>
      </c>
      <c r="I6196">
        <v>1</v>
      </c>
      <c r="J6196">
        <v>0</v>
      </c>
      <c r="K6196">
        <v>0</v>
      </c>
    </row>
    <row r="6197" spans="1:11" x14ac:dyDescent="0.25">
      <c r="A6197" t="str">
        <f>"7761"</f>
        <v>7761</v>
      </c>
      <c r="B6197" t="str">
        <f t="shared" si="402"/>
        <v>1</v>
      </c>
      <c r="C6197" t="str">
        <f t="shared" si="404"/>
        <v>335</v>
      </c>
      <c r="D6197" t="str">
        <f>"11"</f>
        <v>11</v>
      </c>
      <c r="E6197" t="str">
        <f>"1-335-11"</f>
        <v>1-335-11</v>
      </c>
      <c r="F6197" t="s">
        <v>15</v>
      </c>
      <c r="G6197" t="s">
        <v>20</v>
      </c>
      <c r="H6197" t="s">
        <v>21</v>
      </c>
      <c r="I6197">
        <v>0</v>
      </c>
      <c r="J6197">
        <v>0</v>
      </c>
      <c r="K6197">
        <v>1</v>
      </c>
    </row>
    <row r="6198" spans="1:11" x14ac:dyDescent="0.25">
      <c r="A6198" t="str">
        <f>"7762"</f>
        <v>7762</v>
      </c>
      <c r="B6198" t="str">
        <f t="shared" si="402"/>
        <v>1</v>
      </c>
      <c r="C6198" t="str">
        <f t="shared" si="404"/>
        <v>335</v>
      </c>
      <c r="D6198" t="str">
        <f>"12"</f>
        <v>12</v>
      </c>
      <c r="E6198" t="str">
        <f>"1-335-12"</f>
        <v>1-335-12</v>
      </c>
      <c r="F6198" t="s">
        <v>15</v>
      </c>
      <c r="G6198" t="s">
        <v>20</v>
      </c>
      <c r="H6198" t="s">
        <v>21</v>
      </c>
      <c r="I6198">
        <v>0</v>
      </c>
      <c r="J6198">
        <v>0</v>
      </c>
      <c r="K6198">
        <v>1</v>
      </c>
    </row>
    <row r="6199" spans="1:11" x14ac:dyDescent="0.25">
      <c r="A6199" t="str">
        <f>"7763"</f>
        <v>7763</v>
      </c>
      <c r="B6199" t="str">
        <f t="shared" si="402"/>
        <v>1</v>
      </c>
      <c r="C6199" t="str">
        <f t="shared" si="404"/>
        <v>335</v>
      </c>
      <c r="D6199" t="str">
        <f>"8"</f>
        <v>8</v>
      </c>
      <c r="E6199" t="str">
        <f>"1-335-8"</f>
        <v>1-335-8</v>
      </c>
      <c r="F6199" t="s">
        <v>15</v>
      </c>
      <c r="G6199" t="s">
        <v>20</v>
      </c>
      <c r="H6199" t="s">
        <v>21</v>
      </c>
      <c r="I6199">
        <v>1</v>
      </c>
      <c r="J6199">
        <v>0</v>
      </c>
      <c r="K6199">
        <v>0</v>
      </c>
    </row>
    <row r="6200" spans="1:11" x14ac:dyDescent="0.25">
      <c r="A6200" t="str">
        <f>"7764"</f>
        <v>7764</v>
      </c>
      <c r="B6200" t="str">
        <f t="shared" si="402"/>
        <v>1</v>
      </c>
      <c r="C6200" t="str">
        <f t="shared" si="404"/>
        <v>335</v>
      </c>
      <c r="D6200" t="str">
        <f>"2"</f>
        <v>2</v>
      </c>
      <c r="E6200" t="str">
        <f>"1-335-2"</f>
        <v>1-335-2</v>
      </c>
      <c r="F6200" t="s">
        <v>15</v>
      </c>
      <c r="G6200" t="s">
        <v>20</v>
      </c>
      <c r="H6200" t="s">
        <v>21</v>
      </c>
      <c r="I6200">
        <v>0</v>
      </c>
      <c r="J6200">
        <v>0</v>
      </c>
      <c r="K6200">
        <v>0</v>
      </c>
    </row>
    <row r="6201" spans="1:11" x14ac:dyDescent="0.25">
      <c r="A6201" t="str">
        <f>"7765"</f>
        <v>7765</v>
      </c>
      <c r="B6201" t="str">
        <f t="shared" si="402"/>
        <v>1</v>
      </c>
      <c r="C6201" t="str">
        <f t="shared" si="404"/>
        <v>335</v>
      </c>
      <c r="D6201" t="str">
        <f>"24"</f>
        <v>24</v>
      </c>
      <c r="E6201" t="str">
        <f>"1-335-24"</f>
        <v>1-335-24</v>
      </c>
      <c r="F6201" t="s">
        <v>15</v>
      </c>
      <c r="G6201" t="s">
        <v>20</v>
      </c>
      <c r="H6201" t="s">
        <v>21</v>
      </c>
      <c r="I6201">
        <v>0</v>
      </c>
      <c r="J6201">
        <v>0</v>
      </c>
      <c r="K6201">
        <v>0</v>
      </c>
    </row>
    <row r="6202" spans="1:11" x14ac:dyDescent="0.25">
      <c r="A6202" t="str">
        <f>"7766"</f>
        <v>7766</v>
      </c>
      <c r="B6202" t="str">
        <f t="shared" si="402"/>
        <v>1</v>
      </c>
      <c r="C6202" t="str">
        <f t="shared" ref="C6202:C6227" si="405">"336"</f>
        <v>336</v>
      </c>
      <c r="D6202" t="str">
        <f>"19"</f>
        <v>19</v>
      </c>
      <c r="E6202" t="str">
        <f>"1-336-19"</f>
        <v>1-336-19</v>
      </c>
      <c r="F6202" t="s">
        <v>15</v>
      </c>
      <c r="G6202" t="s">
        <v>16</v>
      </c>
      <c r="H6202" t="s">
        <v>17</v>
      </c>
      <c r="I6202">
        <v>1</v>
      </c>
      <c r="J6202">
        <v>0</v>
      </c>
      <c r="K6202">
        <v>0</v>
      </c>
    </row>
    <row r="6203" spans="1:11" x14ac:dyDescent="0.25">
      <c r="A6203" t="str">
        <f>"7767"</f>
        <v>7767</v>
      </c>
      <c r="B6203" t="str">
        <f t="shared" si="402"/>
        <v>1</v>
      </c>
      <c r="C6203" t="str">
        <f t="shared" si="405"/>
        <v>336</v>
      </c>
      <c r="D6203" t="str">
        <f>"15"</f>
        <v>15</v>
      </c>
      <c r="E6203" t="str">
        <f>"1-336-15"</f>
        <v>1-336-15</v>
      </c>
      <c r="F6203" t="s">
        <v>15</v>
      </c>
      <c r="G6203" t="s">
        <v>16</v>
      </c>
      <c r="H6203" t="s">
        <v>17</v>
      </c>
      <c r="I6203">
        <v>0</v>
      </c>
      <c r="J6203">
        <v>1</v>
      </c>
      <c r="K6203">
        <v>0</v>
      </c>
    </row>
    <row r="6204" spans="1:11" x14ac:dyDescent="0.25">
      <c r="A6204" t="str">
        <f>"7768"</f>
        <v>7768</v>
      </c>
      <c r="B6204" t="str">
        <f t="shared" si="402"/>
        <v>1</v>
      </c>
      <c r="C6204" t="str">
        <f t="shared" si="405"/>
        <v>336</v>
      </c>
      <c r="D6204" t="str">
        <f>"2"</f>
        <v>2</v>
      </c>
      <c r="E6204" t="str">
        <f>"1-336-2"</f>
        <v>1-336-2</v>
      </c>
      <c r="F6204" t="s">
        <v>15</v>
      </c>
      <c r="G6204" t="s">
        <v>16</v>
      </c>
      <c r="H6204" t="s">
        <v>17</v>
      </c>
      <c r="I6204">
        <v>0</v>
      </c>
      <c r="J6204">
        <v>1</v>
      </c>
      <c r="K6204">
        <v>0</v>
      </c>
    </row>
    <row r="6205" spans="1:11" x14ac:dyDescent="0.25">
      <c r="A6205" t="str">
        <f>"7769"</f>
        <v>7769</v>
      </c>
      <c r="B6205" t="str">
        <f t="shared" si="402"/>
        <v>1</v>
      </c>
      <c r="C6205" t="str">
        <f t="shared" si="405"/>
        <v>336</v>
      </c>
      <c r="D6205" t="str">
        <f>"21"</f>
        <v>21</v>
      </c>
      <c r="E6205" t="str">
        <f>"1-336-21"</f>
        <v>1-336-21</v>
      </c>
      <c r="F6205" t="s">
        <v>15</v>
      </c>
      <c r="G6205" t="s">
        <v>16</v>
      </c>
      <c r="H6205" t="s">
        <v>17</v>
      </c>
      <c r="I6205">
        <v>0</v>
      </c>
      <c r="J6205">
        <v>1</v>
      </c>
      <c r="K6205">
        <v>0</v>
      </c>
    </row>
    <row r="6206" spans="1:11" x14ac:dyDescent="0.25">
      <c r="A6206" t="str">
        <f>"7770"</f>
        <v>7770</v>
      </c>
      <c r="B6206" t="str">
        <f t="shared" ref="B6206:B6260" si="406">"1"</f>
        <v>1</v>
      </c>
      <c r="C6206" t="str">
        <f t="shared" si="405"/>
        <v>336</v>
      </c>
      <c r="D6206" t="str">
        <f>"16"</f>
        <v>16</v>
      </c>
      <c r="E6206" t="str">
        <f>"1-336-16"</f>
        <v>1-336-16</v>
      </c>
      <c r="F6206" t="s">
        <v>15</v>
      </c>
      <c r="G6206" t="s">
        <v>16</v>
      </c>
      <c r="H6206" t="s">
        <v>17</v>
      </c>
      <c r="I6206">
        <v>0</v>
      </c>
      <c r="J6206">
        <v>1</v>
      </c>
      <c r="K6206">
        <v>0</v>
      </c>
    </row>
    <row r="6207" spans="1:11" x14ac:dyDescent="0.25">
      <c r="A6207" t="str">
        <f>"7771"</f>
        <v>7771</v>
      </c>
      <c r="B6207" t="str">
        <f t="shared" si="406"/>
        <v>1</v>
      </c>
      <c r="C6207" t="str">
        <f t="shared" si="405"/>
        <v>336</v>
      </c>
      <c r="D6207" t="str">
        <f>"5"</f>
        <v>5</v>
      </c>
      <c r="E6207" t="str">
        <f>"1-336-5"</f>
        <v>1-336-5</v>
      </c>
      <c r="F6207" t="s">
        <v>15</v>
      </c>
      <c r="G6207" t="s">
        <v>16</v>
      </c>
      <c r="H6207" t="s">
        <v>17</v>
      </c>
      <c r="I6207">
        <v>1</v>
      </c>
      <c r="J6207">
        <v>0</v>
      </c>
      <c r="K6207">
        <v>0</v>
      </c>
    </row>
    <row r="6208" spans="1:11" x14ac:dyDescent="0.25">
      <c r="A6208" t="str">
        <f>"7772"</f>
        <v>7772</v>
      </c>
      <c r="B6208" t="str">
        <f t="shared" si="406"/>
        <v>1</v>
      </c>
      <c r="C6208" t="str">
        <f t="shared" si="405"/>
        <v>336</v>
      </c>
      <c r="D6208" t="str">
        <f>"17"</f>
        <v>17</v>
      </c>
      <c r="E6208" t="str">
        <f>"1-336-17"</f>
        <v>1-336-17</v>
      </c>
      <c r="F6208" t="s">
        <v>15</v>
      </c>
      <c r="G6208" t="s">
        <v>20</v>
      </c>
      <c r="H6208" t="s">
        <v>21</v>
      </c>
      <c r="I6208">
        <v>1</v>
      </c>
      <c r="J6208">
        <v>0</v>
      </c>
      <c r="K6208">
        <v>0</v>
      </c>
    </row>
    <row r="6209" spans="1:11" x14ac:dyDescent="0.25">
      <c r="A6209" t="str">
        <f>"7773"</f>
        <v>7773</v>
      </c>
      <c r="B6209" t="str">
        <f t="shared" si="406"/>
        <v>1</v>
      </c>
      <c r="C6209" t="str">
        <f t="shared" si="405"/>
        <v>336</v>
      </c>
      <c r="D6209" t="str">
        <f>"1"</f>
        <v>1</v>
      </c>
      <c r="E6209" t="str">
        <f>"1-336-1"</f>
        <v>1-336-1</v>
      </c>
      <c r="F6209" t="s">
        <v>15</v>
      </c>
      <c r="G6209" t="s">
        <v>16</v>
      </c>
      <c r="H6209" t="s">
        <v>17</v>
      </c>
      <c r="I6209">
        <v>1</v>
      </c>
      <c r="J6209">
        <v>0</v>
      </c>
      <c r="K6209">
        <v>0</v>
      </c>
    </row>
    <row r="6210" spans="1:11" x14ac:dyDescent="0.25">
      <c r="A6210" t="str">
        <f>"7774"</f>
        <v>7774</v>
      </c>
      <c r="B6210" t="str">
        <f t="shared" si="406"/>
        <v>1</v>
      </c>
      <c r="C6210" t="str">
        <f t="shared" si="405"/>
        <v>336</v>
      </c>
      <c r="D6210" t="str">
        <f>"18"</f>
        <v>18</v>
      </c>
      <c r="E6210" t="str">
        <f>"1-336-18"</f>
        <v>1-336-18</v>
      </c>
      <c r="F6210" t="s">
        <v>15</v>
      </c>
      <c r="G6210" t="s">
        <v>20</v>
      </c>
      <c r="H6210" t="s">
        <v>21</v>
      </c>
      <c r="I6210">
        <v>1</v>
      </c>
      <c r="J6210">
        <v>0</v>
      </c>
      <c r="K6210">
        <v>0</v>
      </c>
    </row>
    <row r="6211" spans="1:11" x14ac:dyDescent="0.25">
      <c r="A6211" t="str">
        <f>"7775"</f>
        <v>7775</v>
      </c>
      <c r="B6211" t="str">
        <f t="shared" si="406"/>
        <v>1</v>
      </c>
      <c r="C6211" t="str">
        <f t="shared" si="405"/>
        <v>336</v>
      </c>
      <c r="D6211" t="str">
        <f>"12"</f>
        <v>12</v>
      </c>
      <c r="E6211" t="str">
        <f>"1-336-12"</f>
        <v>1-336-12</v>
      </c>
      <c r="F6211" t="s">
        <v>15</v>
      </c>
      <c r="G6211" t="s">
        <v>18</v>
      </c>
      <c r="H6211" t="s">
        <v>19</v>
      </c>
      <c r="I6211">
        <v>1</v>
      </c>
      <c r="J6211">
        <v>0</v>
      </c>
      <c r="K6211">
        <v>0</v>
      </c>
    </row>
    <row r="6212" spans="1:11" x14ac:dyDescent="0.25">
      <c r="A6212" t="str">
        <f>"7776"</f>
        <v>7776</v>
      </c>
      <c r="B6212" t="str">
        <f t="shared" si="406"/>
        <v>1</v>
      </c>
      <c r="C6212" t="str">
        <f t="shared" si="405"/>
        <v>336</v>
      </c>
      <c r="D6212" t="str">
        <f>"20"</f>
        <v>20</v>
      </c>
      <c r="E6212" t="str">
        <f>"1-336-20"</f>
        <v>1-336-20</v>
      </c>
      <c r="F6212" t="s">
        <v>15</v>
      </c>
      <c r="G6212" t="s">
        <v>16</v>
      </c>
      <c r="H6212" t="s">
        <v>17</v>
      </c>
      <c r="I6212">
        <v>1</v>
      </c>
      <c r="J6212">
        <v>0</v>
      </c>
      <c r="K6212">
        <v>0</v>
      </c>
    </row>
    <row r="6213" spans="1:11" x14ac:dyDescent="0.25">
      <c r="A6213" t="str">
        <f>"7777"</f>
        <v>7777</v>
      </c>
      <c r="B6213" t="str">
        <f t="shared" si="406"/>
        <v>1</v>
      </c>
      <c r="C6213" t="str">
        <f t="shared" si="405"/>
        <v>336</v>
      </c>
      <c r="D6213" t="str">
        <f>"4"</f>
        <v>4</v>
      </c>
      <c r="E6213" t="str">
        <f>"1-336-4"</f>
        <v>1-336-4</v>
      </c>
      <c r="F6213" t="s">
        <v>15</v>
      </c>
      <c r="G6213" t="s">
        <v>16</v>
      </c>
      <c r="H6213" t="s">
        <v>17</v>
      </c>
      <c r="I6213">
        <v>1</v>
      </c>
      <c r="J6213">
        <v>0</v>
      </c>
      <c r="K6213">
        <v>0</v>
      </c>
    </row>
    <row r="6214" spans="1:11" x14ac:dyDescent="0.25">
      <c r="A6214" t="str">
        <f>"7778"</f>
        <v>7778</v>
      </c>
      <c r="B6214" t="str">
        <f t="shared" si="406"/>
        <v>1</v>
      </c>
      <c r="C6214" t="str">
        <f t="shared" si="405"/>
        <v>336</v>
      </c>
      <c r="D6214" t="str">
        <f>"22"</f>
        <v>22</v>
      </c>
      <c r="E6214" t="str">
        <f>"1-336-22"</f>
        <v>1-336-22</v>
      </c>
      <c r="F6214" t="s">
        <v>15</v>
      </c>
      <c r="G6214" t="s">
        <v>16</v>
      </c>
      <c r="H6214" t="s">
        <v>17</v>
      </c>
      <c r="I6214">
        <v>0</v>
      </c>
      <c r="J6214">
        <v>1</v>
      </c>
      <c r="K6214">
        <v>0</v>
      </c>
    </row>
    <row r="6215" spans="1:11" x14ac:dyDescent="0.25">
      <c r="A6215" t="str">
        <f>"7779"</f>
        <v>7779</v>
      </c>
      <c r="B6215" t="str">
        <f t="shared" si="406"/>
        <v>1</v>
      </c>
      <c r="C6215" t="str">
        <f t="shared" si="405"/>
        <v>336</v>
      </c>
      <c r="D6215" t="str">
        <f>"6"</f>
        <v>6</v>
      </c>
      <c r="E6215" t="str">
        <f>"1-336-6"</f>
        <v>1-336-6</v>
      </c>
      <c r="F6215" t="s">
        <v>15</v>
      </c>
      <c r="G6215" t="s">
        <v>16</v>
      </c>
      <c r="H6215" t="s">
        <v>17</v>
      </c>
      <c r="I6215">
        <v>0</v>
      </c>
      <c r="J6215">
        <v>1</v>
      </c>
      <c r="K6215">
        <v>0</v>
      </c>
    </row>
    <row r="6216" spans="1:11" x14ac:dyDescent="0.25">
      <c r="A6216" t="str">
        <f>"7780"</f>
        <v>7780</v>
      </c>
      <c r="B6216" t="str">
        <f t="shared" si="406"/>
        <v>1</v>
      </c>
      <c r="C6216" t="str">
        <f t="shared" si="405"/>
        <v>336</v>
      </c>
      <c r="D6216" t="str">
        <f>"23"</f>
        <v>23</v>
      </c>
      <c r="E6216" t="str">
        <f>"1-336-23"</f>
        <v>1-336-23</v>
      </c>
      <c r="F6216" t="s">
        <v>15</v>
      </c>
      <c r="G6216" t="s">
        <v>20</v>
      </c>
      <c r="H6216" t="s">
        <v>21</v>
      </c>
      <c r="I6216">
        <v>1</v>
      </c>
      <c r="J6216">
        <v>0</v>
      </c>
      <c r="K6216">
        <v>0</v>
      </c>
    </row>
    <row r="6217" spans="1:11" x14ac:dyDescent="0.25">
      <c r="A6217" t="str">
        <f>"7781"</f>
        <v>7781</v>
      </c>
      <c r="B6217" t="str">
        <f t="shared" si="406"/>
        <v>1</v>
      </c>
      <c r="C6217" t="str">
        <f t="shared" si="405"/>
        <v>336</v>
      </c>
      <c r="D6217" t="str">
        <f>"3"</f>
        <v>3</v>
      </c>
      <c r="E6217" t="str">
        <f>"1-336-3"</f>
        <v>1-336-3</v>
      </c>
      <c r="F6217" t="s">
        <v>15</v>
      </c>
      <c r="G6217" t="s">
        <v>16</v>
      </c>
      <c r="H6217" t="s">
        <v>17</v>
      </c>
      <c r="I6217">
        <v>0</v>
      </c>
      <c r="J6217">
        <v>0</v>
      </c>
      <c r="K6217">
        <v>1</v>
      </c>
    </row>
    <row r="6218" spans="1:11" x14ac:dyDescent="0.25">
      <c r="A6218" t="str">
        <f>"7782"</f>
        <v>7782</v>
      </c>
      <c r="B6218" t="str">
        <f t="shared" si="406"/>
        <v>1</v>
      </c>
      <c r="C6218" t="str">
        <f t="shared" si="405"/>
        <v>336</v>
      </c>
      <c r="D6218" t="str">
        <f>"24"</f>
        <v>24</v>
      </c>
      <c r="E6218" t="str">
        <f>"1-336-24"</f>
        <v>1-336-24</v>
      </c>
      <c r="F6218" t="s">
        <v>15</v>
      </c>
      <c r="G6218" t="s">
        <v>16</v>
      </c>
      <c r="H6218" t="s">
        <v>17</v>
      </c>
      <c r="I6218">
        <v>0</v>
      </c>
      <c r="J6218">
        <v>1</v>
      </c>
      <c r="K6218">
        <v>0</v>
      </c>
    </row>
    <row r="6219" spans="1:11" x14ac:dyDescent="0.25">
      <c r="A6219" t="str">
        <f>"7783"</f>
        <v>7783</v>
      </c>
      <c r="B6219" t="str">
        <f t="shared" si="406"/>
        <v>1</v>
      </c>
      <c r="C6219" t="str">
        <f t="shared" si="405"/>
        <v>336</v>
      </c>
      <c r="D6219" t="str">
        <f>"8"</f>
        <v>8</v>
      </c>
      <c r="E6219" t="str">
        <f>"1-336-8"</f>
        <v>1-336-8</v>
      </c>
      <c r="F6219" t="s">
        <v>15</v>
      </c>
      <c r="G6219" t="s">
        <v>16</v>
      </c>
      <c r="H6219" t="s">
        <v>17</v>
      </c>
      <c r="I6219">
        <v>0</v>
      </c>
      <c r="J6219">
        <v>1</v>
      </c>
      <c r="K6219">
        <v>0</v>
      </c>
    </row>
    <row r="6220" spans="1:11" x14ac:dyDescent="0.25">
      <c r="A6220" t="str">
        <f>"7784"</f>
        <v>7784</v>
      </c>
      <c r="B6220" t="str">
        <f t="shared" si="406"/>
        <v>1</v>
      </c>
      <c r="C6220" t="str">
        <f t="shared" si="405"/>
        <v>336</v>
      </c>
      <c r="D6220" t="str">
        <f>"25"</f>
        <v>25</v>
      </c>
      <c r="E6220" t="str">
        <f>"1-336-25"</f>
        <v>1-336-25</v>
      </c>
      <c r="F6220" t="s">
        <v>15</v>
      </c>
      <c r="G6220" t="s">
        <v>16</v>
      </c>
      <c r="H6220" t="s">
        <v>17</v>
      </c>
      <c r="I6220">
        <v>0</v>
      </c>
      <c r="J6220">
        <v>0</v>
      </c>
      <c r="K6220">
        <v>1</v>
      </c>
    </row>
    <row r="6221" spans="1:11" x14ac:dyDescent="0.25">
      <c r="A6221" t="str">
        <f>"7785"</f>
        <v>7785</v>
      </c>
      <c r="B6221" t="str">
        <f t="shared" si="406"/>
        <v>1</v>
      </c>
      <c r="C6221" t="str">
        <f t="shared" si="405"/>
        <v>336</v>
      </c>
      <c r="D6221" t="str">
        <f>"10"</f>
        <v>10</v>
      </c>
      <c r="E6221" t="str">
        <f>"1-336-10"</f>
        <v>1-336-10</v>
      </c>
      <c r="F6221" t="s">
        <v>15</v>
      </c>
      <c r="G6221" t="s">
        <v>16</v>
      </c>
      <c r="H6221" t="s">
        <v>17</v>
      </c>
      <c r="I6221">
        <v>1</v>
      </c>
      <c r="J6221">
        <v>0</v>
      </c>
      <c r="K6221">
        <v>0</v>
      </c>
    </row>
    <row r="6222" spans="1:11" x14ac:dyDescent="0.25">
      <c r="A6222" t="str">
        <f>"7786"</f>
        <v>7786</v>
      </c>
      <c r="B6222" t="str">
        <f t="shared" si="406"/>
        <v>1</v>
      </c>
      <c r="C6222" t="str">
        <f t="shared" si="405"/>
        <v>336</v>
      </c>
      <c r="D6222" t="str">
        <f>"26"</f>
        <v>26</v>
      </c>
      <c r="E6222" t="str">
        <f>"1-336-26"</f>
        <v>1-336-26</v>
      </c>
      <c r="F6222" t="s">
        <v>15</v>
      </c>
      <c r="G6222" t="s">
        <v>16</v>
      </c>
      <c r="H6222" t="s">
        <v>17</v>
      </c>
      <c r="I6222">
        <v>1</v>
      </c>
      <c r="J6222">
        <v>0</v>
      </c>
      <c r="K6222">
        <v>0</v>
      </c>
    </row>
    <row r="6223" spans="1:11" x14ac:dyDescent="0.25">
      <c r="A6223" t="str">
        <f>"7787"</f>
        <v>7787</v>
      </c>
      <c r="B6223" t="str">
        <f t="shared" si="406"/>
        <v>1</v>
      </c>
      <c r="C6223" t="str">
        <f t="shared" si="405"/>
        <v>336</v>
      </c>
      <c r="D6223" t="str">
        <f>"7"</f>
        <v>7</v>
      </c>
      <c r="E6223" t="str">
        <f>"1-336-7"</f>
        <v>1-336-7</v>
      </c>
      <c r="F6223" t="s">
        <v>15</v>
      </c>
      <c r="G6223" t="s">
        <v>16</v>
      </c>
      <c r="H6223" t="s">
        <v>17</v>
      </c>
      <c r="I6223">
        <v>0</v>
      </c>
      <c r="J6223">
        <v>1</v>
      </c>
      <c r="K6223">
        <v>0</v>
      </c>
    </row>
    <row r="6224" spans="1:11" x14ac:dyDescent="0.25">
      <c r="A6224" t="str">
        <f>"7788"</f>
        <v>7788</v>
      </c>
      <c r="B6224" t="str">
        <f t="shared" si="406"/>
        <v>1</v>
      </c>
      <c r="C6224" t="str">
        <f t="shared" si="405"/>
        <v>336</v>
      </c>
      <c r="D6224" t="str">
        <f>"14"</f>
        <v>14</v>
      </c>
      <c r="E6224" t="str">
        <f>"1-336-14"</f>
        <v>1-336-14</v>
      </c>
      <c r="F6224" t="s">
        <v>15</v>
      </c>
      <c r="G6224" t="s">
        <v>16</v>
      </c>
      <c r="H6224" t="s">
        <v>17</v>
      </c>
      <c r="I6224">
        <v>0</v>
      </c>
      <c r="J6224">
        <v>0</v>
      </c>
      <c r="K6224">
        <v>1</v>
      </c>
    </row>
    <row r="6225" spans="1:11" x14ac:dyDescent="0.25">
      <c r="A6225" t="str">
        <f>"7789"</f>
        <v>7789</v>
      </c>
      <c r="B6225" t="str">
        <f t="shared" si="406"/>
        <v>1</v>
      </c>
      <c r="C6225" t="str">
        <f t="shared" si="405"/>
        <v>336</v>
      </c>
      <c r="D6225" t="str">
        <f>"11"</f>
        <v>11</v>
      </c>
      <c r="E6225" t="str">
        <f>"1-336-11"</f>
        <v>1-336-11</v>
      </c>
      <c r="F6225" t="s">
        <v>15</v>
      </c>
      <c r="G6225" t="s">
        <v>16</v>
      </c>
      <c r="H6225" t="s">
        <v>17</v>
      </c>
      <c r="I6225">
        <v>1</v>
      </c>
      <c r="J6225">
        <v>0</v>
      </c>
      <c r="K6225">
        <v>0</v>
      </c>
    </row>
    <row r="6226" spans="1:11" x14ac:dyDescent="0.25">
      <c r="A6226" t="str">
        <f>"7790"</f>
        <v>7790</v>
      </c>
      <c r="B6226" t="str">
        <f t="shared" si="406"/>
        <v>1</v>
      </c>
      <c r="C6226" t="str">
        <f t="shared" si="405"/>
        <v>336</v>
      </c>
      <c r="D6226" t="str">
        <f>"13"</f>
        <v>13</v>
      </c>
      <c r="E6226" t="str">
        <f>"1-336-13"</f>
        <v>1-336-13</v>
      </c>
      <c r="F6226" t="s">
        <v>15</v>
      </c>
      <c r="G6226" t="s">
        <v>16</v>
      </c>
      <c r="H6226" t="s">
        <v>17</v>
      </c>
      <c r="I6226">
        <v>0</v>
      </c>
      <c r="J6226">
        <v>1</v>
      </c>
      <c r="K6226">
        <v>0</v>
      </c>
    </row>
    <row r="6227" spans="1:11" x14ac:dyDescent="0.25">
      <c r="A6227" t="str">
        <f>"7791"</f>
        <v>7791</v>
      </c>
      <c r="B6227" t="str">
        <f t="shared" si="406"/>
        <v>1</v>
      </c>
      <c r="C6227" t="str">
        <f t="shared" si="405"/>
        <v>336</v>
      </c>
      <c r="D6227" t="str">
        <f>"9"</f>
        <v>9</v>
      </c>
      <c r="E6227" t="str">
        <f>"1-336-9"</f>
        <v>1-336-9</v>
      </c>
      <c r="F6227" t="s">
        <v>15</v>
      </c>
      <c r="G6227" t="s">
        <v>16</v>
      </c>
      <c r="H6227" t="s">
        <v>17</v>
      </c>
      <c r="I6227">
        <v>0</v>
      </c>
      <c r="J6227">
        <v>1</v>
      </c>
      <c r="K6227">
        <v>0</v>
      </c>
    </row>
    <row r="6228" spans="1:11" x14ac:dyDescent="0.25">
      <c r="A6228" t="str">
        <f>"7792"</f>
        <v>7792</v>
      </c>
      <c r="B6228" t="str">
        <f t="shared" si="406"/>
        <v>1</v>
      </c>
      <c r="C6228" t="str">
        <f t="shared" ref="C6228:C6245" si="407">"337"</f>
        <v>337</v>
      </c>
      <c r="D6228" t="str">
        <f>"22"</f>
        <v>22</v>
      </c>
      <c r="E6228" t="str">
        <f>"1-337-22"</f>
        <v>1-337-22</v>
      </c>
      <c r="F6228" t="s">
        <v>15</v>
      </c>
      <c r="G6228" t="s">
        <v>20</v>
      </c>
      <c r="H6228" t="s">
        <v>21</v>
      </c>
      <c r="I6228">
        <v>0</v>
      </c>
      <c r="J6228">
        <v>0</v>
      </c>
      <c r="K6228">
        <v>1</v>
      </c>
    </row>
    <row r="6229" spans="1:11" x14ac:dyDescent="0.25">
      <c r="A6229" t="str">
        <f>"7793"</f>
        <v>7793</v>
      </c>
      <c r="B6229" t="str">
        <f t="shared" si="406"/>
        <v>1</v>
      </c>
      <c r="C6229" t="str">
        <f t="shared" si="407"/>
        <v>337</v>
      </c>
      <c r="D6229" t="str">
        <f>"15"</f>
        <v>15</v>
      </c>
      <c r="E6229" t="str">
        <f>"1-337-15"</f>
        <v>1-337-15</v>
      </c>
      <c r="F6229" t="s">
        <v>15</v>
      </c>
      <c r="G6229" t="s">
        <v>20</v>
      </c>
      <c r="H6229" t="s">
        <v>21</v>
      </c>
      <c r="I6229">
        <v>1</v>
      </c>
      <c r="J6229">
        <v>0</v>
      </c>
      <c r="K6229">
        <v>0</v>
      </c>
    </row>
    <row r="6230" spans="1:11" x14ac:dyDescent="0.25">
      <c r="A6230" t="str">
        <f>"7795"</f>
        <v>7795</v>
      </c>
      <c r="B6230" t="str">
        <f t="shared" si="406"/>
        <v>1</v>
      </c>
      <c r="C6230" t="str">
        <f t="shared" si="407"/>
        <v>337</v>
      </c>
      <c r="D6230" t="str">
        <f>"16"</f>
        <v>16</v>
      </c>
      <c r="E6230" t="str">
        <f>"1-337-16"</f>
        <v>1-337-16</v>
      </c>
      <c r="F6230" t="s">
        <v>15</v>
      </c>
      <c r="G6230" t="s">
        <v>20</v>
      </c>
      <c r="H6230" t="s">
        <v>21</v>
      </c>
      <c r="I6230">
        <v>0</v>
      </c>
      <c r="J6230">
        <v>0</v>
      </c>
      <c r="K6230">
        <v>1</v>
      </c>
    </row>
    <row r="6231" spans="1:11" x14ac:dyDescent="0.25">
      <c r="A6231" t="str">
        <f>"7797"</f>
        <v>7797</v>
      </c>
      <c r="B6231" t="str">
        <f t="shared" si="406"/>
        <v>1</v>
      </c>
      <c r="C6231" t="str">
        <f t="shared" si="407"/>
        <v>337</v>
      </c>
      <c r="D6231" t="str">
        <f>"17"</f>
        <v>17</v>
      </c>
      <c r="E6231" t="str">
        <f>"1-337-17"</f>
        <v>1-337-17</v>
      </c>
      <c r="F6231" t="s">
        <v>15</v>
      </c>
      <c r="G6231" t="s">
        <v>20</v>
      </c>
      <c r="H6231" t="s">
        <v>21</v>
      </c>
      <c r="I6231">
        <v>0</v>
      </c>
      <c r="J6231">
        <v>0</v>
      </c>
      <c r="K6231">
        <v>1</v>
      </c>
    </row>
    <row r="6232" spans="1:11" x14ac:dyDescent="0.25">
      <c r="A6232" t="str">
        <f>"7798"</f>
        <v>7798</v>
      </c>
      <c r="B6232" t="str">
        <f t="shared" si="406"/>
        <v>1</v>
      </c>
      <c r="C6232" t="str">
        <f t="shared" si="407"/>
        <v>337</v>
      </c>
      <c r="D6232" t="str">
        <f>"1"</f>
        <v>1</v>
      </c>
      <c r="E6232" t="str">
        <f>"1-337-1"</f>
        <v>1-337-1</v>
      </c>
      <c r="F6232" t="s">
        <v>15</v>
      </c>
      <c r="G6232" t="s">
        <v>20</v>
      </c>
      <c r="H6232" t="s">
        <v>21</v>
      </c>
      <c r="I6232">
        <v>0</v>
      </c>
      <c r="J6232">
        <v>1</v>
      </c>
      <c r="K6232">
        <v>0</v>
      </c>
    </row>
    <row r="6233" spans="1:11" x14ac:dyDescent="0.25">
      <c r="A6233" t="str">
        <f>"7799"</f>
        <v>7799</v>
      </c>
      <c r="B6233" t="str">
        <f t="shared" si="406"/>
        <v>1</v>
      </c>
      <c r="C6233" t="str">
        <f t="shared" si="407"/>
        <v>337</v>
      </c>
      <c r="D6233" t="str">
        <f>"18"</f>
        <v>18</v>
      </c>
      <c r="E6233" t="str">
        <f>"1-337-18"</f>
        <v>1-337-18</v>
      </c>
      <c r="F6233" t="s">
        <v>15</v>
      </c>
      <c r="G6233" t="s">
        <v>20</v>
      </c>
      <c r="H6233" t="s">
        <v>21</v>
      </c>
      <c r="I6233">
        <v>0</v>
      </c>
      <c r="J6233">
        <v>0</v>
      </c>
      <c r="K6233">
        <v>1</v>
      </c>
    </row>
    <row r="6234" spans="1:11" x14ac:dyDescent="0.25">
      <c r="A6234" t="str">
        <f>"7800"</f>
        <v>7800</v>
      </c>
      <c r="B6234" t="str">
        <f t="shared" si="406"/>
        <v>1</v>
      </c>
      <c r="C6234" t="str">
        <f t="shared" si="407"/>
        <v>337</v>
      </c>
      <c r="D6234" t="str">
        <f>"14"</f>
        <v>14</v>
      </c>
      <c r="E6234" t="str">
        <f>"1-337-14"</f>
        <v>1-337-14</v>
      </c>
      <c r="F6234" t="s">
        <v>15</v>
      </c>
      <c r="G6234" t="s">
        <v>20</v>
      </c>
      <c r="H6234" t="s">
        <v>21</v>
      </c>
      <c r="I6234">
        <v>1</v>
      </c>
      <c r="J6234">
        <v>0</v>
      </c>
      <c r="K6234">
        <v>0</v>
      </c>
    </row>
    <row r="6235" spans="1:11" x14ac:dyDescent="0.25">
      <c r="A6235" t="str">
        <f>"7801"</f>
        <v>7801</v>
      </c>
      <c r="B6235" t="str">
        <f t="shared" si="406"/>
        <v>1</v>
      </c>
      <c r="C6235" t="str">
        <f t="shared" si="407"/>
        <v>337</v>
      </c>
      <c r="D6235" t="str">
        <f>"19"</f>
        <v>19</v>
      </c>
      <c r="E6235" t="str">
        <f>"1-337-19"</f>
        <v>1-337-19</v>
      </c>
      <c r="F6235" t="s">
        <v>15</v>
      </c>
      <c r="G6235" t="s">
        <v>20</v>
      </c>
      <c r="H6235" t="s">
        <v>21</v>
      </c>
      <c r="I6235">
        <v>1</v>
      </c>
      <c r="J6235">
        <v>0</v>
      </c>
      <c r="K6235">
        <v>0</v>
      </c>
    </row>
    <row r="6236" spans="1:11" x14ac:dyDescent="0.25">
      <c r="A6236" t="str">
        <f>"7803"</f>
        <v>7803</v>
      </c>
      <c r="B6236" t="str">
        <f t="shared" si="406"/>
        <v>1</v>
      </c>
      <c r="C6236" t="str">
        <f t="shared" si="407"/>
        <v>337</v>
      </c>
      <c r="D6236" t="str">
        <f>"20"</f>
        <v>20</v>
      </c>
      <c r="E6236" t="str">
        <f>"1-337-20"</f>
        <v>1-337-20</v>
      </c>
      <c r="F6236" t="s">
        <v>15</v>
      </c>
      <c r="G6236" t="s">
        <v>20</v>
      </c>
      <c r="H6236" t="s">
        <v>21</v>
      </c>
      <c r="I6236">
        <v>0</v>
      </c>
      <c r="J6236">
        <v>0</v>
      </c>
      <c r="K6236">
        <v>1</v>
      </c>
    </row>
    <row r="6237" spans="1:11" x14ac:dyDescent="0.25">
      <c r="A6237" t="str">
        <f>"7805"</f>
        <v>7805</v>
      </c>
      <c r="B6237" t="str">
        <f t="shared" si="406"/>
        <v>1</v>
      </c>
      <c r="C6237" t="str">
        <f t="shared" si="407"/>
        <v>337</v>
      </c>
      <c r="D6237" t="str">
        <f>"21"</f>
        <v>21</v>
      </c>
      <c r="E6237" t="str">
        <f>"1-337-21"</f>
        <v>1-337-21</v>
      </c>
      <c r="F6237" t="s">
        <v>15</v>
      </c>
      <c r="G6237" t="s">
        <v>20</v>
      </c>
      <c r="H6237" t="s">
        <v>21</v>
      </c>
      <c r="I6237">
        <v>0</v>
      </c>
      <c r="J6237">
        <v>1</v>
      </c>
      <c r="K6237">
        <v>0</v>
      </c>
    </row>
    <row r="6238" spans="1:11" x14ac:dyDescent="0.25">
      <c r="A6238" t="str">
        <f>"7808"</f>
        <v>7808</v>
      </c>
      <c r="B6238" t="str">
        <f t="shared" si="406"/>
        <v>1</v>
      </c>
      <c r="C6238" t="str">
        <f t="shared" si="407"/>
        <v>337</v>
      </c>
      <c r="D6238" t="str">
        <f>"5"</f>
        <v>5</v>
      </c>
      <c r="E6238" t="str">
        <f>"1-337-5"</f>
        <v>1-337-5</v>
      </c>
      <c r="F6238" t="s">
        <v>15</v>
      </c>
      <c r="G6238" t="s">
        <v>20</v>
      </c>
      <c r="H6238" t="s">
        <v>21</v>
      </c>
      <c r="I6238">
        <v>0</v>
      </c>
      <c r="J6238">
        <v>0</v>
      </c>
      <c r="K6238">
        <v>1</v>
      </c>
    </row>
    <row r="6239" spans="1:11" x14ac:dyDescent="0.25">
      <c r="A6239" t="str">
        <f>"7810"</f>
        <v>7810</v>
      </c>
      <c r="B6239" t="str">
        <f t="shared" si="406"/>
        <v>1</v>
      </c>
      <c r="C6239" t="str">
        <f t="shared" si="407"/>
        <v>337</v>
      </c>
      <c r="D6239" t="str">
        <f>"10"</f>
        <v>10</v>
      </c>
      <c r="E6239" t="str">
        <f>"1-337-10"</f>
        <v>1-337-10</v>
      </c>
      <c r="F6239" t="s">
        <v>15</v>
      </c>
      <c r="G6239" t="s">
        <v>16</v>
      </c>
      <c r="H6239" t="s">
        <v>17</v>
      </c>
      <c r="I6239">
        <v>0</v>
      </c>
      <c r="J6239">
        <v>1</v>
      </c>
      <c r="K6239">
        <v>0</v>
      </c>
    </row>
    <row r="6240" spans="1:11" x14ac:dyDescent="0.25">
      <c r="A6240" t="str">
        <f>"7811"</f>
        <v>7811</v>
      </c>
      <c r="B6240" t="str">
        <f t="shared" si="406"/>
        <v>1</v>
      </c>
      <c r="C6240" t="str">
        <f t="shared" si="407"/>
        <v>337</v>
      </c>
      <c r="D6240" t="str">
        <f>"25"</f>
        <v>25</v>
      </c>
      <c r="E6240" t="str">
        <f>"1-337-25"</f>
        <v>1-337-25</v>
      </c>
      <c r="F6240" t="s">
        <v>15</v>
      </c>
      <c r="G6240" t="s">
        <v>16</v>
      </c>
      <c r="H6240" t="s">
        <v>17</v>
      </c>
      <c r="I6240">
        <v>0</v>
      </c>
      <c r="J6240">
        <v>1</v>
      </c>
      <c r="K6240">
        <v>0</v>
      </c>
    </row>
    <row r="6241" spans="1:11" x14ac:dyDescent="0.25">
      <c r="A6241" t="str">
        <f>"7812"</f>
        <v>7812</v>
      </c>
      <c r="B6241" t="str">
        <f t="shared" si="406"/>
        <v>1</v>
      </c>
      <c r="C6241" t="str">
        <f t="shared" si="407"/>
        <v>337</v>
      </c>
      <c r="D6241" t="str">
        <f>"4"</f>
        <v>4</v>
      </c>
      <c r="E6241" t="str">
        <f>"1-337-4"</f>
        <v>1-337-4</v>
      </c>
      <c r="F6241" t="s">
        <v>15</v>
      </c>
      <c r="G6241" t="s">
        <v>20</v>
      </c>
      <c r="H6241" t="s">
        <v>21</v>
      </c>
      <c r="I6241">
        <v>1</v>
      </c>
      <c r="J6241">
        <v>0</v>
      </c>
      <c r="K6241">
        <v>0</v>
      </c>
    </row>
    <row r="6242" spans="1:11" x14ac:dyDescent="0.25">
      <c r="A6242" t="str">
        <f>"7813"</f>
        <v>7813</v>
      </c>
      <c r="B6242" t="str">
        <f t="shared" si="406"/>
        <v>1</v>
      </c>
      <c r="C6242" t="str">
        <f t="shared" si="407"/>
        <v>337</v>
      </c>
      <c r="D6242" t="str">
        <f>"6"</f>
        <v>6</v>
      </c>
      <c r="E6242" t="str">
        <f>"1-337-6"</f>
        <v>1-337-6</v>
      </c>
      <c r="F6242" t="s">
        <v>15</v>
      </c>
      <c r="G6242" t="s">
        <v>20</v>
      </c>
      <c r="H6242" t="s">
        <v>21</v>
      </c>
      <c r="I6242">
        <v>0</v>
      </c>
      <c r="J6242">
        <v>0</v>
      </c>
      <c r="K6242">
        <v>1</v>
      </c>
    </row>
    <row r="6243" spans="1:11" x14ac:dyDescent="0.25">
      <c r="A6243" t="str">
        <f>"7814"</f>
        <v>7814</v>
      </c>
      <c r="B6243" t="str">
        <f t="shared" si="406"/>
        <v>1</v>
      </c>
      <c r="C6243" t="str">
        <f t="shared" si="407"/>
        <v>337</v>
      </c>
      <c r="D6243" t="str">
        <f>"9"</f>
        <v>9</v>
      </c>
      <c r="E6243" t="str">
        <f>"1-337-9"</f>
        <v>1-337-9</v>
      </c>
      <c r="F6243" t="s">
        <v>15</v>
      </c>
      <c r="G6243" t="s">
        <v>18</v>
      </c>
      <c r="H6243" t="s">
        <v>19</v>
      </c>
      <c r="I6243">
        <v>1</v>
      </c>
      <c r="J6243">
        <v>0</v>
      </c>
      <c r="K6243">
        <v>0</v>
      </c>
    </row>
    <row r="6244" spans="1:11" x14ac:dyDescent="0.25">
      <c r="A6244" t="str">
        <f>"7815"</f>
        <v>7815</v>
      </c>
      <c r="B6244" t="str">
        <f t="shared" si="406"/>
        <v>1</v>
      </c>
      <c r="C6244" t="str">
        <f t="shared" si="407"/>
        <v>337</v>
      </c>
      <c r="D6244" t="str">
        <f>"12"</f>
        <v>12</v>
      </c>
      <c r="E6244" t="str">
        <f>"1-337-12"</f>
        <v>1-337-12</v>
      </c>
      <c r="F6244" t="s">
        <v>15</v>
      </c>
      <c r="G6244" t="s">
        <v>20</v>
      </c>
      <c r="H6244" t="s">
        <v>21</v>
      </c>
      <c r="I6244">
        <v>0</v>
      </c>
      <c r="J6244">
        <v>0</v>
      </c>
      <c r="K6244">
        <v>0</v>
      </c>
    </row>
    <row r="6245" spans="1:11" x14ac:dyDescent="0.25">
      <c r="A6245" t="str">
        <f>"7816"</f>
        <v>7816</v>
      </c>
      <c r="B6245" t="str">
        <f t="shared" si="406"/>
        <v>1</v>
      </c>
      <c r="C6245" t="str">
        <f t="shared" si="407"/>
        <v>337</v>
      </c>
      <c r="D6245" t="str">
        <f>"13"</f>
        <v>13</v>
      </c>
      <c r="E6245" t="str">
        <f>"1-337-13"</f>
        <v>1-337-13</v>
      </c>
      <c r="F6245" t="s">
        <v>15</v>
      </c>
      <c r="G6245" t="s">
        <v>20</v>
      </c>
      <c r="H6245" t="s">
        <v>21</v>
      </c>
      <c r="I6245">
        <v>0</v>
      </c>
      <c r="J6245">
        <v>0</v>
      </c>
      <c r="K6245">
        <v>0</v>
      </c>
    </row>
    <row r="6246" spans="1:11" x14ac:dyDescent="0.25">
      <c r="A6246" t="str">
        <f>"7817"</f>
        <v>7817</v>
      </c>
      <c r="B6246" t="str">
        <f t="shared" si="406"/>
        <v>1</v>
      </c>
      <c r="C6246" t="str">
        <f t="shared" ref="C6246:C6268" si="408">"338"</f>
        <v>338</v>
      </c>
      <c r="D6246" t="str">
        <f>"15"</f>
        <v>15</v>
      </c>
      <c r="E6246" t="str">
        <f>"1-338-15"</f>
        <v>1-338-15</v>
      </c>
      <c r="F6246" t="s">
        <v>15</v>
      </c>
      <c r="G6246" t="s">
        <v>16</v>
      </c>
      <c r="H6246" t="s">
        <v>17</v>
      </c>
      <c r="I6246">
        <v>0</v>
      </c>
      <c r="J6246">
        <v>1</v>
      </c>
      <c r="K6246">
        <v>0</v>
      </c>
    </row>
    <row r="6247" spans="1:11" x14ac:dyDescent="0.25">
      <c r="A6247" t="str">
        <f>"7818"</f>
        <v>7818</v>
      </c>
      <c r="B6247" t="str">
        <f t="shared" si="406"/>
        <v>1</v>
      </c>
      <c r="C6247" t="str">
        <f t="shared" si="408"/>
        <v>338</v>
      </c>
      <c r="D6247" t="str">
        <f>"8"</f>
        <v>8</v>
      </c>
      <c r="E6247" t="str">
        <f>"1-338-8"</f>
        <v>1-338-8</v>
      </c>
      <c r="F6247" t="s">
        <v>15</v>
      </c>
      <c r="G6247" t="s">
        <v>20</v>
      </c>
      <c r="H6247" t="s">
        <v>21</v>
      </c>
      <c r="I6247">
        <v>0</v>
      </c>
      <c r="J6247">
        <v>0</v>
      </c>
      <c r="K6247">
        <v>1</v>
      </c>
    </row>
    <row r="6248" spans="1:11" x14ac:dyDescent="0.25">
      <c r="A6248" t="str">
        <f>"7819"</f>
        <v>7819</v>
      </c>
      <c r="B6248" t="str">
        <f t="shared" si="406"/>
        <v>1</v>
      </c>
      <c r="C6248" t="str">
        <f t="shared" si="408"/>
        <v>338</v>
      </c>
      <c r="D6248" t="str">
        <f>"16"</f>
        <v>16</v>
      </c>
      <c r="E6248" t="str">
        <f>"1-338-16"</f>
        <v>1-338-16</v>
      </c>
      <c r="F6248" t="s">
        <v>15</v>
      </c>
      <c r="G6248" t="s">
        <v>20</v>
      </c>
      <c r="H6248" t="s">
        <v>21</v>
      </c>
      <c r="I6248">
        <v>1</v>
      </c>
      <c r="J6248">
        <v>0</v>
      </c>
      <c r="K6248">
        <v>0</v>
      </c>
    </row>
    <row r="6249" spans="1:11" x14ac:dyDescent="0.25">
      <c r="A6249" t="str">
        <f>"7820"</f>
        <v>7820</v>
      </c>
      <c r="B6249" t="str">
        <f t="shared" si="406"/>
        <v>1</v>
      </c>
      <c r="C6249" t="str">
        <f t="shared" si="408"/>
        <v>338</v>
      </c>
      <c r="D6249" t="str">
        <f>"6"</f>
        <v>6</v>
      </c>
      <c r="E6249" t="str">
        <f>"1-338-6"</f>
        <v>1-338-6</v>
      </c>
      <c r="F6249" t="s">
        <v>15</v>
      </c>
      <c r="G6249" t="s">
        <v>20</v>
      </c>
      <c r="H6249" t="s">
        <v>21</v>
      </c>
      <c r="I6249">
        <v>1</v>
      </c>
      <c r="J6249">
        <v>0</v>
      </c>
      <c r="K6249">
        <v>0</v>
      </c>
    </row>
    <row r="6250" spans="1:11" x14ac:dyDescent="0.25">
      <c r="A6250" t="str">
        <f>"7821"</f>
        <v>7821</v>
      </c>
      <c r="B6250" t="str">
        <f t="shared" si="406"/>
        <v>1</v>
      </c>
      <c r="C6250" t="str">
        <f t="shared" si="408"/>
        <v>338</v>
      </c>
      <c r="D6250" t="str">
        <f>"17"</f>
        <v>17</v>
      </c>
      <c r="E6250" t="str">
        <f>"1-338-17"</f>
        <v>1-338-17</v>
      </c>
      <c r="F6250" t="s">
        <v>15</v>
      </c>
      <c r="G6250" t="s">
        <v>16</v>
      </c>
      <c r="H6250" t="s">
        <v>17</v>
      </c>
      <c r="I6250">
        <v>0</v>
      </c>
      <c r="J6250">
        <v>0</v>
      </c>
      <c r="K6250">
        <v>1</v>
      </c>
    </row>
    <row r="6251" spans="1:11" x14ac:dyDescent="0.25">
      <c r="A6251" t="str">
        <f>"7822"</f>
        <v>7822</v>
      </c>
      <c r="B6251" t="str">
        <f t="shared" si="406"/>
        <v>1</v>
      </c>
      <c r="C6251" t="str">
        <f t="shared" si="408"/>
        <v>338</v>
      </c>
      <c r="D6251" t="str">
        <f>"1"</f>
        <v>1</v>
      </c>
      <c r="E6251" t="str">
        <f>"1-338-1"</f>
        <v>1-338-1</v>
      </c>
      <c r="F6251" t="s">
        <v>15</v>
      </c>
      <c r="G6251" t="s">
        <v>16</v>
      </c>
      <c r="H6251" t="s">
        <v>17</v>
      </c>
      <c r="I6251">
        <v>0</v>
      </c>
      <c r="J6251">
        <v>0</v>
      </c>
      <c r="K6251">
        <v>1</v>
      </c>
    </row>
    <row r="6252" spans="1:11" x14ac:dyDescent="0.25">
      <c r="A6252" t="str">
        <f>"7824"</f>
        <v>7824</v>
      </c>
      <c r="B6252" t="str">
        <f t="shared" si="406"/>
        <v>1</v>
      </c>
      <c r="C6252" t="str">
        <f t="shared" si="408"/>
        <v>338</v>
      </c>
      <c r="D6252" t="str">
        <f>"14"</f>
        <v>14</v>
      </c>
      <c r="E6252" t="str">
        <f>"1-338-14"</f>
        <v>1-338-14</v>
      </c>
      <c r="F6252" t="s">
        <v>15</v>
      </c>
      <c r="G6252" t="s">
        <v>16</v>
      </c>
      <c r="H6252" t="s">
        <v>17</v>
      </c>
      <c r="I6252">
        <v>0</v>
      </c>
      <c r="J6252">
        <v>1</v>
      </c>
      <c r="K6252">
        <v>0</v>
      </c>
    </row>
    <row r="6253" spans="1:11" x14ac:dyDescent="0.25">
      <c r="A6253" t="str">
        <f>"7825"</f>
        <v>7825</v>
      </c>
      <c r="B6253" t="str">
        <f t="shared" si="406"/>
        <v>1</v>
      </c>
      <c r="C6253" t="str">
        <f t="shared" si="408"/>
        <v>338</v>
      </c>
      <c r="D6253" t="str">
        <f>"19"</f>
        <v>19</v>
      </c>
      <c r="E6253" t="str">
        <f>"1-338-19"</f>
        <v>1-338-19</v>
      </c>
      <c r="F6253" t="s">
        <v>15</v>
      </c>
      <c r="G6253" t="s">
        <v>16</v>
      </c>
      <c r="H6253" t="s">
        <v>17</v>
      </c>
      <c r="I6253">
        <v>0</v>
      </c>
      <c r="J6253">
        <v>0</v>
      </c>
      <c r="K6253">
        <v>1</v>
      </c>
    </row>
    <row r="6254" spans="1:11" x14ac:dyDescent="0.25">
      <c r="A6254" t="str">
        <f>"7826"</f>
        <v>7826</v>
      </c>
      <c r="B6254" t="str">
        <f t="shared" si="406"/>
        <v>1</v>
      </c>
      <c r="C6254" t="str">
        <f t="shared" si="408"/>
        <v>338</v>
      </c>
      <c r="D6254" t="str">
        <f>"7"</f>
        <v>7</v>
      </c>
      <c r="E6254" t="str">
        <f>"1-338-7"</f>
        <v>1-338-7</v>
      </c>
      <c r="F6254" t="s">
        <v>15</v>
      </c>
      <c r="G6254" t="s">
        <v>16</v>
      </c>
      <c r="H6254" t="s">
        <v>17</v>
      </c>
      <c r="I6254">
        <v>1</v>
      </c>
      <c r="J6254">
        <v>0</v>
      </c>
      <c r="K6254">
        <v>0</v>
      </c>
    </row>
    <row r="6255" spans="1:11" x14ac:dyDescent="0.25">
      <c r="A6255" t="str">
        <f>"7827"</f>
        <v>7827</v>
      </c>
      <c r="B6255" t="str">
        <f t="shared" si="406"/>
        <v>1</v>
      </c>
      <c r="C6255" t="str">
        <f t="shared" si="408"/>
        <v>338</v>
      </c>
      <c r="D6255" t="str">
        <f>"20"</f>
        <v>20</v>
      </c>
      <c r="E6255" t="str">
        <f>"1-338-20"</f>
        <v>1-338-20</v>
      </c>
      <c r="F6255" t="s">
        <v>15</v>
      </c>
      <c r="G6255" t="s">
        <v>18</v>
      </c>
      <c r="H6255" t="s">
        <v>19</v>
      </c>
      <c r="I6255">
        <v>0</v>
      </c>
      <c r="J6255">
        <v>0</v>
      </c>
      <c r="K6255">
        <v>1</v>
      </c>
    </row>
    <row r="6256" spans="1:11" x14ac:dyDescent="0.25">
      <c r="A6256" t="str">
        <f>"7829"</f>
        <v>7829</v>
      </c>
      <c r="B6256" t="str">
        <f t="shared" si="406"/>
        <v>1</v>
      </c>
      <c r="C6256" t="str">
        <f t="shared" si="408"/>
        <v>338</v>
      </c>
      <c r="D6256" t="str">
        <f>"21"</f>
        <v>21</v>
      </c>
      <c r="E6256" t="str">
        <f>"1-338-21"</f>
        <v>1-338-21</v>
      </c>
      <c r="F6256" t="s">
        <v>15</v>
      </c>
      <c r="G6256" t="s">
        <v>16</v>
      </c>
      <c r="H6256" t="s">
        <v>17</v>
      </c>
      <c r="I6256">
        <v>1</v>
      </c>
      <c r="J6256">
        <v>0</v>
      </c>
      <c r="K6256">
        <v>0</v>
      </c>
    </row>
    <row r="6257" spans="1:11" x14ac:dyDescent="0.25">
      <c r="A6257" t="str">
        <f>"7830"</f>
        <v>7830</v>
      </c>
      <c r="B6257" t="str">
        <f t="shared" si="406"/>
        <v>1</v>
      </c>
      <c r="C6257" t="str">
        <f t="shared" si="408"/>
        <v>338</v>
      </c>
      <c r="D6257" t="str">
        <f>"3"</f>
        <v>3</v>
      </c>
      <c r="E6257" t="str">
        <f>"1-338-3"</f>
        <v>1-338-3</v>
      </c>
      <c r="F6257" t="s">
        <v>15</v>
      </c>
      <c r="G6257" t="s">
        <v>16</v>
      </c>
      <c r="H6257" t="s">
        <v>17</v>
      </c>
      <c r="I6257">
        <v>0</v>
      </c>
      <c r="J6257">
        <v>1</v>
      </c>
      <c r="K6257">
        <v>0</v>
      </c>
    </row>
    <row r="6258" spans="1:11" x14ac:dyDescent="0.25">
      <c r="A6258" t="str">
        <f>"7831"</f>
        <v>7831</v>
      </c>
      <c r="B6258" t="str">
        <f t="shared" si="406"/>
        <v>1</v>
      </c>
      <c r="C6258" t="str">
        <f t="shared" si="408"/>
        <v>338</v>
      </c>
      <c r="D6258" t="str">
        <f>"22"</f>
        <v>22</v>
      </c>
      <c r="E6258" t="str">
        <f>"1-338-22"</f>
        <v>1-338-22</v>
      </c>
      <c r="F6258" t="s">
        <v>15</v>
      </c>
      <c r="G6258" t="s">
        <v>16</v>
      </c>
      <c r="H6258" t="s">
        <v>17</v>
      </c>
      <c r="I6258">
        <v>0</v>
      </c>
      <c r="J6258">
        <v>1</v>
      </c>
      <c r="K6258">
        <v>0</v>
      </c>
    </row>
    <row r="6259" spans="1:11" x14ac:dyDescent="0.25">
      <c r="A6259" t="str">
        <f>"7832"</f>
        <v>7832</v>
      </c>
      <c r="B6259" t="str">
        <f t="shared" si="406"/>
        <v>1</v>
      </c>
      <c r="C6259" t="str">
        <f t="shared" si="408"/>
        <v>338</v>
      </c>
      <c r="D6259" t="str">
        <f>"5"</f>
        <v>5</v>
      </c>
      <c r="E6259" t="str">
        <f>"1-338-5"</f>
        <v>1-338-5</v>
      </c>
      <c r="F6259" t="s">
        <v>15</v>
      </c>
      <c r="G6259" t="s">
        <v>16</v>
      </c>
      <c r="H6259" t="s">
        <v>17</v>
      </c>
      <c r="I6259">
        <v>0</v>
      </c>
      <c r="J6259">
        <v>0</v>
      </c>
      <c r="K6259">
        <v>1</v>
      </c>
    </row>
    <row r="6260" spans="1:11" x14ac:dyDescent="0.25">
      <c r="A6260" t="str">
        <f>"7833"</f>
        <v>7833</v>
      </c>
      <c r="B6260" t="str">
        <f t="shared" si="406"/>
        <v>1</v>
      </c>
      <c r="C6260" t="str">
        <f t="shared" si="408"/>
        <v>338</v>
      </c>
      <c r="D6260" t="str">
        <f>"23"</f>
        <v>23</v>
      </c>
      <c r="E6260" t="str">
        <f>"1-338-23"</f>
        <v>1-338-23</v>
      </c>
      <c r="F6260" t="s">
        <v>15</v>
      </c>
      <c r="G6260" t="s">
        <v>16</v>
      </c>
      <c r="H6260" t="s">
        <v>17</v>
      </c>
      <c r="I6260">
        <v>0</v>
      </c>
      <c r="J6260">
        <v>1</v>
      </c>
      <c r="K6260">
        <v>0</v>
      </c>
    </row>
    <row r="6261" spans="1:11" x14ac:dyDescent="0.25">
      <c r="A6261" t="str">
        <f>"7834"</f>
        <v>7834</v>
      </c>
      <c r="B6261" t="str">
        <f t="shared" ref="B6261:B6315" si="409">"1"</f>
        <v>1</v>
      </c>
      <c r="C6261" t="str">
        <f t="shared" si="408"/>
        <v>338</v>
      </c>
      <c r="D6261" t="str">
        <f>"11"</f>
        <v>11</v>
      </c>
      <c r="E6261" t="str">
        <f>"1-338-11"</f>
        <v>1-338-11</v>
      </c>
      <c r="F6261" t="s">
        <v>15</v>
      </c>
      <c r="G6261" t="s">
        <v>20</v>
      </c>
      <c r="H6261" t="s">
        <v>21</v>
      </c>
      <c r="I6261">
        <v>0</v>
      </c>
      <c r="J6261">
        <v>1</v>
      </c>
      <c r="K6261">
        <v>0</v>
      </c>
    </row>
    <row r="6262" spans="1:11" x14ac:dyDescent="0.25">
      <c r="A6262" t="str">
        <f>"7835"</f>
        <v>7835</v>
      </c>
      <c r="B6262" t="str">
        <f t="shared" si="409"/>
        <v>1</v>
      </c>
      <c r="C6262" t="str">
        <f t="shared" si="408"/>
        <v>338</v>
      </c>
      <c r="D6262" t="str">
        <f>"24"</f>
        <v>24</v>
      </c>
      <c r="E6262" t="str">
        <f>"1-338-24"</f>
        <v>1-338-24</v>
      </c>
      <c r="F6262" t="s">
        <v>15</v>
      </c>
      <c r="G6262" t="s">
        <v>16</v>
      </c>
      <c r="H6262" t="s">
        <v>17</v>
      </c>
      <c r="I6262">
        <v>0</v>
      </c>
      <c r="J6262">
        <v>0</v>
      </c>
      <c r="K6262">
        <v>1</v>
      </c>
    </row>
    <row r="6263" spans="1:11" x14ac:dyDescent="0.25">
      <c r="A6263" t="str">
        <f>"7836"</f>
        <v>7836</v>
      </c>
      <c r="B6263" t="str">
        <f t="shared" si="409"/>
        <v>1</v>
      </c>
      <c r="C6263" t="str">
        <f t="shared" si="408"/>
        <v>338</v>
      </c>
      <c r="D6263" t="str">
        <f>"9"</f>
        <v>9</v>
      </c>
      <c r="E6263" t="str">
        <f>"1-338-9"</f>
        <v>1-338-9</v>
      </c>
      <c r="F6263" t="s">
        <v>15</v>
      </c>
      <c r="G6263" t="s">
        <v>20</v>
      </c>
      <c r="H6263" t="s">
        <v>21</v>
      </c>
      <c r="I6263">
        <v>1</v>
      </c>
      <c r="J6263">
        <v>0</v>
      </c>
      <c r="K6263">
        <v>0</v>
      </c>
    </row>
    <row r="6264" spans="1:11" x14ac:dyDescent="0.25">
      <c r="A6264" t="str">
        <f>"7837"</f>
        <v>7837</v>
      </c>
      <c r="B6264" t="str">
        <f t="shared" si="409"/>
        <v>1</v>
      </c>
      <c r="C6264" t="str">
        <f t="shared" si="408"/>
        <v>338</v>
      </c>
      <c r="D6264" t="str">
        <f>"10"</f>
        <v>10</v>
      </c>
      <c r="E6264" t="str">
        <f>"1-338-10"</f>
        <v>1-338-10</v>
      </c>
      <c r="F6264" t="s">
        <v>15</v>
      </c>
      <c r="G6264" t="s">
        <v>16</v>
      </c>
      <c r="H6264" t="s">
        <v>17</v>
      </c>
      <c r="I6264">
        <v>0</v>
      </c>
      <c r="J6264">
        <v>0</v>
      </c>
      <c r="K6264">
        <v>1</v>
      </c>
    </row>
    <row r="6265" spans="1:11" x14ac:dyDescent="0.25">
      <c r="A6265" t="str">
        <f>"7838"</f>
        <v>7838</v>
      </c>
      <c r="B6265" t="str">
        <f t="shared" si="409"/>
        <v>1</v>
      </c>
      <c r="C6265" t="str">
        <f t="shared" si="408"/>
        <v>338</v>
      </c>
      <c r="D6265" t="str">
        <f>"13"</f>
        <v>13</v>
      </c>
      <c r="E6265" t="str">
        <f>"1-338-13"</f>
        <v>1-338-13</v>
      </c>
      <c r="F6265" t="s">
        <v>15</v>
      </c>
      <c r="G6265" t="s">
        <v>16</v>
      </c>
      <c r="H6265" t="s">
        <v>17</v>
      </c>
      <c r="I6265">
        <v>0</v>
      </c>
      <c r="J6265">
        <v>1</v>
      </c>
      <c r="K6265">
        <v>0</v>
      </c>
    </row>
    <row r="6266" spans="1:11" x14ac:dyDescent="0.25">
      <c r="A6266" t="str">
        <f>"7839"</f>
        <v>7839</v>
      </c>
      <c r="B6266" t="str">
        <f t="shared" si="409"/>
        <v>1</v>
      </c>
      <c r="C6266" t="str">
        <f t="shared" si="408"/>
        <v>338</v>
      </c>
      <c r="D6266" t="str">
        <f>"4"</f>
        <v>4</v>
      </c>
      <c r="E6266" t="str">
        <f>"1-338-4"</f>
        <v>1-338-4</v>
      </c>
      <c r="F6266" t="s">
        <v>15</v>
      </c>
      <c r="G6266" t="s">
        <v>16</v>
      </c>
      <c r="H6266" t="s">
        <v>17</v>
      </c>
      <c r="I6266">
        <v>0</v>
      </c>
      <c r="J6266">
        <v>0</v>
      </c>
      <c r="K6266">
        <v>1</v>
      </c>
    </row>
    <row r="6267" spans="1:11" x14ac:dyDescent="0.25">
      <c r="A6267" t="str">
        <f>"7840"</f>
        <v>7840</v>
      </c>
      <c r="B6267" t="str">
        <f t="shared" si="409"/>
        <v>1</v>
      </c>
      <c r="C6267" t="str">
        <f t="shared" si="408"/>
        <v>338</v>
      </c>
      <c r="D6267" t="str">
        <f>"12"</f>
        <v>12</v>
      </c>
      <c r="E6267" t="str">
        <f>"1-338-12"</f>
        <v>1-338-12</v>
      </c>
      <c r="F6267" t="s">
        <v>15</v>
      </c>
      <c r="G6267" t="s">
        <v>16</v>
      </c>
      <c r="H6267" t="s">
        <v>17</v>
      </c>
      <c r="I6267">
        <v>1</v>
      </c>
      <c r="J6267">
        <v>0</v>
      </c>
      <c r="K6267">
        <v>0</v>
      </c>
    </row>
    <row r="6268" spans="1:11" x14ac:dyDescent="0.25">
      <c r="A6268" t="str">
        <f>"7841"</f>
        <v>7841</v>
      </c>
      <c r="B6268" t="str">
        <f t="shared" si="409"/>
        <v>1</v>
      </c>
      <c r="C6268" t="str">
        <f t="shared" si="408"/>
        <v>338</v>
      </c>
      <c r="D6268" t="str">
        <f>"25"</f>
        <v>25</v>
      </c>
      <c r="E6268" t="str">
        <f>"1-338-25"</f>
        <v>1-338-25</v>
      </c>
      <c r="F6268" t="s">
        <v>15</v>
      </c>
      <c r="G6268" t="s">
        <v>16</v>
      </c>
      <c r="H6268" t="s">
        <v>17</v>
      </c>
      <c r="I6268">
        <v>1</v>
      </c>
      <c r="J6268">
        <v>0</v>
      </c>
      <c r="K6268">
        <v>0</v>
      </c>
    </row>
    <row r="6269" spans="1:11" x14ac:dyDescent="0.25">
      <c r="A6269" t="str">
        <f>"7842"</f>
        <v>7842</v>
      </c>
      <c r="B6269" t="str">
        <f t="shared" si="409"/>
        <v>1</v>
      </c>
      <c r="C6269" t="str">
        <f t="shared" ref="C6269:C6287" si="410">"339"</f>
        <v>339</v>
      </c>
      <c r="D6269" t="str">
        <f>"22"</f>
        <v>22</v>
      </c>
      <c r="E6269" t="str">
        <f>"1-339-22"</f>
        <v>1-339-22</v>
      </c>
      <c r="F6269" t="s">
        <v>15</v>
      </c>
      <c r="G6269" t="s">
        <v>16</v>
      </c>
      <c r="H6269" t="s">
        <v>17</v>
      </c>
      <c r="I6269">
        <v>1</v>
      </c>
      <c r="J6269">
        <v>0</v>
      </c>
      <c r="K6269">
        <v>0</v>
      </c>
    </row>
    <row r="6270" spans="1:11" x14ac:dyDescent="0.25">
      <c r="A6270" t="str">
        <f>"7843"</f>
        <v>7843</v>
      </c>
      <c r="B6270" t="str">
        <f t="shared" si="409"/>
        <v>1</v>
      </c>
      <c r="C6270" t="str">
        <f t="shared" si="410"/>
        <v>339</v>
      </c>
      <c r="D6270" t="str">
        <f>"15"</f>
        <v>15</v>
      </c>
      <c r="E6270" t="str">
        <f>"1-339-15"</f>
        <v>1-339-15</v>
      </c>
      <c r="F6270" t="s">
        <v>15</v>
      </c>
      <c r="G6270" t="s">
        <v>16</v>
      </c>
      <c r="H6270" t="s">
        <v>17</v>
      </c>
      <c r="I6270">
        <v>0</v>
      </c>
      <c r="J6270">
        <v>0</v>
      </c>
      <c r="K6270">
        <v>1</v>
      </c>
    </row>
    <row r="6271" spans="1:11" x14ac:dyDescent="0.25">
      <c r="A6271" t="str">
        <f>"7845"</f>
        <v>7845</v>
      </c>
      <c r="B6271" t="str">
        <f t="shared" si="409"/>
        <v>1</v>
      </c>
      <c r="C6271" t="str">
        <f t="shared" si="410"/>
        <v>339</v>
      </c>
      <c r="D6271" t="str">
        <f>"23"</f>
        <v>23</v>
      </c>
      <c r="E6271" t="str">
        <f>"1-339-23"</f>
        <v>1-339-23</v>
      </c>
      <c r="F6271" t="s">
        <v>15</v>
      </c>
      <c r="G6271" t="s">
        <v>16</v>
      </c>
      <c r="H6271" t="s">
        <v>17</v>
      </c>
      <c r="I6271">
        <v>1</v>
      </c>
      <c r="J6271">
        <v>0</v>
      </c>
      <c r="K6271">
        <v>0</v>
      </c>
    </row>
    <row r="6272" spans="1:11" x14ac:dyDescent="0.25">
      <c r="A6272" t="str">
        <f>"7846"</f>
        <v>7846</v>
      </c>
      <c r="B6272" t="str">
        <f t="shared" si="409"/>
        <v>1</v>
      </c>
      <c r="C6272" t="str">
        <f t="shared" si="410"/>
        <v>339</v>
      </c>
      <c r="D6272" t="str">
        <f>"16"</f>
        <v>16</v>
      </c>
      <c r="E6272" t="str">
        <f>"1-339-16"</f>
        <v>1-339-16</v>
      </c>
      <c r="F6272" t="s">
        <v>15</v>
      </c>
      <c r="G6272" t="s">
        <v>16</v>
      </c>
      <c r="H6272" t="s">
        <v>17</v>
      </c>
      <c r="I6272">
        <v>0</v>
      </c>
      <c r="J6272">
        <v>1</v>
      </c>
      <c r="K6272">
        <v>0</v>
      </c>
    </row>
    <row r="6273" spans="1:11" x14ac:dyDescent="0.25">
      <c r="A6273" t="str">
        <f>"7847"</f>
        <v>7847</v>
      </c>
      <c r="B6273" t="str">
        <f t="shared" si="409"/>
        <v>1</v>
      </c>
      <c r="C6273" t="str">
        <f t="shared" si="410"/>
        <v>339</v>
      </c>
      <c r="D6273" t="str">
        <f>"2"</f>
        <v>2</v>
      </c>
      <c r="E6273" t="str">
        <f>"1-339-2"</f>
        <v>1-339-2</v>
      </c>
      <c r="F6273" t="s">
        <v>15</v>
      </c>
      <c r="G6273" t="s">
        <v>16</v>
      </c>
      <c r="H6273" t="s">
        <v>17</v>
      </c>
      <c r="I6273">
        <v>0</v>
      </c>
      <c r="J6273">
        <v>0</v>
      </c>
      <c r="K6273">
        <v>1</v>
      </c>
    </row>
    <row r="6274" spans="1:11" x14ac:dyDescent="0.25">
      <c r="A6274" t="str">
        <f>"7849"</f>
        <v>7849</v>
      </c>
      <c r="B6274" t="str">
        <f t="shared" si="409"/>
        <v>1</v>
      </c>
      <c r="C6274" t="str">
        <f t="shared" si="410"/>
        <v>339</v>
      </c>
      <c r="D6274" t="str">
        <f>"5"</f>
        <v>5</v>
      </c>
      <c r="E6274" t="str">
        <f>"1-339-5"</f>
        <v>1-339-5</v>
      </c>
      <c r="F6274" t="s">
        <v>15</v>
      </c>
      <c r="G6274" t="s">
        <v>16</v>
      </c>
      <c r="H6274" t="s">
        <v>17</v>
      </c>
      <c r="I6274">
        <v>0</v>
      </c>
      <c r="J6274">
        <v>1</v>
      </c>
      <c r="K6274">
        <v>0</v>
      </c>
    </row>
    <row r="6275" spans="1:11" x14ac:dyDescent="0.25">
      <c r="A6275" t="str">
        <f>"7850"</f>
        <v>7850</v>
      </c>
      <c r="B6275" t="str">
        <f t="shared" si="409"/>
        <v>1</v>
      </c>
      <c r="C6275" t="str">
        <f t="shared" si="410"/>
        <v>339</v>
      </c>
      <c r="D6275" t="str">
        <f>"18"</f>
        <v>18</v>
      </c>
      <c r="E6275" t="str">
        <f>"1-339-18"</f>
        <v>1-339-18</v>
      </c>
      <c r="F6275" t="s">
        <v>15</v>
      </c>
      <c r="G6275" t="s">
        <v>16</v>
      </c>
      <c r="H6275" t="s">
        <v>17</v>
      </c>
      <c r="I6275">
        <v>0</v>
      </c>
      <c r="J6275">
        <v>1</v>
      </c>
      <c r="K6275">
        <v>0</v>
      </c>
    </row>
    <row r="6276" spans="1:11" x14ac:dyDescent="0.25">
      <c r="A6276" t="str">
        <f>"7851"</f>
        <v>7851</v>
      </c>
      <c r="B6276" t="str">
        <f t="shared" si="409"/>
        <v>1</v>
      </c>
      <c r="C6276" t="str">
        <f t="shared" si="410"/>
        <v>339</v>
      </c>
      <c r="D6276" t="str">
        <f>"14"</f>
        <v>14</v>
      </c>
      <c r="E6276" t="str">
        <f>"1-339-14"</f>
        <v>1-339-14</v>
      </c>
      <c r="F6276" t="s">
        <v>15</v>
      </c>
      <c r="G6276" t="s">
        <v>16</v>
      </c>
      <c r="H6276" t="s">
        <v>17</v>
      </c>
      <c r="I6276">
        <v>0</v>
      </c>
      <c r="J6276">
        <v>1</v>
      </c>
      <c r="K6276">
        <v>0</v>
      </c>
    </row>
    <row r="6277" spans="1:11" x14ac:dyDescent="0.25">
      <c r="A6277" t="str">
        <f>"7854"</f>
        <v>7854</v>
      </c>
      <c r="B6277" t="str">
        <f t="shared" si="409"/>
        <v>1</v>
      </c>
      <c r="C6277" t="str">
        <f t="shared" si="410"/>
        <v>339</v>
      </c>
      <c r="D6277" t="str">
        <f>"21"</f>
        <v>21</v>
      </c>
      <c r="E6277" t="str">
        <f>"1-339-21"</f>
        <v>1-339-21</v>
      </c>
      <c r="F6277" t="s">
        <v>15</v>
      </c>
      <c r="G6277" t="s">
        <v>16</v>
      </c>
      <c r="H6277" t="s">
        <v>17</v>
      </c>
      <c r="I6277">
        <v>1</v>
      </c>
      <c r="J6277">
        <v>0</v>
      </c>
      <c r="K6277">
        <v>0</v>
      </c>
    </row>
    <row r="6278" spans="1:11" x14ac:dyDescent="0.25">
      <c r="A6278" t="str">
        <f>"7856"</f>
        <v>7856</v>
      </c>
      <c r="B6278" t="str">
        <f t="shared" si="409"/>
        <v>1</v>
      </c>
      <c r="C6278" t="str">
        <f t="shared" si="410"/>
        <v>339</v>
      </c>
      <c r="D6278" t="str">
        <f>"24"</f>
        <v>24</v>
      </c>
      <c r="E6278" t="str">
        <f>"1-339-24"</f>
        <v>1-339-24</v>
      </c>
      <c r="F6278" t="s">
        <v>15</v>
      </c>
      <c r="G6278" t="s">
        <v>16</v>
      </c>
      <c r="H6278" t="s">
        <v>17</v>
      </c>
      <c r="I6278">
        <v>0</v>
      </c>
      <c r="J6278">
        <v>1</v>
      </c>
      <c r="K6278">
        <v>0</v>
      </c>
    </row>
    <row r="6279" spans="1:11" x14ac:dyDescent="0.25">
      <c r="A6279" t="str">
        <f>"7857"</f>
        <v>7857</v>
      </c>
      <c r="B6279" t="str">
        <f t="shared" si="409"/>
        <v>1</v>
      </c>
      <c r="C6279" t="str">
        <f t="shared" si="410"/>
        <v>339</v>
      </c>
      <c r="D6279" t="str">
        <f>"11"</f>
        <v>11</v>
      </c>
      <c r="E6279" t="str">
        <f>"1-339-11"</f>
        <v>1-339-11</v>
      </c>
      <c r="F6279" t="s">
        <v>15</v>
      </c>
      <c r="G6279" t="s">
        <v>16</v>
      </c>
      <c r="H6279" t="s">
        <v>17</v>
      </c>
      <c r="I6279">
        <v>1</v>
      </c>
      <c r="J6279">
        <v>0</v>
      </c>
      <c r="K6279">
        <v>0</v>
      </c>
    </row>
    <row r="6280" spans="1:11" x14ac:dyDescent="0.25">
      <c r="A6280" t="str">
        <f>"7859"</f>
        <v>7859</v>
      </c>
      <c r="B6280" t="str">
        <f t="shared" si="409"/>
        <v>1</v>
      </c>
      <c r="C6280" t="str">
        <f t="shared" si="410"/>
        <v>339</v>
      </c>
      <c r="D6280" t="str">
        <f>"13"</f>
        <v>13</v>
      </c>
      <c r="E6280" t="str">
        <f>"1-339-13"</f>
        <v>1-339-13</v>
      </c>
      <c r="F6280" t="s">
        <v>15</v>
      </c>
      <c r="G6280" t="s">
        <v>16</v>
      </c>
      <c r="H6280" t="s">
        <v>17</v>
      </c>
      <c r="I6280">
        <v>0</v>
      </c>
      <c r="J6280">
        <v>0</v>
      </c>
      <c r="K6280">
        <v>1</v>
      </c>
    </row>
    <row r="6281" spans="1:11" x14ac:dyDescent="0.25">
      <c r="A6281" t="str">
        <f>"7860"</f>
        <v>7860</v>
      </c>
      <c r="B6281" t="str">
        <f t="shared" si="409"/>
        <v>1</v>
      </c>
      <c r="C6281" t="str">
        <f t="shared" si="410"/>
        <v>339</v>
      </c>
      <c r="D6281" t="str">
        <f>"1"</f>
        <v>1</v>
      </c>
      <c r="E6281" t="str">
        <f>"1-339-1"</f>
        <v>1-339-1</v>
      </c>
      <c r="F6281" t="s">
        <v>15</v>
      </c>
      <c r="G6281" t="s">
        <v>18</v>
      </c>
      <c r="H6281" t="s">
        <v>19</v>
      </c>
      <c r="I6281">
        <v>1</v>
      </c>
      <c r="J6281">
        <v>0</v>
      </c>
      <c r="K6281">
        <v>0</v>
      </c>
    </row>
    <row r="6282" spans="1:11" x14ac:dyDescent="0.25">
      <c r="A6282" t="str">
        <f>"7861"</f>
        <v>7861</v>
      </c>
      <c r="B6282" t="str">
        <f t="shared" si="409"/>
        <v>1</v>
      </c>
      <c r="C6282" t="str">
        <f t="shared" si="410"/>
        <v>339</v>
      </c>
      <c r="D6282" t="str">
        <f>"12"</f>
        <v>12</v>
      </c>
      <c r="E6282" t="str">
        <f>"1-339-12"</f>
        <v>1-339-12</v>
      </c>
      <c r="F6282" t="s">
        <v>15</v>
      </c>
      <c r="G6282" t="s">
        <v>16</v>
      </c>
      <c r="H6282" t="s">
        <v>17</v>
      </c>
      <c r="I6282">
        <v>0</v>
      </c>
      <c r="J6282">
        <v>0</v>
      </c>
      <c r="K6282">
        <v>1</v>
      </c>
    </row>
    <row r="6283" spans="1:11" x14ac:dyDescent="0.25">
      <c r="A6283" t="str">
        <f>"7862"</f>
        <v>7862</v>
      </c>
      <c r="B6283" t="str">
        <f t="shared" si="409"/>
        <v>1</v>
      </c>
      <c r="C6283" t="str">
        <f t="shared" si="410"/>
        <v>339</v>
      </c>
      <c r="D6283" t="str">
        <f>"8"</f>
        <v>8</v>
      </c>
      <c r="E6283" t="str">
        <f>"1-339-8"</f>
        <v>1-339-8</v>
      </c>
      <c r="F6283" t="s">
        <v>15</v>
      </c>
      <c r="G6283" t="s">
        <v>16</v>
      </c>
      <c r="H6283" t="s">
        <v>17</v>
      </c>
      <c r="I6283">
        <v>0</v>
      </c>
      <c r="J6283">
        <v>0</v>
      </c>
      <c r="K6283">
        <v>1</v>
      </c>
    </row>
    <row r="6284" spans="1:11" x14ac:dyDescent="0.25">
      <c r="A6284" t="str">
        <f>"7863"</f>
        <v>7863</v>
      </c>
      <c r="B6284" t="str">
        <f t="shared" si="409"/>
        <v>1</v>
      </c>
      <c r="C6284" t="str">
        <f t="shared" si="410"/>
        <v>339</v>
      </c>
      <c r="D6284" t="str">
        <f>"6"</f>
        <v>6</v>
      </c>
      <c r="E6284" t="str">
        <f>"1-339-6"</f>
        <v>1-339-6</v>
      </c>
      <c r="F6284" t="s">
        <v>15</v>
      </c>
      <c r="G6284" t="s">
        <v>16</v>
      </c>
      <c r="H6284" t="s">
        <v>17</v>
      </c>
      <c r="I6284">
        <v>1</v>
      </c>
      <c r="J6284">
        <v>0</v>
      </c>
      <c r="K6284">
        <v>0</v>
      </c>
    </row>
    <row r="6285" spans="1:11" x14ac:dyDescent="0.25">
      <c r="A6285" t="str">
        <f>"7864"</f>
        <v>7864</v>
      </c>
      <c r="B6285" t="str">
        <f t="shared" si="409"/>
        <v>1</v>
      </c>
      <c r="C6285" t="str">
        <f t="shared" si="410"/>
        <v>339</v>
      </c>
      <c r="D6285" t="str">
        <f>"10"</f>
        <v>10</v>
      </c>
      <c r="E6285" t="str">
        <f>"1-339-10"</f>
        <v>1-339-10</v>
      </c>
      <c r="F6285" t="s">
        <v>15</v>
      </c>
      <c r="G6285" t="s">
        <v>16</v>
      </c>
      <c r="H6285" t="s">
        <v>17</v>
      </c>
      <c r="I6285">
        <v>0</v>
      </c>
      <c r="J6285">
        <v>1</v>
      </c>
      <c r="K6285">
        <v>0</v>
      </c>
    </row>
    <row r="6286" spans="1:11" x14ac:dyDescent="0.25">
      <c r="A6286" t="str">
        <f>"7865"</f>
        <v>7865</v>
      </c>
      <c r="B6286" t="str">
        <f t="shared" si="409"/>
        <v>1</v>
      </c>
      <c r="C6286" t="str">
        <f t="shared" si="410"/>
        <v>339</v>
      </c>
      <c r="D6286" t="str">
        <f>"19"</f>
        <v>19</v>
      </c>
      <c r="E6286" t="str">
        <f>"1-339-19"</f>
        <v>1-339-19</v>
      </c>
      <c r="F6286" t="s">
        <v>15</v>
      </c>
      <c r="G6286" t="s">
        <v>16</v>
      </c>
      <c r="H6286" t="s">
        <v>17</v>
      </c>
      <c r="I6286">
        <v>0</v>
      </c>
      <c r="J6286">
        <v>0</v>
      </c>
      <c r="K6286">
        <v>0</v>
      </c>
    </row>
    <row r="6287" spans="1:11" x14ac:dyDescent="0.25">
      <c r="A6287" t="str">
        <f>"7866"</f>
        <v>7866</v>
      </c>
      <c r="B6287" t="str">
        <f t="shared" si="409"/>
        <v>1</v>
      </c>
      <c r="C6287" t="str">
        <f t="shared" si="410"/>
        <v>339</v>
      </c>
      <c r="D6287" t="str">
        <f>"20"</f>
        <v>20</v>
      </c>
      <c r="E6287" t="str">
        <f>"1-339-20"</f>
        <v>1-339-20</v>
      </c>
      <c r="F6287" t="s">
        <v>15</v>
      </c>
      <c r="G6287" t="s">
        <v>16</v>
      </c>
      <c r="H6287" t="s">
        <v>17</v>
      </c>
      <c r="I6287">
        <v>0</v>
      </c>
      <c r="J6287">
        <v>0</v>
      </c>
      <c r="K6287">
        <v>0</v>
      </c>
    </row>
    <row r="6288" spans="1:11" x14ac:dyDescent="0.25">
      <c r="A6288" t="str">
        <f>"7867"</f>
        <v>7867</v>
      </c>
      <c r="B6288" t="str">
        <f t="shared" si="409"/>
        <v>1</v>
      </c>
      <c r="C6288" t="str">
        <f t="shared" ref="C6288:C6311" si="411">"340"</f>
        <v>340</v>
      </c>
      <c r="D6288" t="str">
        <f>"23"</f>
        <v>23</v>
      </c>
      <c r="E6288" t="str">
        <f>"1-340-23"</f>
        <v>1-340-23</v>
      </c>
      <c r="F6288" t="s">
        <v>15</v>
      </c>
      <c r="G6288" t="s">
        <v>16</v>
      </c>
      <c r="H6288" t="s">
        <v>17</v>
      </c>
      <c r="I6288">
        <v>0</v>
      </c>
      <c r="J6288">
        <v>0</v>
      </c>
      <c r="K6288">
        <v>1</v>
      </c>
    </row>
    <row r="6289" spans="1:11" x14ac:dyDescent="0.25">
      <c r="A6289" t="str">
        <f>"7868"</f>
        <v>7868</v>
      </c>
      <c r="B6289" t="str">
        <f t="shared" si="409"/>
        <v>1</v>
      </c>
      <c r="C6289" t="str">
        <f t="shared" si="411"/>
        <v>340</v>
      </c>
      <c r="D6289" t="str">
        <f>"15"</f>
        <v>15</v>
      </c>
      <c r="E6289" t="str">
        <f>"1-340-15"</f>
        <v>1-340-15</v>
      </c>
      <c r="F6289" t="s">
        <v>15</v>
      </c>
      <c r="G6289" t="s">
        <v>16</v>
      </c>
      <c r="H6289" t="s">
        <v>17</v>
      </c>
      <c r="I6289">
        <v>1</v>
      </c>
      <c r="J6289">
        <v>0</v>
      </c>
      <c r="K6289">
        <v>0</v>
      </c>
    </row>
    <row r="6290" spans="1:11" x14ac:dyDescent="0.25">
      <c r="A6290" t="str">
        <f>"7869"</f>
        <v>7869</v>
      </c>
      <c r="B6290" t="str">
        <f t="shared" si="409"/>
        <v>1</v>
      </c>
      <c r="C6290" t="str">
        <f t="shared" si="411"/>
        <v>340</v>
      </c>
      <c r="D6290" t="str">
        <f>"5"</f>
        <v>5</v>
      </c>
      <c r="E6290" t="str">
        <f>"1-340-5"</f>
        <v>1-340-5</v>
      </c>
      <c r="F6290" t="s">
        <v>15</v>
      </c>
      <c r="G6290" t="s">
        <v>18</v>
      </c>
      <c r="H6290" t="s">
        <v>19</v>
      </c>
      <c r="I6290">
        <v>1</v>
      </c>
      <c r="J6290">
        <v>0</v>
      </c>
      <c r="K6290">
        <v>0</v>
      </c>
    </row>
    <row r="6291" spans="1:11" x14ac:dyDescent="0.25">
      <c r="A6291" t="str">
        <f>"7870"</f>
        <v>7870</v>
      </c>
      <c r="B6291" t="str">
        <f t="shared" si="409"/>
        <v>1</v>
      </c>
      <c r="C6291" t="str">
        <f t="shared" si="411"/>
        <v>340</v>
      </c>
      <c r="D6291" t="str">
        <f>"22"</f>
        <v>22</v>
      </c>
      <c r="E6291" t="str">
        <f>"1-340-22"</f>
        <v>1-340-22</v>
      </c>
      <c r="F6291" t="s">
        <v>15</v>
      </c>
      <c r="G6291" t="s">
        <v>16</v>
      </c>
      <c r="H6291" t="s">
        <v>17</v>
      </c>
      <c r="I6291">
        <v>0</v>
      </c>
      <c r="J6291">
        <v>0</v>
      </c>
      <c r="K6291">
        <v>1</v>
      </c>
    </row>
    <row r="6292" spans="1:11" x14ac:dyDescent="0.25">
      <c r="A6292" t="str">
        <f>"7871"</f>
        <v>7871</v>
      </c>
      <c r="B6292" t="str">
        <f t="shared" si="409"/>
        <v>1</v>
      </c>
      <c r="C6292" t="str">
        <f t="shared" si="411"/>
        <v>340</v>
      </c>
      <c r="D6292" t="str">
        <f>"16"</f>
        <v>16</v>
      </c>
      <c r="E6292" t="str">
        <f>"1-340-16"</f>
        <v>1-340-16</v>
      </c>
      <c r="F6292" t="s">
        <v>15</v>
      </c>
      <c r="G6292" t="s">
        <v>18</v>
      </c>
      <c r="H6292" t="s">
        <v>19</v>
      </c>
      <c r="I6292">
        <v>1</v>
      </c>
      <c r="J6292">
        <v>0</v>
      </c>
      <c r="K6292">
        <v>0</v>
      </c>
    </row>
    <row r="6293" spans="1:11" x14ac:dyDescent="0.25">
      <c r="A6293" t="str">
        <f>"7872"</f>
        <v>7872</v>
      </c>
      <c r="B6293" t="str">
        <f t="shared" si="409"/>
        <v>1</v>
      </c>
      <c r="C6293" t="str">
        <f t="shared" si="411"/>
        <v>340</v>
      </c>
      <c r="D6293" t="str">
        <f>"17"</f>
        <v>17</v>
      </c>
      <c r="E6293" t="str">
        <f>"1-340-17"</f>
        <v>1-340-17</v>
      </c>
      <c r="F6293" t="s">
        <v>15</v>
      </c>
      <c r="G6293" t="s">
        <v>16</v>
      </c>
      <c r="H6293" t="s">
        <v>17</v>
      </c>
      <c r="I6293">
        <v>0</v>
      </c>
      <c r="J6293">
        <v>0</v>
      </c>
      <c r="K6293">
        <v>1</v>
      </c>
    </row>
    <row r="6294" spans="1:11" x14ac:dyDescent="0.25">
      <c r="A6294" t="str">
        <f>"7873"</f>
        <v>7873</v>
      </c>
      <c r="B6294" t="str">
        <f t="shared" si="409"/>
        <v>1</v>
      </c>
      <c r="C6294" t="str">
        <f t="shared" si="411"/>
        <v>340</v>
      </c>
      <c r="D6294" t="str">
        <f>"1"</f>
        <v>1</v>
      </c>
      <c r="E6294" t="str">
        <f>"1-340-1"</f>
        <v>1-340-1</v>
      </c>
      <c r="F6294" t="s">
        <v>15</v>
      </c>
      <c r="G6294" t="s">
        <v>16</v>
      </c>
      <c r="H6294" t="s">
        <v>17</v>
      </c>
      <c r="I6294">
        <v>1</v>
      </c>
      <c r="J6294">
        <v>0</v>
      </c>
      <c r="K6294">
        <v>0</v>
      </c>
    </row>
    <row r="6295" spans="1:11" x14ac:dyDescent="0.25">
      <c r="A6295" t="str">
        <f>"7874"</f>
        <v>7874</v>
      </c>
      <c r="B6295" t="str">
        <f t="shared" si="409"/>
        <v>1</v>
      </c>
      <c r="C6295" t="str">
        <f t="shared" si="411"/>
        <v>340</v>
      </c>
      <c r="D6295" t="str">
        <f>"18"</f>
        <v>18</v>
      </c>
      <c r="E6295" t="str">
        <f>"1-340-18"</f>
        <v>1-340-18</v>
      </c>
      <c r="F6295" t="s">
        <v>15</v>
      </c>
      <c r="G6295" t="s">
        <v>16</v>
      </c>
      <c r="H6295" t="s">
        <v>17</v>
      </c>
      <c r="I6295">
        <v>0</v>
      </c>
      <c r="J6295">
        <v>0</v>
      </c>
      <c r="K6295">
        <v>1</v>
      </c>
    </row>
    <row r="6296" spans="1:11" x14ac:dyDescent="0.25">
      <c r="A6296" t="str">
        <f>"7875"</f>
        <v>7875</v>
      </c>
      <c r="B6296" t="str">
        <f t="shared" si="409"/>
        <v>1</v>
      </c>
      <c r="C6296" t="str">
        <f t="shared" si="411"/>
        <v>340</v>
      </c>
      <c r="D6296" t="str">
        <f>"19"</f>
        <v>19</v>
      </c>
      <c r="E6296" t="str">
        <f>"1-340-19"</f>
        <v>1-340-19</v>
      </c>
      <c r="F6296" t="s">
        <v>15</v>
      </c>
      <c r="G6296" t="s">
        <v>16</v>
      </c>
      <c r="H6296" t="s">
        <v>17</v>
      </c>
      <c r="I6296">
        <v>1</v>
      </c>
      <c r="J6296">
        <v>0</v>
      </c>
      <c r="K6296">
        <v>0</v>
      </c>
    </row>
    <row r="6297" spans="1:11" x14ac:dyDescent="0.25">
      <c r="A6297" t="str">
        <f>"7877"</f>
        <v>7877</v>
      </c>
      <c r="B6297" t="str">
        <f t="shared" si="409"/>
        <v>1</v>
      </c>
      <c r="C6297" t="str">
        <f t="shared" si="411"/>
        <v>340</v>
      </c>
      <c r="D6297" t="str">
        <f>"20"</f>
        <v>20</v>
      </c>
      <c r="E6297" t="str">
        <f>"1-340-20"</f>
        <v>1-340-20</v>
      </c>
      <c r="F6297" t="s">
        <v>15</v>
      </c>
      <c r="G6297" t="s">
        <v>16</v>
      </c>
      <c r="H6297" t="s">
        <v>17</v>
      </c>
      <c r="I6297">
        <v>1</v>
      </c>
      <c r="J6297">
        <v>0</v>
      </c>
      <c r="K6297">
        <v>0</v>
      </c>
    </row>
    <row r="6298" spans="1:11" x14ac:dyDescent="0.25">
      <c r="A6298" t="str">
        <f>"7878"</f>
        <v>7878</v>
      </c>
      <c r="B6298" t="str">
        <f t="shared" si="409"/>
        <v>1</v>
      </c>
      <c r="C6298" t="str">
        <f t="shared" si="411"/>
        <v>340</v>
      </c>
      <c r="D6298" t="str">
        <f>"21"</f>
        <v>21</v>
      </c>
      <c r="E6298" t="str">
        <f>"1-340-21"</f>
        <v>1-340-21</v>
      </c>
      <c r="F6298" t="s">
        <v>15</v>
      </c>
      <c r="G6298" t="s">
        <v>16</v>
      </c>
      <c r="H6298" t="s">
        <v>17</v>
      </c>
      <c r="I6298">
        <v>0</v>
      </c>
      <c r="J6298">
        <v>1</v>
      </c>
      <c r="K6298">
        <v>0</v>
      </c>
    </row>
    <row r="6299" spans="1:11" x14ac:dyDescent="0.25">
      <c r="A6299" t="str">
        <f>"7879"</f>
        <v>7879</v>
      </c>
      <c r="B6299" t="str">
        <f t="shared" si="409"/>
        <v>1</v>
      </c>
      <c r="C6299" t="str">
        <f t="shared" si="411"/>
        <v>340</v>
      </c>
      <c r="D6299" t="str">
        <f>"10"</f>
        <v>10</v>
      </c>
      <c r="E6299" t="str">
        <f>"1-340-10"</f>
        <v>1-340-10</v>
      </c>
      <c r="F6299" t="s">
        <v>15</v>
      </c>
      <c r="G6299" t="s">
        <v>16</v>
      </c>
      <c r="H6299" t="s">
        <v>17</v>
      </c>
      <c r="I6299">
        <v>1</v>
      </c>
      <c r="J6299">
        <v>0</v>
      </c>
      <c r="K6299">
        <v>0</v>
      </c>
    </row>
    <row r="6300" spans="1:11" x14ac:dyDescent="0.25">
      <c r="A6300" t="str">
        <f>"7880"</f>
        <v>7880</v>
      </c>
      <c r="B6300" t="str">
        <f t="shared" si="409"/>
        <v>1</v>
      </c>
      <c r="C6300" t="str">
        <f t="shared" si="411"/>
        <v>340</v>
      </c>
      <c r="D6300" t="str">
        <f>"24"</f>
        <v>24</v>
      </c>
      <c r="E6300" t="str">
        <f>"1-340-24"</f>
        <v>1-340-24</v>
      </c>
      <c r="F6300" t="s">
        <v>15</v>
      </c>
      <c r="G6300" t="s">
        <v>16</v>
      </c>
      <c r="H6300" t="s">
        <v>17</v>
      </c>
      <c r="I6300">
        <v>0</v>
      </c>
      <c r="J6300">
        <v>0</v>
      </c>
      <c r="K6300">
        <v>1</v>
      </c>
    </row>
    <row r="6301" spans="1:11" x14ac:dyDescent="0.25">
      <c r="A6301" t="str">
        <f>"7881"</f>
        <v>7881</v>
      </c>
      <c r="B6301" t="str">
        <f t="shared" si="409"/>
        <v>1</v>
      </c>
      <c r="C6301" t="str">
        <f t="shared" si="411"/>
        <v>340</v>
      </c>
      <c r="D6301" t="str">
        <f>"9"</f>
        <v>9</v>
      </c>
      <c r="E6301" t="str">
        <f>"1-340-9"</f>
        <v>1-340-9</v>
      </c>
      <c r="F6301" t="s">
        <v>15</v>
      </c>
      <c r="G6301" t="s">
        <v>16</v>
      </c>
      <c r="H6301" t="s">
        <v>17</v>
      </c>
      <c r="I6301">
        <v>1</v>
      </c>
      <c r="J6301">
        <v>0</v>
      </c>
      <c r="K6301">
        <v>0</v>
      </c>
    </row>
    <row r="6302" spans="1:11" x14ac:dyDescent="0.25">
      <c r="A6302" t="str">
        <f>"7882"</f>
        <v>7882</v>
      </c>
      <c r="B6302" t="str">
        <f t="shared" si="409"/>
        <v>1</v>
      </c>
      <c r="C6302" t="str">
        <f t="shared" si="411"/>
        <v>340</v>
      </c>
      <c r="D6302" t="str">
        <f>"25"</f>
        <v>25</v>
      </c>
      <c r="E6302" t="str">
        <f>"1-340-25"</f>
        <v>1-340-25</v>
      </c>
      <c r="F6302" t="s">
        <v>15</v>
      </c>
      <c r="G6302" t="s">
        <v>16</v>
      </c>
      <c r="H6302" t="s">
        <v>17</v>
      </c>
      <c r="I6302">
        <v>0</v>
      </c>
      <c r="J6302">
        <v>0</v>
      </c>
      <c r="K6302">
        <v>1</v>
      </c>
    </row>
    <row r="6303" spans="1:11" x14ac:dyDescent="0.25">
      <c r="A6303" t="str">
        <f>"7883"</f>
        <v>7883</v>
      </c>
      <c r="B6303" t="str">
        <f t="shared" si="409"/>
        <v>1</v>
      </c>
      <c r="C6303" t="str">
        <f t="shared" si="411"/>
        <v>340</v>
      </c>
      <c r="D6303" t="str">
        <f>"6"</f>
        <v>6</v>
      </c>
      <c r="E6303" t="str">
        <f>"1-340-6"</f>
        <v>1-340-6</v>
      </c>
      <c r="F6303" t="s">
        <v>15</v>
      </c>
      <c r="G6303" t="s">
        <v>16</v>
      </c>
      <c r="H6303" t="s">
        <v>17</v>
      </c>
      <c r="I6303">
        <v>0</v>
      </c>
      <c r="J6303">
        <v>1</v>
      </c>
      <c r="K6303">
        <v>0</v>
      </c>
    </row>
    <row r="6304" spans="1:11" x14ac:dyDescent="0.25">
      <c r="A6304" t="str">
        <f>"7884"</f>
        <v>7884</v>
      </c>
      <c r="B6304" t="str">
        <f t="shared" si="409"/>
        <v>1</v>
      </c>
      <c r="C6304" t="str">
        <f t="shared" si="411"/>
        <v>340</v>
      </c>
      <c r="D6304" t="str">
        <f>"11"</f>
        <v>11</v>
      </c>
      <c r="E6304" t="str">
        <f>"1-340-11"</f>
        <v>1-340-11</v>
      </c>
      <c r="F6304" t="s">
        <v>15</v>
      </c>
      <c r="G6304" t="s">
        <v>16</v>
      </c>
      <c r="H6304" t="s">
        <v>17</v>
      </c>
      <c r="I6304">
        <v>1</v>
      </c>
      <c r="J6304">
        <v>0</v>
      </c>
      <c r="K6304">
        <v>0</v>
      </c>
    </row>
    <row r="6305" spans="1:11" x14ac:dyDescent="0.25">
      <c r="A6305" t="str">
        <f>"7885"</f>
        <v>7885</v>
      </c>
      <c r="B6305" t="str">
        <f t="shared" si="409"/>
        <v>1</v>
      </c>
      <c r="C6305" t="str">
        <f t="shared" si="411"/>
        <v>340</v>
      </c>
      <c r="D6305" t="str">
        <f>"4"</f>
        <v>4</v>
      </c>
      <c r="E6305" t="str">
        <f>"1-340-4"</f>
        <v>1-340-4</v>
      </c>
      <c r="F6305" t="s">
        <v>15</v>
      </c>
      <c r="G6305" t="s">
        <v>16</v>
      </c>
      <c r="H6305" t="s">
        <v>17</v>
      </c>
      <c r="I6305">
        <v>1</v>
      </c>
      <c r="J6305">
        <v>0</v>
      </c>
      <c r="K6305">
        <v>0</v>
      </c>
    </row>
    <row r="6306" spans="1:11" x14ac:dyDescent="0.25">
      <c r="A6306" t="str">
        <f>"7886"</f>
        <v>7886</v>
      </c>
      <c r="B6306" t="str">
        <f t="shared" si="409"/>
        <v>1</v>
      </c>
      <c r="C6306" t="str">
        <f t="shared" si="411"/>
        <v>340</v>
      </c>
      <c r="D6306" t="str">
        <f>"2"</f>
        <v>2</v>
      </c>
      <c r="E6306" t="str">
        <f>"1-340-2"</f>
        <v>1-340-2</v>
      </c>
      <c r="F6306" t="s">
        <v>15</v>
      </c>
      <c r="G6306" t="s">
        <v>18</v>
      </c>
      <c r="H6306" t="s">
        <v>19</v>
      </c>
      <c r="I6306">
        <v>1</v>
      </c>
      <c r="J6306">
        <v>0</v>
      </c>
      <c r="K6306">
        <v>0</v>
      </c>
    </row>
    <row r="6307" spans="1:11" x14ac:dyDescent="0.25">
      <c r="A6307" t="str">
        <f>"7887"</f>
        <v>7887</v>
      </c>
      <c r="B6307" t="str">
        <f t="shared" si="409"/>
        <v>1</v>
      </c>
      <c r="C6307" t="str">
        <f t="shared" si="411"/>
        <v>340</v>
      </c>
      <c r="D6307" t="str">
        <f>"12"</f>
        <v>12</v>
      </c>
      <c r="E6307" t="str">
        <f>"1-340-12"</f>
        <v>1-340-12</v>
      </c>
      <c r="F6307" t="s">
        <v>15</v>
      </c>
      <c r="G6307" t="s">
        <v>18</v>
      </c>
      <c r="H6307" t="s">
        <v>19</v>
      </c>
      <c r="I6307">
        <v>1</v>
      </c>
      <c r="J6307">
        <v>0</v>
      </c>
      <c r="K6307">
        <v>0</v>
      </c>
    </row>
    <row r="6308" spans="1:11" x14ac:dyDescent="0.25">
      <c r="A6308" t="str">
        <f>"7888"</f>
        <v>7888</v>
      </c>
      <c r="B6308" t="str">
        <f t="shared" si="409"/>
        <v>1</v>
      </c>
      <c r="C6308" t="str">
        <f t="shared" si="411"/>
        <v>340</v>
      </c>
      <c r="D6308" t="str">
        <f>"7"</f>
        <v>7</v>
      </c>
      <c r="E6308" t="str">
        <f>"1-340-7"</f>
        <v>1-340-7</v>
      </c>
      <c r="F6308" t="s">
        <v>15</v>
      </c>
      <c r="G6308" t="s">
        <v>16</v>
      </c>
      <c r="H6308" t="s">
        <v>17</v>
      </c>
      <c r="I6308">
        <v>0</v>
      </c>
      <c r="J6308">
        <v>1</v>
      </c>
      <c r="K6308">
        <v>0</v>
      </c>
    </row>
    <row r="6309" spans="1:11" x14ac:dyDescent="0.25">
      <c r="A6309" t="str">
        <f>"7889"</f>
        <v>7889</v>
      </c>
      <c r="B6309" t="str">
        <f t="shared" si="409"/>
        <v>1</v>
      </c>
      <c r="C6309" t="str">
        <f t="shared" si="411"/>
        <v>340</v>
      </c>
      <c r="D6309" t="str">
        <f>"3"</f>
        <v>3</v>
      </c>
      <c r="E6309" t="str">
        <f>"1-340-3"</f>
        <v>1-340-3</v>
      </c>
      <c r="F6309" t="s">
        <v>15</v>
      </c>
      <c r="G6309" t="s">
        <v>18</v>
      </c>
      <c r="H6309" t="s">
        <v>19</v>
      </c>
      <c r="I6309">
        <v>0</v>
      </c>
      <c r="J6309">
        <v>0</v>
      </c>
      <c r="K6309">
        <v>0</v>
      </c>
    </row>
    <row r="6310" spans="1:11" x14ac:dyDescent="0.25">
      <c r="A6310" t="str">
        <f>"7890"</f>
        <v>7890</v>
      </c>
      <c r="B6310" t="str">
        <f t="shared" si="409"/>
        <v>1</v>
      </c>
      <c r="C6310" t="str">
        <f t="shared" si="411"/>
        <v>340</v>
      </c>
      <c r="D6310" t="str">
        <f>"13"</f>
        <v>13</v>
      </c>
      <c r="E6310" t="str">
        <f>"1-340-13"</f>
        <v>1-340-13</v>
      </c>
      <c r="F6310" t="s">
        <v>15</v>
      </c>
      <c r="G6310" t="s">
        <v>16</v>
      </c>
      <c r="H6310" t="s">
        <v>17</v>
      </c>
      <c r="I6310">
        <v>0</v>
      </c>
      <c r="J6310">
        <v>0</v>
      </c>
      <c r="K6310">
        <v>0</v>
      </c>
    </row>
    <row r="6311" spans="1:11" x14ac:dyDescent="0.25">
      <c r="A6311" t="str">
        <f>"7891"</f>
        <v>7891</v>
      </c>
      <c r="B6311" t="str">
        <f t="shared" si="409"/>
        <v>1</v>
      </c>
      <c r="C6311" t="str">
        <f t="shared" si="411"/>
        <v>340</v>
      </c>
      <c r="D6311" t="str">
        <f>"14"</f>
        <v>14</v>
      </c>
      <c r="E6311" t="str">
        <f>"1-340-14"</f>
        <v>1-340-14</v>
      </c>
      <c r="F6311" t="s">
        <v>15</v>
      </c>
      <c r="G6311" t="s">
        <v>16</v>
      </c>
      <c r="H6311" t="s">
        <v>17</v>
      </c>
      <c r="I6311">
        <v>0</v>
      </c>
      <c r="J6311">
        <v>0</v>
      </c>
      <c r="K6311">
        <v>0</v>
      </c>
    </row>
    <row r="6312" spans="1:11" x14ac:dyDescent="0.25">
      <c r="A6312" t="str">
        <f>"7893"</f>
        <v>7893</v>
      </c>
      <c r="B6312" t="str">
        <f t="shared" si="409"/>
        <v>1</v>
      </c>
      <c r="C6312" t="str">
        <f t="shared" ref="C6312:C6336" si="412">"341"</f>
        <v>341</v>
      </c>
      <c r="D6312" t="str">
        <f>"15"</f>
        <v>15</v>
      </c>
      <c r="E6312" t="str">
        <f>"1-341-15"</f>
        <v>1-341-15</v>
      </c>
      <c r="F6312" t="s">
        <v>15</v>
      </c>
      <c r="G6312" t="s">
        <v>16</v>
      </c>
      <c r="H6312" t="s">
        <v>17</v>
      </c>
      <c r="I6312">
        <v>0</v>
      </c>
      <c r="J6312">
        <v>0</v>
      </c>
      <c r="K6312">
        <v>1</v>
      </c>
    </row>
    <row r="6313" spans="1:11" x14ac:dyDescent="0.25">
      <c r="A6313" t="str">
        <f>"7895"</f>
        <v>7895</v>
      </c>
      <c r="B6313" t="str">
        <f t="shared" si="409"/>
        <v>1</v>
      </c>
      <c r="C6313" t="str">
        <f t="shared" si="412"/>
        <v>341</v>
      </c>
      <c r="D6313" t="str">
        <f>"29"</f>
        <v>29</v>
      </c>
      <c r="E6313" t="str">
        <f>"1-341-29"</f>
        <v>1-341-29</v>
      </c>
      <c r="F6313" t="s">
        <v>15</v>
      </c>
      <c r="G6313" t="s">
        <v>16</v>
      </c>
      <c r="H6313" t="s">
        <v>17</v>
      </c>
      <c r="I6313">
        <v>1</v>
      </c>
      <c r="J6313">
        <v>0</v>
      </c>
      <c r="K6313">
        <v>0</v>
      </c>
    </row>
    <row r="6314" spans="1:11" x14ac:dyDescent="0.25">
      <c r="A6314" t="str">
        <f>"7896"</f>
        <v>7896</v>
      </c>
      <c r="B6314" t="str">
        <f t="shared" si="409"/>
        <v>1</v>
      </c>
      <c r="C6314" t="str">
        <f t="shared" si="412"/>
        <v>341</v>
      </c>
      <c r="D6314" t="str">
        <f>"16"</f>
        <v>16</v>
      </c>
      <c r="E6314" t="str">
        <f>"1-341-16"</f>
        <v>1-341-16</v>
      </c>
      <c r="F6314" t="s">
        <v>15</v>
      </c>
      <c r="G6314" t="s">
        <v>16</v>
      </c>
      <c r="H6314" t="s">
        <v>17</v>
      </c>
      <c r="I6314">
        <v>0</v>
      </c>
      <c r="J6314">
        <v>0</v>
      </c>
      <c r="K6314">
        <v>1</v>
      </c>
    </row>
    <row r="6315" spans="1:11" x14ac:dyDescent="0.25">
      <c r="A6315" t="str">
        <f>"7897"</f>
        <v>7897</v>
      </c>
      <c r="B6315" t="str">
        <f t="shared" si="409"/>
        <v>1</v>
      </c>
      <c r="C6315" t="str">
        <f t="shared" si="412"/>
        <v>341</v>
      </c>
      <c r="D6315" t="str">
        <f>"2"</f>
        <v>2</v>
      </c>
      <c r="E6315" t="str">
        <f>"1-341-2"</f>
        <v>1-341-2</v>
      </c>
      <c r="F6315" t="s">
        <v>15</v>
      </c>
      <c r="G6315" t="s">
        <v>16</v>
      </c>
      <c r="H6315" t="s">
        <v>17</v>
      </c>
      <c r="I6315">
        <v>0</v>
      </c>
      <c r="J6315">
        <v>0</v>
      </c>
      <c r="K6315">
        <v>1</v>
      </c>
    </row>
    <row r="6316" spans="1:11" x14ac:dyDescent="0.25">
      <c r="A6316" t="str">
        <f>"7898"</f>
        <v>7898</v>
      </c>
      <c r="B6316" t="str">
        <f t="shared" ref="B6316:B6365" si="413">"1"</f>
        <v>1</v>
      </c>
      <c r="C6316" t="str">
        <f t="shared" si="412"/>
        <v>341</v>
      </c>
      <c r="D6316" t="str">
        <f>"31"</f>
        <v>31</v>
      </c>
      <c r="E6316" t="str">
        <f>"1-341-31"</f>
        <v>1-341-31</v>
      </c>
      <c r="F6316" t="s">
        <v>15</v>
      </c>
      <c r="G6316" t="s">
        <v>16</v>
      </c>
      <c r="H6316" t="s">
        <v>17</v>
      </c>
      <c r="I6316">
        <v>1</v>
      </c>
      <c r="J6316">
        <v>0</v>
      </c>
      <c r="K6316">
        <v>0</v>
      </c>
    </row>
    <row r="6317" spans="1:11" x14ac:dyDescent="0.25">
      <c r="A6317" t="str">
        <f>"7899"</f>
        <v>7899</v>
      </c>
      <c r="B6317" t="str">
        <f t="shared" si="413"/>
        <v>1</v>
      </c>
      <c r="C6317" t="str">
        <f t="shared" si="412"/>
        <v>341</v>
      </c>
      <c r="D6317" t="str">
        <f>"17"</f>
        <v>17</v>
      </c>
      <c r="E6317" t="str">
        <f>"1-341-17"</f>
        <v>1-341-17</v>
      </c>
      <c r="F6317" t="s">
        <v>15</v>
      </c>
      <c r="G6317" t="s">
        <v>18</v>
      </c>
      <c r="H6317" t="s">
        <v>19</v>
      </c>
      <c r="I6317">
        <v>0</v>
      </c>
      <c r="J6317">
        <v>0</v>
      </c>
      <c r="K6317">
        <v>1</v>
      </c>
    </row>
    <row r="6318" spans="1:11" x14ac:dyDescent="0.25">
      <c r="A6318" t="str">
        <f>"7900"</f>
        <v>7900</v>
      </c>
      <c r="B6318" t="str">
        <f t="shared" si="413"/>
        <v>1</v>
      </c>
      <c r="C6318" t="str">
        <f t="shared" si="412"/>
        <v>341</v>
      </c>
      <c r="D6318" t="str">
        <f>"1"</f>
        <v>1</v>
      </c>
      <c r="E6318" t="str">
        <f>"1-341-1"</f>
        <v>1-341-1</v>
      </c>
      <c r="F6318" t="s">
        <v>15</v>
      </c>
      <c r="G6318" t="s">
        <v>16</v>
      </c>
      <c r="H6318" t="s">
        <v>17</v>
      </c>
      <c r="I6318">
        <v>1</v>
      </c>
      <c r="J6318">
        <v>0</v>
      </c>
      <c r="K6318">
        <v>0</v>
      </c>
    </row>
    <row r="6319" spans="1:11" x14ac:dyDescent="0.25">
      <c r="A6319" t="str">
        <f>"7901"</f>
        <v>7901</v>
      </c>
      <c r="B6319" t="str">
        <f t="shared" si="413"/>
        <v>1</v>
      </c>
      <c r="C6319" t="str">
        <f t="shared" si="412"/>
        <v>341</v>
      </c>
      <c r="D6319" t="str">
        <f>"18"</f>
        <v>18</v>
      </c>
      <c r="E6319" t="str">
        <f>"1-341-18"</f>
        <v>1-341-18</v>
      </c>
      <c r="F6319" t="s">
        <v>15</v>
      </c>
      <c r="G6319" t="s">
        <v>16</v>
      </c>
      <c r="H6319" t="s">
        <v>17</v>
      </c>
      <c r="I6319">
        <v>0</v>
      </c>
      <c r="J6319">
        <v>1</v>
      </c>
      <c r="K6319">
        <v>0</v>
      </c>
    </row>
    <row r="6320" spans="1:11" x14ac:dyDescent="0.25">
      <c r="A6320" t="str">
        <f>"7902"</f>
        <v>7902</v>
      </c>
      <c r="B6320" t="str">
        <f t="shared" si="413"/>
        <v>1</v>
      </c>
      <c r="C6320" t="str">
        <f t="shared" si="412"/>
        <v>341</v>
      </c>
      <c r="D6320" t="str">
        <f>"12"</f>
        <v>12</v>
      </c>
      <c r="E6320" t="str">
        <f>"1-341-12"</f>
        <v>1-341-12</v>
      </c>
      <c r="F6320" t="s">
        <v>15</v>
      </c>
      <c r="G6320" t="s">
        <v>16</v>
      </c>
      <c r="H6320" t="s">
        <v>17</v>
      </c>
      <c r="I6320">
        <v>1</v>
      </c>
      <c r="J6320">
        <v>0</v>
      </c>
      <c r="K6320">
        <v>0</v>
      </c>
    </row>
    <row r="6321" spans="1:11" x14ac:dyDescent="0.25">
      <c r="A6321" t="str">
        <f>"7903"</f>
        <v>7903</v>
      </c>
      <c r="B6321" t="str">
        <f t="shared" si="413"/>
        <v>1</v>
      </c>
      <c r="C6321" t="str">
        <f t="shared" si="412"/>
        <v>341</v>
      </c>
      <c r="D6321" t="str">
        <f>"19"</f>
        <v>19</v>
      </c>
      <c r="E6321" t="str">
        <f>"1-341-19"</f>
        <v>1-341-19</v>
      </c>
      <c r="F6321" t="s">
        <v>15</v>
      </c>
      <c r="G6321" t="s">
        <v>16</v>
      </c>
      <c r="H6321" t="s">
        <v>17</v>
      </c>
      <c r="I6321">
        <v>0</v>
      </c>
      <c r="J6321">
        <v>0</v>
      </c>
      <c r="K6321">
        <v>1</v>
      </c>
    </row>
    <row r="6322" spans="1:11" x14ac:dyDescent="0.25">
      <c r="A6322" t="str">
        <f>"7905"</f>
        <v>7905</v>
      </c>
      <c r="B6322" t="str">
        <f t="shared" si="413"/>
        <v>1</v>
      </c>
      <c r="C6322" t="str">
        <f t="shared" si="412"/>
        <v>341</v>
      </c>
      <c r="D6322" t="str">
        <f>"20"</f>
        <v>20</v>
      </c>
      <c r="E6322" t="str">
        <f>"1-341-20"</f>
        <v>1-341-20</v>
      </c>
      <c r="F6322" t="s">
        <v>15</v>
      </c>
      <c r="G6322" t="s">
        <v>16</v>
      </c>
      <c r="H6322" t="s">
        <v>17</v>
      </c>
      <c r="I6322">
        <v>0</v>
      </c>
      <c r="J6322">
        <v>0</v>
      </c>
      <c r="K6322">
        <v>1</v>
      </c>
    </row>
    <row r="6323" spans="1:11" x14ac:dyDescent="0.25">
      <c r="A6323" t="str">
        <f>"7907"</f>
        <v>7907</v>
      </c>
      <c r="B6323" t="str">
        <f t="shared" si="413"/>
        <v>1</v>
      </c>
      <c r="C6323" t="str">
        <f t="shared" si="412"/>
        <v>341</v>
      </c>
      <c r="D6323" t="str">
        <f>"21"</f>
        <v>21</v>
      </c>
      <c r="E6323" t="str">
        <f>"1-341-21"</f>
        <v>1-341-21</v>
      </c>
      <c r="F6323" t="s">
        <v>15</v>
      </c>
      <c r="G6323" t="s">
        <v>16</v>
      </c>
      <c r="H6323" t="s">
        <v>17</v>
      </c>
      <c r="I6323">
        <v>0</v>
      </c>
      <c r="J6323">
        <v>1</v>
      </c>
      <c r="K6323">
        <v>0</v>
      </c>
    </row>
    <row r="6324" spans="1:11" x14ac:dyDescent="0.25">
      <c r="A6324" t="str">
        <f>"7909"</f>
        <v>7909</v>
      </c>
      <c r="B6324" t="str">
        <f t="shared" si="413"/>
        <v>1</v>
      </c>
      <c r="C6324" t="str">
        <f t="shared" si="412"/>
        <v>341</v>
      </c>
      <c r="D6324" t="str">
        <f>"22"</f>
        <v>22</v>
      </c>
      <c r="E6324" t="str">
        <f>"1-341-22"</f>
        <v>1-341-22</v>
      </c>
      <c r="F6324" t="s">
        <v>15</v>
      </c>
      <c r="G6324" t="s">
        <v>16</v>
      </c>
      <c r="H6324" t="s">
        <v>17</v>
      </c>
      <c r="I6324">
        <v>1</v>
      </c>
      <c r="J6324">
        <v>0</v>
      </c>
      <c r="K6324">
        <v>0</v>
      </c>
    </row>
    <row r="6325" spans="1:11" x14ac:dyDescent="0.25">
      <c r="A6325" t="str">
        <f>"7910"</f>
        <v>7910</v>
      </c>
      <c r="B6325" t="str">
        <f t="shared" si="413"/>
        <v>1</v>
      </c>
      <c r="C6325" t="str">
        <f t="shared" si="412"/>
        <v>341</v>
      </c>
      <c r="D6325" t="str">
        <f>"4"</f>
        <v>4</v>
      </c>
      <c r="E6325" t="str">
        <f>"1-341-4"</f>
        <v>1-341-4</v>
      </c>
      <c r="F6325" t="s">
        <v>15</v>
      </c>
      <c r="G6325" t="s">
        <v>16</v>
      </c>
      <c r="H6325" t="s">
        <v>17</v>
      </c>
      <c r="I6325">
        <v>0</v>
      </c>
      <c r="J6325">
        <v>1</v>
      </c>
      <c r="K6325">
        <v>0</v>
      </c>
    </row>
    <row r="6326" spans="1:11" x14ac:dyDescent="0.25">
      <c r="A6326" t="str">
        <f>"7911"</f>
        <v>7911</v>
      </c>
      <c r="B6326" t="str">
        <f t="shared" si="413"/>
        <v>1</v>
      </c>
      <c r="C6326" t="str">
        <f t="shared" si="412"/>
        <v>341</v>
      </c>
      <c r="D6326" t="str">
        <f>"23"</f>
        <v>23</v>
      </c>
      <c r="E6326" t="str">
        <f>"1-341-23"</f>
        <v>1-341-23</v>
      </c>
      <c r="F6326" t="s">
        <v>15</v>
      </c>
      <c r="G6326" t="s">
        <v>16</v>
      </c>
      <c r="H6326" t="s">
        <v>17</v>
      </c>
      <c r="I6326">
        <v>1</v>
      </c>
      <c r="J6326">
        <v>0</v>
      </c>
      <c r="K6326">
        <v>0</v>
      </c>
    </row>
    <row r="6327" spans="1:11" x14ac:dyDescent="0.25">
      <c r="A6327" t="str">
        <f>"7912"</f>
        <v>7912</v>
      </c>
      <c r="B6327" t="str">
        <f t="shared" si="413"/>
        <v>1</v>
      </c>
      <c r="C6327" t="str">
        <f t="shared" si="412"/>
        <v>341</v>
      </c>
      <c r="D6327" t="str">
        <f>"24"</f>
        <v>24</v>
      </c>
      <c r="E6327" t="str">
        <f>"1-341-24"</f>
        <v>1-341-24</v>
      </c>
      <c r="F6327" t="s">
        <v>15</v>
      </c>
      <c r="G6327" t="s">
        <v>16</v>
      </c>
      <c r="H6327" t="s">
        <v>17</v>
      </c>
      <c r="I6327">
        <v>0</v>
      </c>
      <c r="J6327">
        <v>1</v>
      </c>
      <c r="K6327">
        <v>0</v>
      </c>
    </row>
    <row r="6328" spans="1:11" x14ac:dyDescent="0.25">
      <c r="A6328" t="str">
        <f>"7914"</f>
        <v>7914</v>
      </c>
      <c r="B6328" t="str">
        <f t="shared" si="413"/>
        <v>1</v>
      </c>
      <c r="C6328" t="str">
        <f t="shared" si="412"/>
        <v>341</v>
      </c>
      <c r="D6328" t="str">
        <f>"11"</f>
        <v>11</v>
      </c>
      <c r="E6328" t="str">
        <f>"1-341-11"</f>
        <v>1-341-11</v>
      </c>
      <c r="F6328" t="s">
        <v>15</v>
      </c>
      <c r="G6328" t="s">
        <v>18</v>
      </c>
      <c r="H6328" t="s">
        <v>19</v>
      </c>
      <c r="I6328">
        <v>0</v>
      </c>
      <c r="J6328">
        <v>1</v>
      </c>
      <c r="K6328">
        <v>0</v>
      </c>
    </row>
    <row r="6329" spans="1:11" x14ac:dyDescent="0.25">
      <c r="A6329" t="str">
        <f>"7915"</f>
        <v>7915</v>
      </c>
      <c r="B6329" t="str">
        <f t="shared" si="413"/>
        <v>1</v>
      </c>
      <c r="C6329" t="str">
        <f t="shared" si="412"/>
        <v>341</v>
      </c>
      <c r="D6329" t="str">
        <f>"26"</f>
        <v>26</v>
      </c>
      <c r="E6329" t="str">
        <f>"1-341-26"</f>
        <v>1-341-26</v>
      </c>
      <c r="F6329" t="s">
        <v>15</v>
      </c>
      <c r="G6329" t="s">
        <v>16</v>
      </c>
      <c r="H6329" t="s">
        <v>17</v>
      </c>
      <c r="I6329">
        <v>0</v>
      </c>
      <c r="J6329">
        <v>0</v>
      </c>
      <c r="K6329">
        <v>1</v>
      </c>
    </row>
    <row r="6330" spans="1:11" x14ac:dyDescent="0.25">
      <c r="A6330" t="str">
        <f>"7916"</f>
        <v>7916</v>
      </c>
      <c r="B6330" t="str">
        <f t="shared" si="413"/>
        <v>1</v>
      </c>
      <c r="C6330" t="str">
        <f t="shared" si="412"/>
        <v>341</v>
      </c>
      <c r="D6330" t="str">
        <f>"10"</f>
        <v>10</v>
      </c>
      <c r="E6330" t="str">
        <f>"1-341-10"</f>
        <v>1-341-10</v>
      </c>
      <c r="F6330" t="s">
        <v>15</v>
      </c>
      <c r="G6330" t="s">
        <v>20</v>
      </c>
      <c r="H6330" t="s">
        <v>21</v>
      </c>
      <c r="I6330">
        <v>1</v>
      </c>
      <c r="J6330">
        <v>0</v>
      </c>
      <c r="K6330">
        <v>0</v>
      </c>
    </row>
    <row r="6331" spans="1:11" x14ac:dyDescent="0.25">
      <c r="A6331" t="str">
        <f>"7917"</f>
        <v>7917</v>
      </c>
      <c r="B6331" t="str">
        <f t="shared" si="413"/>
        <v>1</v>
      </c>
      <c r="C6331" t="str">
        <f t="shared" si="412"/>
        <v>341</v>
      </c>
      <c r="D6331" t="str">
        <f>"27"</f>
        <v>27</v>
      </c>
      <c r="E6331" t="str">
        <f>"1-341-27"</f>
        <v>1-341-27</v>
      </c>
      <c r="F6331" t="s">
        <v>15</v>
      </c>
      <c r="G6331" t="s">
        <v>16</v>
      </c>
      <c r="H6331" t="s">
        <v>17</v>
      </c>
      <c r="I6331">
        <v>0</v>
      </c>
      <c r="J6331">
        <v>0</v>
      </c>
      <c r="K6331">
        <v>1</v>
      </c>
    </row>
    <row r="6332" spans="1:11" x14ac:dyDescent="0.25">
      <c r="A6332" t="str">
        <f>"7918"</f>
        <v>7918</v>
      </c>
      <c r="B6332" t="str">
        <f t="shared" si="413"/>
        <v>1</v>
      </c>
      <c r="C6332" t="str">
        <f t="shared" si="412"/>
        <v>341</v>
      </c>
      <c r="D6332" t="str">
        <f>"13"</f>
        <v>13</v>
      </c>
      <c r="E6332" t="str">
        <f>"1-341-13"</f>
        <v>1-341-13</v>
      </c>
      <c r="F6332" t="s">
        <v>15</v>
      </c>
      <c r="G6332" t="s">
        <v>16</v>
      </c>
      <c r="H6332" t="s">
        <v>17</v>
      </c>
      <c r="I6332">
        <v>0</v>
      </c>
      <c r="J6332">
        <v>0</v>
      </c>
      <c r="K6332">
        <v>1</v>
      </c>
    </row>
    <row r="6333" spans="1:11" x14ac:dyDescent="0.25">
      <c r="A6333" t="str">
        <f>"7919"</f>
        <v>7919</v>
      </c>
      <c r="B6333" t="str">
        <f t="shared" si="413"/>
        <v>1</v>
      </c>
      <c r="C6333" t="str">
        <f t="shared" si="412"/>
        <v>341</v>
      </c>
      <c r="D6333" t="str">
        <f>"30"</f>
        <v>30</v>
      </c>
      <c r="E6333" t="str">
        <f>"1-341-30"</f>
        <v>1-341-30</v>
      </c>
      <c r="F6333" t="s">
        <v>15</v>
      </c>
      <c r="G6333" t="s">
        <v>16</v>
      </c>
      <c r="H6333" t="s">
        <v>17</v>
      </c>
      <c r="I6333">
        <v>1</v>
      </c>
      <c r="J6333">
        <v>0</v>
      </c>
      <c r="K6333">
        <v>0</v>
      </c>
    </row>
    <row r="6334" spans="1:11" x14ac:dyDescent="0.25">
      <c r="A6334" t="str">
        <f>"7920"</f>
        <v>7920</v>
      </c>
      <c r="B6334" t="str">
        <f t="shared" si="413"/>
        <v>1</v>
      </c>
      <c r="C6334" t="str">
        <f t="shared" si="412"/>
        <v>341</v>
      </c>
      <c r="D6334" t="str">
        <f>"3"</f>
        <v>3</v>
      </c>
      <c r="E6334" t="str">
        <f>"1-341-3"</f>
        <v>1-341-3</v>
      </c>
      <c r="F6334" t="s">
        <v>15</v>
      </c>
      <c r="G6334" t="s">
        <v>16</v>
      </c>
      <c r="H6334" t="s">
        <v>17</v>
      </c>
      <c r="I6334">
        <v>0</v>
      </c>
      <c r="J6334">
        <v>0</v>
      </c>
      <c r="K6334">
        <v>0</v>
      </c>
    </row>
    <row r="6335" spans="1:11" x14ac:dyDescent="0.25">
      <c r="A6335" t="str">
        <f>"7921"</f>
        <v>7921</v>
      </c>
      <c r="B6335" t="str">
        <f t="shared" si="413"/>
        <v>1</v>
      </c>
      <c r="C6335" t="str">
        <f t="shared" si="412"/>
        <v>341</v>
      </c>
      <c r="D6335" t="str">
        <f>"8"</f>
        <v>8</v>
      </c>
      <c r="E6335" t="str">
        <f>"1-341-8"</f>
        <v>1-341-8</v>
      </c>
      <c r="F6335" t="s">
        <v>15</v>
      </c>
      <c r="G6335" t="s">
        <v>16</v>
      </c>
      <c r="H6335" t="s">
        <v>17</v>
      </c>
      <c r="I6335">
        <v>0</v>
      </c>
      <c r="J6335">
        <v>0</v>
      </c>
      <c r="K6335">
        <v>0</v>
      </c>
    </row>
    <row r="6336" spans="1:11" x14ac:dyDescent="0.25">
      <c r="A6336" t="str">
        <f>"7922"</f>
        <v>7922</v>
      </c>
      <c r="B6336" t="str">
        <f t="shared" si="413"/>
        <v>1</v>
      </c>
      <c r="C6336" t="str">
        <f t="shared" si="412"/>
        <v>341</v>
      </c>
      <c r="D6336" t="str">
        <f>"9"</f>
        <v>9</v>
      </c>
      <c r="E6336" t="str">
        <f>"1-341-9"</f>
        <v>1-341-9</v>
      </c>
      <c r="F6336" t="s">
        <v>15</v>
      </c>
      <c r="G6336" t="s">
        <v>16</v>
      </c>
      <c r="H6336" t="s">
        <v>17</v>
      </c>
      <c r="I6336">
        <v>0</v>
      </c>
      <c r="J6336">
        <v>0</v>
      </c>
      <c r="K6336">
        <v>0</v>
      </c>
    </row>
    <row r="6337" spans="1:11" x14ac:dyDescent="0.25">
      <c r="A6337" t="str">
        <f>"7923"</f>
        <v>7923</v>
      </c>
      <c r="B6337" t="str">
        <f t="shared" si="413"/>
        <v>1</v>
      </c>
      <c r="C6337" t="str">
        <f t="shared" ref="C6337:C6352" si="414">"342"</f>
        <v>342</v>
      </c>
      <c r="D6337" t="str">
        <f>"15"</f>
        <v>15</v>
      </c>
      <c r="E6337" t="str">
        <f>"1-342-15"</f>
        <v>1-342-15</v>
      </c>
      <c r="F6337" t="s">
        <v>15</v>
      </c>
      <c r="G6337" t="s">
        <v>16</v>
      </c>
      <c r="H6337" t="s">
        <v>17</v>
      </c>
      <c r="I6337">
        <v>0</v>
      </c>
      <c r="J6337">
        <v>0</v>
      </c>
      <c r="K6337">
        <v>1</v>
      </c>
    </row>
    <row r="6338" spans="1:11" x14ac:dyDescent="0.25">
      <c r="A6338" t="str">
        <f>"7925"</f>
        <v>7925</v>
      </c>
      <c r="B6338" t="str">
        <f t="shared" si="413"/>
        <v>1</v>
      </c>
      <c r="C6338" t="str">
        <f t="shared" si="414"/>
        <v>342</v>
      </c>
      <c r="D6338" t="str">
        <f>"16"</f>
        <v>16</v>
      </c>
      <c r="E6338" t="str">
        <f>"1-342-16"</f>
        <v>1-342-16</v>
      </c>
      <c r="F6338" t="s">
        <v>15</v>
      </c>
      <c r="G6338" t="s">
        <v>16</v>
      </c>
      <c r="H6338" t="s">
        <v>17</v>
      </c>
      <c r="I6338">
        <v>1</v>
      </c>
      <c r="J6338">
        <v>0</v>
      </c>
      <c r="K6338">
        <v>0</v>
      </c>
    </row>
    <row r="6339" spans="1:11" x14ac:dyDescent="0.25">
      <c r="A6339" t="str">
        <f>"7926"</f>
        <v>7926</v>
      </c>
      <c r="B6339" t="str">
        <f t="shared" si="413"/>
        <v>1</v>
      </c>
      <c r="C6339" t="str">
        <f t="shared" si="414"/>
        <v>342</v>
      </c>
      <c r="D6339" t="str">
        <f>"3"</f>
        <v>3</v>
      </c>
      <c r="E6339" t="str">
        <f>"1-342-3"</f>
        <v>1-342-3</v>
      </c>
      <c r="F6339" t="s">
        <v>15</v>
      </c>
      <c r="G6339" t="s">
        <v>16</v>
      </c>
      <c r="H6339" t="s">
        <v>17</v>
      </c>
      <c r="I6339">
        <v>0</v>
      </c>
      <c r="J6339">
        <v>1</v>
      </c>
      <c r="K6339">
        <v>0</v>
      </c>
    </row>
    <row r="6340" spans="1:11" x14ac:dyDescent="0.25">
      <c r="A6340" t="str">
        <f>"7927"</f>
        <v>7927</v>
      </c>
      <c r="B6340" t="str">
        <f t="shared" si="413"/>
        <v>1</v>
      </c>
      <c r="C6340" t="str">
        <f t="shared" si="414"/>
        <v>342</v>
      </c>
      <c r="D6340" t="str">
        <f>"17"</f>
        <v>17</v>
      </c>
      <c r="E6340" t="str">
        <f>"1-342-17"</f>
        <v>1-342-17</v>
      </c>
      <c r="F6340" t="s">
        <v>15</v>
      </c>
      <c r="G6340" t="s">
        <v>16</v>
      </c>
      <c r="H6340" t="s">
        <v>17</v>
      </c>
      <c r="I6340">
        <v>1</v>
      </c>
      <c r="J6340">
        <v>0</v>
      </c>
      <c r="K6340">
        <v>0</v>
      </c>
    </row>
    <row r="6341" spans="1:11" x14ac:dyDescent="0.25">
      <c r="A6341" t="str">
        <f>"7928"</f>
        <v>7928</v>
      </c>
      <c r="B6341" t="str">
        <f t="shared" si="413"/>
        <v>1</v>
      </c>
      <c r="C6341" t="str">
        <f t="shared" si="414"/>
        <v>342</v>
      </c>
      <c r="D6341" t="str">
        <f>"1"</f>
        <v>1</v>
      </c>
      <c r="E6341" t="str">
        <f>"1-342-1"</f>
        <v>1-342-1</v>
      </c>
      <c r="F6341" t="s">
        <v>15</v>
      </c>
      <c r="G6341" t="s">
        <v>18</v>
      </c>
      <c r="H6341" t="s">
        <v>19</v>
      </c>
      <c r="I6341">
        <v>0</v>
      </c>
      <c r="J6341">
        <v>0</v>
      </c>
      <c r="K6341">
        <v>1</v>
      </c>
    </row>
    <row r="6342" spans="1:11" x14ac:dyDescent="0.25">
      <c r="A6342" t="str">
        <f>"7929"</f>
        <v>7929</v>
      </c>
      <c r="B6342" t="str">
        <f t="shared" si="413"/>
        <v>1</v>
      </c>
      <c r="C6342" t="str">
        <f t="shared" si="414"/>
        <v>342</v>
      </c>
      <c r="D6342" t="str">
        <f>"18"</f>
        <v>18</v>
      </c>
      <c r="E6342" t="str">
        <f>"1-342-18"</f>
        <v>1-342-18</v>
      </c>
      <c r="F6342" t="s">
        <v>15</v>
      </c>
      <c r="G6342" t="s">
        <v>16</v>
      </c>
      <c r="H6342" t="s">
        <v>17</v>
      </c>
      <c r="I6342">
        <v>0</v>
      </c>
      <c r="J6342">
        <v>0</v>
      </c>
      <c r="K6342">
        <v>1</v>
      </c>
    </row>
    <row r="6343" spans="1:11" x14ac:dyDescent="0.25">
      <c r="A6343" t="str">
        <f>"7930"</f>
        <v>7930</v>
      </c>
      <c r="B6343" t="str">
        <f t="shared" si="413"/>
        <v>1</v>
      </c>
      <c r="C6343" t="str">
        <f t="shared" si="414"/>
        <v>342</v>
      </c>
      <c r="D6343" t="str">
        <f>"13"</f>
        <v>13</v>
      </c>
      <c r="E6343" t="str">
        <f>"1-342-13"</f>
        <v>1-342-13</v>
      </c>
      <c r="F6343" t="s">
        <v>15</v>
      </c>
      <c r="G6343" t="s">
        <v>16</v>
      </c>
      <c r="H6343" t="s">
        <v>17</v>
      </c>
      <c r="I6343">
        <v>0</v>
      </c>
      <c r="J6343">
        <v>1</v>
      </c>
      <c r="K6343">
        <v>0</v>
      </c>
    </row>
    <row r="6344" spans="1:11" x14ac:dyDescent="0.25">
      <c r="A6344" t="str">
        <f>"7933"</f>
        <v>7933</v>
      </c>
      <c r="B6344" t="str">
        <f t="shared" si="413"/>
        <v>1</v>
      </c>
      <c r="C6344" t="str">
        <f t="shared" si="414"/>
        <v>342</v>
      </c>
      <c r="D6344" t="str">
        <f>"20"</f>
        <v>20</v>
      </c>
      <c r="E6344" t="str">
        <f>"1-342-20"</f>
        <v>1-342-20</v>
      </c>
      <c r="F6344" t="s">
        <v>15</v>
      </c>
      <c r="G6344" t="s">
        <v>16</v>
      </c>
      <c r="H6344" t="s">
        <v>17</v>
      </c>
      <c r="I6344">
        <v>0</v>
      </c>
      <c r="J6344">
        <v>1</v>
      </c>
      <c r="K6344">
        <v>0</v>
      </c>
    </row>
    <row r="6345" spans="1:11" x14ac:dyDescent="0.25">
      <c r="A6345" t="str">
        <f>"7935"</f>
        <v>7935</v>
      </c>
      <c r="B6345" t="str">
        <f t="shared" si="413"/>
        <v>1</v>
      </c>
      <c r="C6345" t="str">
        <f t="shared" si="414"/>
        <v>342</v>
      </c>
      <c r="D6345" t="str">
        <f>"12"</f>
        <v>12</v>
      </c>
      <c r="E6345" t="str">
        <f>"1-342-12"</f>
        <v>1-342-12</v>
      </c>
      <c r="F6345" t="s">
        <v>15</v>
      </c>
      <c r="G6345" t="s">
        <v>16</v>
      </c>
      <c r="H6345" t="s">
        <v>17</v>
      </c>
      <c r="I6345">
        <v>0</v>
      </c>
      <c r="J6345">
        <v>0</v>
      </c>
      <c r="K6345">
        <v>1</v>
      </c>
    </row>
    <row r="6346" spans="1:11" x14ac:dyDescent="0.25">
      <c r="A6346" t="str">
        <f>"7936"</f>
        <v>7936</v>
      </c>
      <c r="B6346" t="str">
        <f t="shared" si="413"/>
        <v>1</v>
      </c>
      <c r="C6346" t="str">
        <f t="shared" si="414"/>
        <v>342</v>
      </c>
      <c r="D6346" t="str">
        <f>"11"</f>
        <v>11</v>
      </c>
      <c r="E6346" t="str">
        <f>"1-342-11"</f>
        <v>1-342-11</v>
      </c>
      <c r="F6346" t="s">
        <v>15</v>
      </c>
      <c r="G6346" t="s">
        <v>16</v>
      </c>
      <c r="H6346" t="s">
        <v>17</v>
      </c>
      <c r="I6346">
        <v>0</v>
      </c>
      <c r="J6346">
        <v>0</v>
      </c>
      <c r="K6346">
        <v>1</v>
      </c>
    </row>
    <row r="6347" spans="1:11" x14ac:dyDescent="0.25">
      <c r="A6347" t="str">
        <f>"7937"</f>
        <v>7937</v>
      </c>
      <c r="B6347" t="str">
        <f t="shared" si="413"/>
        <v>1</v>
      </c>
      <c r="C6347" t="str">
        <f t="shared" si="414"/>
        <v>342</v>
      </c>
      <c r="D6347" t="str">
        <f>"7"</f>
        <v>7</v>
      </c>
      <c r="E6347" t="str">
        <f>"1-342-7"</f>
        <v>1-342-7</v>
      </c>
      <c r="F6347" t="s">
        <v>15</v>
      </c>
      <c r="G6347" t="s">
        <v>16</v>
      </c>
      <c r="H6347" t="s">
        <v>17</v>
      </c>
      <c r="I6347">
        <v>0</v>
      </c>
      <c r="J6347">
        <v>1</v>
      </c>
      <c r="K6347">
        <v>0</v>
      </c>
    </row>
    <row r="6348" spans="1:11" x14ac:dyDescent="0.25">
      <c r="A6348" t="str">
        <f>"7938"</f>
        <v>7938</v>
      </c>
      <c r="B6348" t="str">
        <f t="shared" si="413"/>
        <v>1</v>
      </c>
      <c r="C6348" t="str">
        <f t="shared" si="414"/>
        <v>342</v>
      </c>
      <c r="D6348" t="str">
        <f>"9"</f>
        <v>9</v>
      </c>
      <c r="E6348" t="str">
        <f>"1-342-9"</f>
        <v>1-342-9</v>
      </c>
      <c r="F6348" t="s">
        <v>15</v>
      </c>
      <c r="G6348" t="s">
        <v>16</v>
      </c>
      <c r="H6348" t="s">
        <v>17</v>
      </c>
      <c r="I6348">
        <v>0</v>
      </c>
      <c r="J6348">
        <v>0</v>
      </c>
      <c r="K6348">
        <v>1</v>
      </c>
    </row>
    <row r="6349" spans="1:11" x14ac:dyDescent="0.25">
      <c r="A6349" t="str">
        <f>"7939"</f>
        <v>7939</v>
      </c>
      <c r="B6349" t="str">
        <f t="shared" si="413"/>
        <v>1</v>
      </c>
      <c r="C6349" t="str">
        <f t="shared" si="414"/>
        <v>342</v>
      </c>
      <c r="D6349" t="str">
        <f>"14"</f>
        <v>14</v>
      </c>
      <c r="E6349" t="str">
        <f>"1-342-14"</f>
        <v>1-342-14</v>
      </c>
      <c r="F6349" t="s">
        <v>15</v>
      </c>
      <c r="G6349" t="s">
        <v>16</v>
      </c>
      <c r="H6349" t="s">
        <v>17</v>
      </c>
      <c r="I6349">
        <v>1</v>
      </c>
      <c r="J6349">
        <v>0</v>
      </c>
      <c r="K6349">
        <v>0</v>
      </c>
    </row>
    <row r="6350" spans="1:11" x14ac:dyDescent="0.25">
      <c r="A6350" t="str">
        <f>"7940"</f>
        <v>7940</v>
      </c>
      <c r="B6350" t="str">
        <f t="shared" si="413"/>
        <v>1</v>
      </c>
      <c r="C6350" t="str">
        <f t="shared" si="414"/>
        <v>342</v>
      </c>
      <c r="D6350" t="str">
        <f>"8"</f>
        <v>8</v>
      </c>
      <c r="E6350" t="str">
        <f>"1-342-8"</f>
        <v>1-342-8</v>
      </c>
      <c r="F6350" t="s">
        <v>15</v>
      </c>
      <c r="G6350" t="s">
        <v>16</v>
      </c>
      <c r="H6350" t="s">
        <v>17</v>
      </c>
      <c r="I6350">
        <v>1</v>
      </c>
      <c r="J6350">
        <v>0</v>
      </c>
      <c r="K6350">
        <v>0</v>
      </c>
    </row>
    <row r="6351" spans="1:11" x14ac:dyDescent="0.25">
      <c r="A6351" t="str">
        <f>"7941"</f>
        <v>7941</v>
      </c>
      <c r="B6351" t="str">
        <f t="shared" si="413"/>
        <v>1</v>
      </c>
      <c r="C6351" t="str">
        <f t="shared" si="414"/>
        <v>342</v>
      </c>
      <c r="D6351" t="str">
        <f>"2"</f>
        <v>2</v>
      </c>
      <c r="E6351" t="str">
        <f>"1-342-2"</f>
        <v>1-342-2</v>
      </c>
      <c r="F6351" t="s">
        <v>15</v>
      </c>
      <c r="G6351" t="s">
        <v>18</v>
      </c>
      <c r="H6351" t="s">
        <v>19</v>
      </c>
      <c r="I6351">
        <v>0</v>
      </c>
      <c r="J6351">
        <v>0</v>
      </c>
      <c r="K6351">
        <v>1</v>
      </c>
    </row>
    <row r="6352" spans="1:11" x14ac:dyDescent="0.25">
      <c r="A6352" t="str">
        <f>"7942"</f>
        <v>7942</v>
      </c>
      <c r="B6352" t="str">
        <f t="shared" si="413"/>
        <v>1</v>
      </c>
      <c r="C6352" t="str">
        <f t="shared" si="414"/>
        <v>342</v>
      </c>
      <c r="D6352" t="str">
        <f>"4"</f>
        <v>4</v>
      </c>
      <c r="E6352" t="str">
        <f>"1-342-4"</f>
        <v>1-342-4</v>
      </c>
      <c r="F6352" t="s">
        <v>15</v>
      </c>
      <c r="G6352" t="s">
        <v>16</v>
      </c>
      <c r="H6352" t="s">
        <v>17</v>
      </c>
      <c r="I6352">
        <v>0</v>
      </c>
      <c r="J6352">
        <v>0</v>
      </c>
      <c r="K6352">
        <v>1</v>
      </c>
    </row>
    <row r="6353" spans="1:11" x14ac:dyDescent="0.25">
      <c r="A6353" t="str">
        <f>"7944"</f>
        <v>7944</v>
      </c>
      <c r="B6353" t="str">
        <f t="shared" si="413"/>
        <v>1</v>
      </c>
      <c r="C6353" t="str">
        <f t="shared" ref="C6353:C6371" si="415">"343"</f>
        <v>343</v>
      </c>
      <c r="D6353" t="str">
        <f>"15"</f>
        <v>15</v>
      </c>
      <c r="E6353" t="str">
        <f>"1-343-15"</f>
        <v>1-343-15</v>
      </c>
      <c r="F6353" t="s">
        <v>15</v>
      </c>
      <c r="G6353" t="s">
        <v>20</v>
      </c>
      <c r="H6353" t="s">
        <v>21</v>
      </c>
      <c r="I6353">
        <v>0</v>
      </c>
      <c r="J6353">
        <v>0</v>
      </c>
      <c r="K6353">
        <v>1</v>
      </c>
    </row>
    <row r="6354" spans="1:11" x14ac:dyDescent="0.25">
      <c r="A6354" t="str">
        <f>"7947"</f>
        <v>7947</v>
      </c>
      <c r="B6354" t="str">
        <f t="shared" si="413"/>
        <v>1</v>
      </c>
      <c r="C6354" t="str">
        <f t="shared" si="415"/>
        <v>343</v>
      </c>
      <c r="D6354" t="str">
        <f>"16"</f>
        <v>16</v>
      </c>
      <c r="E6354" t="str">
        <f>"1-343-16"</f>
        <v>1-343-16</v>
      </c>
      <c r="F6354" t="s">
        <v>15</v>
      </c>
      <c r="G6354" t="s">
        <v>20</v>
      </c>
      <c r="H6354" t="s">
        <v>21</v>
      </c>
      <c r="I6354">
        <v>1</v>
      </c>
      <c r="J6354">
        <v>0</v>
      </c>
      <c r="K6354">
        <v>0</v>
      </c>
    </row>
    <row r="6355" spans="1:11" x14ac:dyDescent="0.25">
      <c r="A6355" t="str">
        <f>"7948"</f>
        <v>7948</v>
      </c>
      <c r="B6355" t="str">
        <f t="shared" si="413"/>
        <v>1</v>
      </c>
      <c r="C6355" t="str">
        <f t="shared" si="415"/>
        <v>343</v>
      </c>
      <c r="D6355" t="str">
        <f>"9"</f>
        <v>9</v>
      </c>
      <c r="E6355" t="str">
        <f>"1-343-9"</f>
        <v>1-343-9</v>
      </c>
      <c r="F6355" t="s">
        <v>15</v>
      </c>
      <c r="G6355" t="s">
        <v>20</v>
      </c>
      <c r="H6355" t="s">
        <v>21</v>
      </c>
      <c r="I6355">
        <v>0</v>
      </c>
      <c r="J6355">
        <v>0</v>
      </c>
      <c r="K6355">
        <v>1</v>
      </c>
    </row>
    <row r="6356" spans="1:11" x14ac:dyDescent="0.25">
      <c r="A6356" t="str">
        <f>"7949"</f>
        <v>7949</v>
      </c>
      <c r="B6356" t="str">
        <f t="shared" si="413"/>
        <v>1</v>
      </c>
      <c r="C6356" t="str">
        <f t="shared" si="415"/>
        <v>343</v>
      </c>
      <c r="D6356" t="str">
        <f>"17"</f>
        <v>17</v>
      </c>
      <c r="E6356" t="str">
        <f>"1-343-17"</f>
        <v>1-343-17</v>
      </c>
      <c r="F6356" t="s">
        <v>15</v>
      </c>
      <c r="G6356" t="s">
        <v>20</v>
      </c>
      <c r="H6356" t="s">
        <v>21</v>
      </c>
      <c r="I6356">
        <v>0</v>
      </c>
      <c r="J6356">
        <v>0</v>
      </c>
      <c r="K6356">
        <v>1</v>
      </c>
    </row>
    <row r="6357" spans="1:11" x14ac:dyDescent="0.25">
      <c r="A6357" t="str">
        <f>"7951"</f>
        <v>7951</v>
      </c>
      <c r="B6357" t="str">
        <f t="shared" si="413"/>
        <v>1</v>
      </c>
      <c r="C6357" t="str">
        <f t="shared" si="415"/>
        <v>343</v>
      </c>
      <c r="D6357" t="str">
        <f>"18"</f>
        <v>18</v>
      </c>
      <c r="E6357" t="str">
        <f>"1-343-18"</f>
        <v>1-343-18</v>
      </c>
      <c r="F6357" t="s">
        <v>15</v>
      </c>
      <c r="G6357" t="s">
        <v>20</v>
      </c>
      <c r="H6357" t="s">
        <v>21</v>
      </c>
      <c r="I6357">
        <v>1</v>
      </c>
      <c r="J6357">
        <v>0</v>
      </c>
      <c r="K6357">
        <v>0</v>
      </c>
    </row>
    <row r="6358" spans="1:11" x14ac:dyDescent="0.25">
      <c r="A6358" t="str">
        <f>"7952"</f>
        <v>7952</v>
      </c>
      <c r="B6358" t="str">
        <f t="shared" si="413"/>
        <v>1</v>
      </c>
      <c r="C6358" t="str">
        <f t="shared" si="415"/>
        <v>343</v>
      </c>
      <c r="D6358" t="str">
        <f>"1"</f>
        <v>1</v>
      </c>
      <c r="E6358" t="str">
        <f>"1-343-1"</f>
        <v>1-343-1</v>
      </c>
      <c r="F6358" t="s">
        <v>15</v>
      </c>
      <c r="G6358" t="s">
        <v>20</v>
      </c>
      <c r="H6358" t="s">
        <v>21</v>
      </c>
      <c r="I6358">
        <v>0</v>
      </c>
      <c r="J6358">
        <v>1</v>
      </c>
      <c r="K6358">
        <v>0</v>
      </c>
    </row>
    <row r="6359" spans="1:11" x14ac:dyDescent="0.25">
      <c r="A6359" t="str">
        <f>"7953"</f>
        <v>7953</v>
      </c>
      <c r="B6359" t="str">
        <f t="shared" si="413"/>
        <v>1</v>
      </c>
      <c r="C6359" t="str">
        <f t="shared" si="415"/>
        <v>343</v>
      </c>
      <c r="D6359" t="str">
        <f>"19"</f>
        <v>19</v>
      </c>
      <c r="E6359" t="str">
        <f>"1-343-19"</f>
        <v>1-343-19</v>
      </c>
      <c r="F6359" t="s">
        <v>15</v>
      </c>
      <c r="G6359" t="s">
        <v>20</v>
      </c>
      <c r="H6359" t="s">
        <v>21</v>
      </c>
      <c r="I6359">
        <v>0</v>
      </c>
      <c r="J6359">
        <v>1</v>
      </c>
      <c r="K6359">
        <v>0</v>
      </c>
    </row>
    <row r="6360" spans="1:11" x14ac:dyDescent="0.25">
      <c r="A6360" t="str">
        <f>"7954"</f>
        <v>7954</v>
      </c>
      <c r="B6360" t="str">
        <f t="shared" si="413"/>
        <v>1</v>
      </c>
      <c r="C6360" t="str">
        <f t="shared" si="415"/>
        <v>343</v>
      </c>
      <c r="D6360" t="str">
        <f>"8"</f>
        <v>8</v>
      </c>
      <c r="E6360" t="str">
        <f>"1-343-8"</f>
        <v>1-343-8</v>
      </c>
      <c r="F6360" t="s">
        <v>15</v>
      </c>
      <c r="G6360" t="s">
        <v>20</v>
      </c>
      <c r="H6360" t="s">
        <v>21</v>
      </c>
      <c r="I6360">
        <v>0</v>
      </c>
      <c r="J6360">
        <v>1</v>
      </c>
      <c r="K6360">
        <v>0</v>
      </c>
    </row>
    <row r="6361" spans="1:11" x14ac:dyDescent="0.25">
      <c r="A6361" t="str">
        <f>"7956"</f>
        <v>7956</v>
      </c>
      <c r="B6361" t="str">
        <f t="shared" si="413"/>
        <v>1</v>
      </c>
      <c r="C6361" t="str">
        <f t="shared" si="415"/>
        <v>343</v>
      </c>
      <c r="D6361" t="str">
        <f>"7"</f>
        <v>7</v>
      </c>
      <c r="E6361" t="str">
        <f>"1-343-7"</f>
        <v>1-343-7</v>
      </c>
      <c r="F6361" t="s">
        <v>15</v>
      </c>
      <c r="G6361" t="s">
        <v>20</v>
      </c>
      <c r="H6361" t="s">
        <v>21</v>
      </c>
      <c r="I6361">
        <v>0</v>
      </c>
      <c r="J6361">
        <v>0</v>
      </c>
      <c r="K6361">
        <v>1</v>
      </c>
    </row>
    <row r="6362" spans="1:11" x14ac:dyDescent="0.25">
      <c r="A6362" t="str">
        <f>"7957"</f>
        <v>7957</v>
      </c>
      <c r="B6362" t="str">
        <f t="shared" si="413"/>
        <v>1</v>
      </c>
      <c r="C6362" t="str">
        <f t="shared" si="415"/>
        <v>343</v>
      </c>
      <c r="D6362" t="str">
        <f>"21"</f>
        <v>21</v>
      </c>
      <c r="E6362" t="str">
        <f>"1-343-21"</f>
        <v>1-343-21</v>
      </c>
      <c r="F6362" t="s">
        <v>15</v>
      </c>
      <c r="G6362" t="s">
        <v>20</v>
      </c>
      <c r="H6362" t="s">
        <v>21</v>
      </c>
      <c r="I6362">
        <v>0</v>
      </c>
      <c r="J6362">
        <v>1</v>
      </c>
      <c r="K6362">
        <v>0</v>
      </c>
    </row>
    <row r="6363" spans="1:11" x14ac:dyDescent="0.25">
      <c r="A6363" t="str">
        <f>"7958"</f>
        <v>7958</v>
      </c>
      <c r="B6363" t="str">
        <f t="shared" si="413"/>
        <v>1</v>
      </c>
      <c r="C6363" t="str">
        <f t="shared" si="415"/>
        <v>343</v>
      </c>
      <c r="D6363" t="str">
        <f>"10"</f>
        <v>10</v>
      </c>
      <c r="E6363" t="str">
        <f>"1-343-10"</f>
        <v>1-343-10</v>
      </c>
      <c r="F6363" t="s">
        <v>15</v>
      </c>
      <c r="G6363" t="s">
        <v>20</v>
      </c>
      <c r="H6363" t="s">
        <v>21</v>
      </c>
      <c r="I6363">
        <v>0</v>
      </c>
      <c r="J6363">
        <v>0</v>
      </c>
      <c r="K6363">
        <v>1</v>
      </c>
    </row>
    <row r="6364" spans="1:11" x14ac:dyDescent="0.25">
      <c r="A6364" t="str">
        <f>"7960"</f>
        <v>7960</v>
      </c>
      <c r="B6364" t="str">
        <f t="shared" si="413"/>
        <v>1</v>
      </c>
      <c r="C6364" t="str">
        <f t="shared" si="415"/>
        <v>343</v>
      </c>
      <c r="D6364" t="str">
        <f>"11"</f>
        <v>11</v>
      </c>
      <c r="E6364" t="str">
        <f>"1-343-11"</f>
        <v>1-343-11</v>
      </c>
      <c r="F6364" t="s">
        <v>15</v>
      </c>
      <c r="G6364" t="s">
        <v>20</v>
      </c>
      <c r="H6364" t="s">
        <v>21</v>
      </c>
      <c r="I6364">
        <v>0</v>
      </c>
      <c r="J6364">
        <v>0</v>
      </c>
      <c r="K6364">
        <v>1</v>
      </c>
    </row>
    <row r="6365" spans="1:11" x14ac:dyDescent="0.25">
      <c r="A6365" t="str">
        <f>"7961"</f>
        <v>7961</v>
      </c>
      <c r="B6365" t="str">
        <f t="shared" si="413"/>
        <v>1</v>
      </c>
      <c r="C6365" t="str">
        <f t="shared" si="415"/>
        <v>343</v>
      </c>
      <c r="D6365" t="str">
        <f>"6"</f>
        <v>6</v>
      </c>
      <c r="E6365" t="str">
        <f>"1-343-6"</f>
        <v>1-343-6</v>
      </c>
      <c r="F6365" t="s">
        <v>15</v>
      </c>
      <c r="G6365" t="s">
        <v>20</v>
      </c>
      <c r="H6365" t="s">
        <v>21</v>
      </c>
      <c r="I6365">
        <v>1</v>
      </c>
      <c r="J6365">
        <v>0</v>
      </c>
      <c r="K6365">
        <v>0</v>
      </c>
    </row>
    <row r="6366" spans="1:11" x14ac:dyDescent="0.25">
      <c r="A6366" t="str">
        <f>"7962"</f>
        <v>7962</v>
      </c>
      <c r="B6366" t="str">
        <f t="shared" ref="B6366:B6418" si="416">"1"</f>
        <v>1</v>
      </c>
      <c r="C6366" t="str">
        <f t="shared" si="415"/>
        <v>343</v>
      </c>
      <c r="D6366" t="str">
        <f>"5"</f>
        <v>5</v>
      </c>
      <c r="E6366" t="str">
        <f>"1-343-5"</f>
        <v>1-343-5</v>
      </c>
      <c r="F6366" t="s">
        <v>15</v>
      </c>
      <c r="G6366" t="s">
        <v>20</v>
      </c>
      <c r="H6366" t="s">
        <v>21</v>
      </c>
      <c r="I6366">
        <v>1</v>
      </c>
      <c r="J6366">
        <v>0</v>
      </c>
      <c r="K6366">
        <v>0</v>
      </c>
    </row>
    <row r="6367" spans="1:11" x14ac:dyDescent="0.25">
      <c r="A6367" t="str">
        <f>"7963"</f>
        <v>7963</v>
      </c>
      <c r="B6367" t="str">
        <f t="shared" si="416"/>
        <v>1</v>
      </c>
      <c r="C6367" t="str">
        <f t="shared" si="415"/>
        <v>343</v>
      </c>
      <c r="D6367" t="str">
        <f>"3"</f>
        <v>3</v>
      </c>
      <c r="E6367" t="str">
        <f>"1-343-3"</f>
        <v>1-343-3</v>
      </c>
      <c r="F6367" t="s">
        <v>15</v>
      </c>
      <c r="G6367" t="s">
        <v>16</v>
      </c>
      <c r="H6367" t="s">
        <v>17</v>
      </c>
      <c r="I6367">
        <v>0</v>
      </c>
      <c r="J6367">
        <v>0</v>
      </c>
      <c r="K6367">
        <v>0</v>
      </c>
    </row>
    <row r="6368" spans="1:11" x14ac:dyDescent="0.25">
      <c r="A6368" t="str">
        <f>"7964"</f>
        <v>7964</v>
      </c>
      <c r="B6368" t="str">
        <f t="shared" si="416"/>
        <v>1</v>
      </c>
      <c r="C6368" t="str">
        <f t="shared" si="415"/>
        <v>343</v>
      </c>
      <c r="D6368" t="str">
        <f>"4"</f>
        <v>4</v>
      </c>
      <c r="E6368" t="str">
        <f>"1-343-4"</f>
        <v>1-343-4</v>
      </c>
      <c r="F6368" t="s">
        <v>15</v>
      </c>
      <c r="G6368" t="s">
        <v>16</v>
      </c>
      <c r="H6368" t="s">
        <v>17</v>
      </c>
      <c r="I6368">
        <v>0</v>
      </c>
      <c r="J6368">
        <v>0</v>
      </c>
      <c r="K6368">
        <v>0</v>
      </c>
    </row>
    <row r="6369" spans="1:11" x14ac:dyDescent="0.25">
      <c r="A6369" t="str">
        <f>"7965"</f>
        <v>7965</v>
      </c>
      <c r="B6369" t="str">
        <f t="shared" si="416"/>
        <v>1</v>
      </c>
      <c r="C6369" t="str">
        <f t="shared" si="415"/>
        <v>343</v>
      </c>
      <c r="D6369" t="str">
        <f>"25"</f>
        <v>25</v>
      </c>
      <c r="E6369" t="str">
        <f>"1-343-25"</f>
        <v>1-343-25</v>
      </c>
      <c r="F6369" t="s">
        <v>15</v>
      </c>
      <c r="G6369" t="s">
        <v>20</v>
      </c>
      <c r="H6369" t="s">
        <v>21</v>
      </c>
      <c r="I6369">
        <v>0</v>
      </c>
      <c r="J6369">
        <v>0</v>
      </c>
      <c r="K6369">
        <v>0</v>
      </c>
    </row>
    <row r="6370" spans="1:11" x14ac:dyDescent="0.25">
      <c r="A6370" t="str">
        <f>"7966"</f>
        <v>7966</v>
      </c>
      <c r="B6370" t="str">
        <f t="shared" si="416"/>
        <v>1</v>
      </c>
      <c r="C6370" t="str">
        <f t="shared" si="415"/>
        <v>343</v>
      </c>
      <c r="D6370" t="str">
        <f>"14"</f>
        <v>14</v>
      </c>
      <c r="E6370" t="str">
        <f>"1-343-14"</f>
        <v>1-343-14</v>
      </c>
      <c r="F6370" t="s">
        <v>15</v>
      </c>
      <c r="G6370" t="s">
        <v>20</v>
      </c>
      <c r="H6370" t="s">
        <v>21</v>
      </c>
      <c r="I6370">
        <v>0</v>
      </c>
      <c r="J6370">
        <v>0</v>
      </c>
      <c r="K6370">
        <v>0</v>
      </c>
    </row>
    <row r="6371" spans="1:11" x14ac:dyDescent="0.25">
      <c r="A6371" t="str">
        <f>"7967"</f>
        <v>7967</v>
      </c>
      <c r="B6371" t="str">
        <f t="shared" si="416"/>
        <v>1</v>
      </c>
      <c r="C6371" t="str">
        <f t="shared" si="415"/>
        <v>343</v>
      </c>
      <c r="D6371" t="str">
        <f>"13"</f>
        <v>13</v>
      </c>
      <c r="E6371" t="str">
        <f>"1-343-13"</f>
        <v>1-343-13</v>
      </c>
      <c r="F6371" t="s">
        <v>15</v>
      </c>
      <c r="G6371" t="s">
        <v>20</v>
      </c>
      <c r="H6371" t="s">
        <v>21</v>
      </c>
      <c r="I6371">
        <v>0</v>
      </c>
      <c r="J6371">
        <v>0</v>
      </c>
      <c r="K6371">
        <v>0</v>
      </c>
    </row>
    <row r="6372" spans="1:11" x14ac:dyDescent="0.25">
      <c r="A6372" t="str">
        <f>"7969"</f>
        <v>7969</v>
      </c>
      <c r="B6372" t="str">
        <f t="shared" si="416"/>
        <v>1</v>
      </c>
      <c r="C6372" t="str">
        <f t="shared" ref="C6372:C6384" si="417">"344"</f>
        <v>344</v>
      </c>
      <c r="D6372" t="str">
        <f>"1"</f>
        <v>1</v>
      </c>
      <c r="E6372" t="str">
        <f>"1-344-1"</f>
        <v>1-344-1</v>
      </c>
      <c r="F6372" t="s">
        <v>15</v>
      </c>
      <c r="G6372" t="s">
        <v>16</v>
      </c>
      <c r="H6372" t="s">
        <v>17</v>
      </c>
      <c r="I6372">
        <v>0</v>
      </c>
      <c r="J6372">
        <v>0</v>
      </c>
      <c r="K6372">
        <v>1</v>
      </c>
    </row>
    <row r="6373" spans="1:11" x14ac:dyDescent="0.25">
      <c r="A6373" t="str">
        <f>"7971"</f>
        <v>7971</v>
      </c>
      <c r="B6373" t="str">
        <f t="shared" si="416"/>
        <v>1</v>
      </c>
      <c r="C6373" t="str">
        <f t="shared" si="417"/>
        <v>344</v>
      </c>
      <c r="D6373" t="str">
        <f>"2"</f>
        <v>2</v>
      </c>
      <c r="E6373" t="str">
        <f>"1-344-2"</f>
        <v>1-344-2</v>
      </c>
      <c r="F6373" t="s">
        <v>15</v>
      </c>
      <c r="G6373" t="s">
        <v>16</v>
      </c>
      <c r="H6373" t="s">
        <v>17</v>
      </c>
      <c r="I6373">
        <v>1</v>
      </c>
      <c r="J6373">
        <v>0</v>
      </c>
      <c r="K6373">
        <v>0</v>
      </c>
    </row>
    <row r="6374" spans="1:11" x14ac:dyDescent="0.25">
      <c r="A6374" t="str">
        <f>"7973"</f>
        <v>7973</v>
      </c>
      <c r="B6374" t="str">
        <f t="shared" si="416"/>
        <v>1</v>
      </c>
      <c r="C6374" t="str">
        <f t="shared" si="417"/>
        <v>344</v>
      </c>
      <c r="D6374" t="str">
        <f>"11"</f>
        <v>11</v>
      </c>
      <c r="E6374" t="str">
        <f>"1-344-11"</f>
        <v>1-344-11</v>
      </c>
      <c r="F6374" t="s">
        <v>15</v>
      </c>
      <c r="G6374" t="s">
        <v>16</v>
      </c>
      <c r="H6374" t="s">
        <v>17</v>
      </c>
      <c r="I6374">
        <v>1</v>
      </c>
      <c r="J6374">
        <v>0</v>
      </c>
      <c r="K6374">
        <v>0</v>
      </c>
    </row>
    <row r="6375" spans="1:11" x14ac:dyDescent="0.25">
      <c r="A6375" t="str">
        <f>"7974"</f>
        <v>7974</v>
      </c>
      <c r="B6375" t="str">
        <f t="shared" si="416"/>
        <v>1</v>
      </c>
      <c r="C6375" t="str">
        <f t="shared" si="417"/>
        <v>344</v>
      </c>
      <c r="D6375" t="str">
        <f>"8"</f>
        <v>8</v>
      </c>
      <c r="E6375" t="str">
        <f>"1-344-8"</f>
        <v>1-344-8</v>
      </c>
      <c r="F6375" t="s">
        <v>15</v>
      </c>
      <c r="G6375" t="s">
        <v>16</v>
      </c>
      <c r="H6375" t="s">
        <v>17</v>
      </c>
      <c r="I6375">
        <v>1</v>
      </c>
      <c r="J6375">
        <v>0</v>
      </c>
      <c r="K6375">
        <v>0</v>
      </c>
    </row>
    <row r="6376" spans="1:11" x14ac:dyDescent="0.25">
      <c r="A6376" t="str">
        <f>"7975"</f>
        <v>7975</v>
      </c>
      <c r="B6376" t="str">
        <f t="shared" si="416"/>
        <v>1</v>
      </c>
      <c r="C6376" t="str">
        <f t="shared" si="417"/>
        <v>344</v>
      </c>
      <c r="D6376" t="str">
        <f>"14"</f>
        <v>14</v>
      </c>
      <c r="E6376" t="str">
        <f>"1-344-14"</f>
        <v>1-344-14</v>
      </c>
      <c r="F6376" t="s">
        <v>15</v>
      </c>
      <c r="G6376" t="s">
        <v>16</v>
      </c>
      <c r="H6376" t="s">
        <v>17</v>
      </c>
      <c r="I6376">
        <v>1</v>
      </c>
      <c r="J6376">
        <v>0</v>
      </c>
      <c r="K6376">
        <v>0</v>
      </c>
    </row>
    <row r="6377" spans="1:11" x14ac:dyDescent="0.25">
      <c r="A6377" t="str">
        <f>"7976"</f>
        <v>7976</v>
      </c>
      <c r="B6377" t="str">
        <f t="shared" si="416"/>
        <v>1</v>
      </c>
      <c r="C6377" t="str">
        <f t="shared" si="417"/>
        <v>344</v>
      </c>
      <c r="D6377" t="str">
        <f>"9"</f>
        <v>9</v>
      </c>
      <c r="E6377" t="str">
        <f>"1-344-9"</f>
        <v>1-344-9</v>
      </c>
      <c r="F6377" t="s">
        <v>15</v>
      </c>
      <c r="G6377" t="s">
        <v>16</v>
      </c>
      <c r="H6377" t="s">
        <v>17</v>
      </c>
      <c r="I6377">
        <v>0</v>
      </c>
      <c r="J6377">
        <v>1</v>
      </c>
      <c r="K6377">
        <v>0</v>
      </c>
    </row>
    <row r="6378" spans="1:11" x14ac:dyDescent="0.25">
      <c r="A6378" t="str">
        <f>"7977"</f>
        <v>7977</v>
      </c>
      <c r="B6378" t="str">
        <f t="shared" si="416"/>
        <v>1</v>
      </c>
      <c r="C6378" t="str">
        <f t="shared" si="417"/>
        <v>344</v>
      </c>
      <c r="D6378" t="str">
        <f>"5"</f>
        <v>5</v>
      </c>
      <c r="E6378" t="str">
        <f>"1-344-5"</f>
        <v>1-344-5</v>
      </c>
      <c r="F6378" t="s">
        <v>15</v>
      </c>
      <c r="G6378" t="s">
        <v>16</v>
      </c>
      <c r="H6378" t="s">
        <v>17</v>
      </c>
      <c r="I6378">
        <v>0</v>
      </c>
      <c r="J6378">
        <v>0</v>
      </c>
      <c r="K6378">
        <v>1</v>
      </c>
    </row>
    <row r="6379" spans="1:11" x14ac:dyDescent="0.25">
      <c r="A6379" t="str">
        <f>"7978"</f>
        <v>7978</v>
      </c>
      <c r="B6379" t="str">
        <f t="shared" si="416"/>
        <v>1</v>
      </c>
      <c r="C6379" t="str">
        <f t="shared" si="417"/>
        <v>344</v>
      </c>
      <c r="D6379" t="str">
        <f>"13"</f>
        <v>13</v>
      </c>
      <c r="E6379" t="str">
        <f>"1-344-13"</f>
        <v>1-344-13</v>
      </c>
      <c r="F6379" t="s">
        <v>15</v>
      </c>
      <c r="G6379" t="s">
        <v>16</v>
      </c>
      <c r="H6379" t="s">
        <v>17</v>
      </c>
      <c r="I6379">
        <v>0</v>
      </c>
      <c r="J6379">
        <v>1</v>
      </c>
      <c r="K6379">
        <v>0</v>
      </c>
    </row>
    <row r="6380" spans="1:11" x14ac:dyDescent="0.25">
      <c r="A6380" t="str">
        <f>"7979"</f>
        <v>7979</v>
      </c>
      <c r="B6380" t="str">
        <f t="shared" si="416"/>
        <v>1</v>
      </c>
      <c r="C6380" t="str">
        <f t="shared" si="417"/>
        <v>344</v>
      </c>
      <c r="D6380" t="str">
        <f>"12"</f>
        <v>12</v>
      </c>
      <c r="E6380" t="str">
        <f>"1-344-12"</f>
        <v>1-344-12</v>
      </c>
      <c r="F6380" t="s">
        <v>15</v>
      </c>
      <c r="G6380" t="s">
        <v>16</v>
      </c>
      <c r="H6380" t="s">
        <v>17</v>
      </c>
      <c r="I6380">
        <v>0</v>
      </c>
      <c r="J6380">
        <v>0</v>
      </c>
      <c r="K6380">
        <v>1</v>
      </c>
    </row>
    <row r="6381" spans="1:11" x14ac:dyDescent="0.25">
      <c r="A6381" t="str">
        <f>"7980"</f>
        <v>7980</v>
      </c>
      <c r="B6381" t="str">
        <f t="shared" si="416"/>
        <v>1</v>
      </c>
      <c r="C6381" t="str">
        <f t="shared" si="417"/>
        <v>344</v>
      </c>
      <c r="D6381" t="str">
        <f>"4"</f>
        <v>4</v>
      </c>
      <c r="E6381" t="str">
        <f>"1-344-4"</f>
        <v>1-344-4</v>
      </c>
      <c r="F6381" t="s">
        <v>15</v>
      </c>
      <c r="G6381" t="s">
        <v>16</v>
      </c>
      <c r="H6381" t="s">
        <v>17</v>
      </c>
      <c r="I6381">
        <v>0</v>
      </c>
      <c r="J6381">
        <v>1</v>
      </c>
      <c r="K6381">
        <v>0</v>
      </c>
    </row>
    <row r="6382" spans="1:11" x14ac:dyDescent="0.25">
      <c r="A6382" t="str">
        <f>"7981"</f>
        <v>7981</v>
      </c>
      <c r="B6382" t="str">
        <f t="shared" si="416"/>
        <v>1</v>
      </c>
      <c r="C6382" t="str">
        <f t="shared" si="417"/>
        <v>344</v>
      </c>
      <c r="D6382" t="str">
        <f>"10"</f>
        <v>10</v>
      </c>
      <c r="E6382" t="str">
        <f>"1-344-10"</f>
        <v>1-344-10</v>
      </c>
      <c r="F6382" t="s">
        <v>15</v>
      </c>
      <c r="G6382" t="s">
        <v>16</v>
      </c>
      <c r="H6382" t="s">
        <v>17</v>
      </c>
      <c r="I6382">
        <v>1</v>
      </c>
      <c r="J6382">
        <v>0</v>
      </c>
      <c r="K6382">
        <v>0</v>
      </c>
    </row>
    <row r="6383" spans="1:11" x14ac:dyDescent="0.25">
      <c r="A6383" t="str">
        <f>"7982"</f>
        <v>7982</v>
      </c>
      <c r="B6383" t="str">
        <f t="shared" si="416"/>
        <v>1</v>
      </c>
      <c r="C6383" t="str">
        <f t="shared" si="417"/>
        <v>344</v>
      </c>
      <c r="D6383" t="str">
        <f>"3"</f>
        <v>3</v>
      </c>
      <c r="E6383" t="str">
        <f>"1-344-3"</f>
        <v>1-344-3</v>
      </c>
      <c r="F6383" t="s">
        <v>15</v>
      </c>
      <c r="G6383" t="s">
        <v>16</v>
      </c>
      <c r="H6383" t="s">
        <v>17</v>
      </c>
      <c r="I6383">
        <v>1</v>
      </c>
      <c r="J6383">
        <v>0</v>
      </c>
      <c r="K6383">
        <v>0</v>
      </c>
    </row>
    <row r="6384" spans="1:11" x14ac:dyDescent="0.25">
      <c r="A6384" t="str">
        <f>"7983"</f>
        <v>7983</v>
      </c>
      <c r="B6384" t="str">
        <f t="shared" si="416"/>
        <v>1</v>
      </c>
      <c r="C6384" t="str">
        <f t="shared" si="417"/>
        <v>344</v>
      </c>
      <c r="D6384" t="str">
        <f>"7"</f>
        <v>7</v>
      </c>
      <c r="E6384" t="str">
        <f>"1-344-7"</f>
        <v>1-344-7</v>
      </c>
      <c r="F6384" t="s">
        <v>15</v>
      </c>
      <c r="G6384" t="s">
        <v>16</v>
      </c>
      <c r="H6384" t="s">
        <v>17</v>
      </c>
      <c r="I6384">
        <v>0</v>
      </c>
      <c r="J6384">
        <v>0</v>
      </c>
      <c r="K6384">
        <v>0</v>
      </c>
    </row>
    <row r="6385" spans="1:11" x14ac:dyDescent="0.25">
      <c r="A6385" t="str">
        <f>"7985"</f>
        <v>7985</v>
      </c>
      <c r="B6385" t="str">
        <f t="shared" si="416"/>
        <v>1</v>
      </c>
      <c r="C6385" t="str">
        <f t="shared" ref="C6385:C6407" si="418">"345"</f>
        <v>345</v>
      </c>
      <c r="D6385" t="str">
        <f>"15"</f>
        <v>15</v>
      </c>
      <c r="E6385" t="str">
        <f>"1-345-15"</f>
        <v>1-345-15</v>
      </c>
      <c r="F6385" t="s">
        <v>15</v>
      </c>
      <c r="G6385" t="s">
        <v>16</v>
      </c>
      <c r="H6385" t="s">
        <v>17</v>
      </c>
      <c r="I6385">
        <v>1</v>
      </c>
      <c r="J6385">
        <v>0</v>
      </c>
      <c r="K6385">
        <v>0</v>
      </c>
    </row>
    <row r="6386" spans="1:11" x14ac:dyDescent="0.25">
      <c r="A6386" t="str">
        <f>"7986"</f>
        <v>7986</v>
      </c>
      <c r="B6386" t="str">
        <f t="shared" si="416"/>
        <v>1</v>
      </c>
      <c r="C6386" t="str">
        <f t="shared" si="418"/>
        <v>345</v>
      </c>
      <c r="D6386" t="str">
        <f>"2"</f>
        <v>2</v>
      </c>
      <c r="E6386" t="str">
        <f>"1-345-2"</f>
        <v>1-345-2</v>
      </c>
      <c r="F6386" t="s">
        <v>15</v>
      </c>
      <c r="G6386" t="s">
        <v>20</v>
      </c>
      <c r="H6386" t="s">
        <v>21</v>
      </c>
      <c r="I6386">
        <v>1</v>
      </c>
      <c r="J6386">
        <v>0</v>
      </c>
      <c r="K6386">
        <v>0</v>
      </c>
    </row>
    <row r="6387" spans="1:11" x14ac:dyDescent="0.25">
      <c r="A6387" t="str">
        <f>"7987"</f>
        <v>7987</v>
      </c>
      <c r="B6387" t="str">
        <f t="shared" si="416"/>
        <v>1</v>
      </c>
      <c r="C6387" t="str">
        <f t="shared" si="418"/>
        <v>345</v>
      </c>
      <c r="D6387" t="str">
        <f>"24"</f>
        <v>24</v>
      </c>
      <c r="E6387" t="str">
        <f>"1-345-24"</f>
        <v>1-345-24</v>
      </c>
      <c r="F6387" t="s">
        <v>15</v>
      </c>
      <c r="G6387" t="s">
        <v>16</v>
      </c>
      <c r="H6387" t="s">
        <v>17</v>
      </c>
      <c r="I6387">
        <v>0</v>
      </c>
      <c r="J6387">
        <v>0</v>
      </c>
      <c r="K6387">
        <v>1</v>
      </c>
    </row>
    <row r="6388" spans="1:11" x14ac:dyDescent="0.25">
      <c r="A6388" t="str">
        <f>"7988"</f>
        <v>7988</v>
      </c>
      <c r="B6388" t="str">
        <f t="shared" si="416"/>
        <v>1</v>
      </c>
      <c r="C6388" t="str">
        <f t="shared" si="418"/>
        <v>345</v>
      </c>
      <c r="D6388" t="str">
        <f>"16"</f>
        <v>16</v>
      </c>
      <c r="E6388" t="str">
        <f>"1-345-16"</f>
        <v>1-345-16</v>
      </c>
      <c r="F6388" t="s">
        <v>15</v>
      </c>
      <c r="G6388" t="s">
        <v>16</v>
      </c>
      <c r="H6388" t="s">
        <v>17</v>
      </c>
      <c r="I6388">
        <v>1</v>
      </c>
      <c r="J6388">
        <v>0</v>
      </c>
      <c r="K6388">
        <v>0</v>
      </c>
    </row>
    <row r="6389" spans="1:11" x14ac:dyDescent="0.25">
      <c r="A6389" t="str">
        <f>"7989"</f>
        <v>7989</v>
      </c>
      <c r="B6389" t="str">
        <f t="shared" si="416"/>
        <v>1</v>
      </c>
      <c r="C6389" t="str">
        <f t="shared" si="418"/>
        <v>345</v>
      </c>
      <c r="D6389" t="str">
        <f>"4"</f>
        <v>4</v>
      </c>
      <c r="E6389" t="str">
        <f>"1-345-4"</f>
        <v>1-345-4</v>
      </c>
      <c r="F6389" t="s">
        <v>15</v>
      </c>
      <c r="G6389" t="s">
        <v>16</v>
      </c>
      <c r="H6389" t="s">
        <v>17</v>
      </c>
      <c r="I6389">
        <v>0</v>
      </c>
      <c r="J6389">
        <v>1</v>
      </c>
      <c r="K6389">
        <v>0</v>
      </c>
    </row>
    <row r="6390" spans="1:11" x14ac:dyDescent="0.25">
      <c r="A6390" t="str">
        <f>"7990"</f>
        <v>7990</v>
      </c>
      <c r="B6390" t="str">
        <f t="shared" si="416"/>
        <v>1</v>
      </c>
      <c r="C6390" t="str">
        <f t="shared" si="418"/>
        <v>345</v>
      </c>
      <c r="D6390" t="str">
        <f>"17"</f>
        <v>17</v>
      </c>
      <c r="E6390" t="str">
        <f>"1-345-17"</f>
        <v>1-345-17</v>
      </c>
      <c r="F6390" t="s">
        <v>15</v>
      </c>
      <c r="G6390" t="s">
        <v>20</v>
      </c>
      <c r="H6390" t="s">
        <v>21</v>
      </c>
      <c r="I6390">
        <v>0</v>
      </c>
      <c r="J6390">
        <v>0</v>
      </c>
      <c r="K6390">
        <v>1</v>
      </c>
    </row>
    <row r="6391" spans="1:11" x14ac:dyDescent="0.25">
      <c r="A6391" t="str">
        <f>"7991"</f>
        <v>7991</v>
      </c>
      <c r="B6391" t="str">
        <f t="shared" si="416"/>
        <v>1</v>
      </c>
      <c r="C6391" t="str">
        <f t="shared" si="418"/>
        <v>345</v>
      </c>
      <c r="D6391" t="str">
        <f>"5"</f>
        <v>5</v>
      </c>
      <c r="E6391" t="str">
        <f>"1-345-5"</f>
        <v>1-345-5</v>
      </c>
      <c r="F6391" t="s">
        <v>15</v>
      </c>
      <c r="G6391" t="s">
        <v>16</v>
      </c>
      <c r="H6391" t="s">
        <v>17</v>
      </c>
      <c r="I6391">
        <v>0</v>
      </c>
      <c r="J6391">
        <v>0</v>
      </c>
      <c r="K6391">
        <v>1</v>
      </c>
    </row>
    <row r="6392" spans="1:11" x14ac:dyDescent="0.25">
      <c r="A6392" t="str">
        <f>"7992"</f>
        <v>7992</v>
      </c>
      <c r="B6392" t="str">
        <f t="shared" si="416"/>
        <v>1</v>
      </c>
      <c r="C6392" t="str">
        <f t="shared" si="418"/>
        <v>345</v>
      </c>
      <c r="D6392" t="str">
        <f>"18"</f>
        <v>18</v>
      </c>
      <c r="E6392" t="str">
        <f>"1-345-18"</f>
        <v>1-345-18</v>
      </c>
      <c r="F6392" t="s">
        <v>15</v>
      </c>
      <c r="G6392" t="s">
        <v>18</v>
      </c>
      <c r="H6392" t="s">
        <v>19</v>
      </c>
      <c r="I6392">
        <v>0</v>
      </c>
      <c r="J6392">
        <v>0</v>
      </c>
      <c r="K6392">
        <v>1</v>
      </c>
    </row>
    <row r="6393" spans="1:11" x14ac:dyDescent="0.25">
      <c r="A6393" t="str">
        <f>"7993"</f>
        <v>7993</v>
      </c>
      <c r="B6393" t="str">
        <f t="shared" si="416"/>
        <v>1</v>
      </c>
      <c r="C6393" t="str">
        <f t="shared" si="418"/>
        <v>345</v>
      </c>
      <c r="D6393" t="str">
        <f>"13"</f>
        <v>13</v>
      </c>
      <c r="E6393" t="str">
        <f>"1-345-13"</f>
        <v>1-345-13</v>
      </c>
      <c r="F6393" t="s">
        <v>15</v>
      </c>
      <c r="G6393" t="s">
        <v>16</v>
      </c>
      <c r="H6393" t="s">
        <v>17</v>
      </c>
      <c r="I6393">
        <v>0</v>
      </c>
      <c r="J6393">
        <v>0</v>
      </c>
      <c r="K6393">
        <v>1</v>
      </c>
    </row>
    <row r="6394" spans="1:11" x14ac:dyDescent="0.25">
      <c r="A6394" t="str">
        <f>"7994"</f>
        <v>7994</v>
      </c>
      <c r="B6394" t="str">
        <f t="shared" si="416"/>
        <v>1</v>
      </c>
      <c r="C6394" t="str">
        <f t="shared" si="418"/>
        <v>345</v>
      </c>
      <c r="D6394" t="str">
        <f>"19"</f>
        <v>19</v>
      </c>
      <c r="E6394" t="str">
        <f>"1-345-19"</f>
        <v>1-345-19</v>
      </c>
      <c r="F6394" t="s">
        <v>15</v>
      </c>
      <c r="G6394" t="s">
        <v>16</v>
      </c>
      <c r="H6394" t="s">
        <v>17</v>
      </c>
      <c r="I6394">
        <v>1</v>
      </c>
      <c r="J6394">
        <v>0</v>
      </c>
      <c r="K6394">
        <v>0</v>
      </c>
    </row>
    <row r="6395" spans="1:11" x14ac:dyDescent="0.25">
      <c r="A6395" t="str">
        <f>"7996"</f>
        <v>7996</v>
      </c>
      <c r="B6395" t="str">
        <f t="shared" si="416"/>
        <v>1</v>
      </c>
      <c r="C6395" t="str">
        <f t="shared" si="418"/>
        <v>345</v>
      </c>
      <c r="D6395" t="str">
        <f>"20"</f>
        <v>20</v>
      </c>
      <c r="E6395" t="str">
        <f>"1-345-20"</f>
        <v>1-345-20</v>
      </c>
      <c r="F6395" t="s">
        <v>15</v>
      </c>
      <c r="G6395" t="s">
        <v>16</v>
      </c>
      <c r="H6395" t="s">
        <v>17</v>
      </c>
      <c r="I6395">
        <v>1</v>
      </c>
      <c r="J6395">
        <v>0</v>
      </c>
      <c r="K6395">
        <v>0</v>
      </c>
    </row>
    <row r="6396" spans="1:11" x14ac:dyDescent="0.25">
      <c r="A6396" t="str">
        <f>"7997"</f>
        <v>7997</v>
      </c>
      <c r="B6396" t="str">
        <f t="shared" si="416"/>
        <v>1</v>
      </c>
      <c r="C6396" t="str">
        <f t="shared" si="418"/>
        <v>345</v>
      </c>
      <c r="D6396" t="str">
        <f>"1"</f>
        <v>1</v>
      </c>
      <c r="E6396" t="str">
        <f>"1-345-1"</f>
        <v>1-345-1</v>
      </c>
      <c r="F6396" t="s">
        <v>15</v>
      </c>
      <c r="G6396" t="s">
        <v>16</v>
      </c>
      <c r="H6396" t="s">
        <v>17</v>
      </c>
      <c r="I6396">
        <v>1</v>
      </c>
      <c r="J6396">
        <v>0</v>
      </c>
      <c r="K6396">
        <v>0</v>
      </c>
    </row>
    <row r="6397" spans="1:11" x14ac:dyDescent="0.25">
      <c r="A6397" t="str">
        <f>"7998"</f>
        <v>7998</v>
      </c>
      <c r="B6397" t="str">
        <f t="shared" si="416"/>
        <v>1</v>
      </c>
      <c r="C6397" t="str">
        <f t="shared" si="418"/>
        <v>345</v>
      </c>
      <c r="D6397" t="str">
        <f>"21"</f>
        <v>21</v>
      </c>
      <c r="E6397" t="str">
        <f>"1-345-21"</f>
        <v>1-345-21</v>
      </c>
      <c r="F6397" t="s">
        <v>15</v>
      </c>
      <c r="G6397" t="s">
        <v>16</v>
      </c>
      <c r="H6397" t="s">
        <v>17</v>
      </c>
      <c r="I6397">
        <v>0</v>
      </c>
      <c r="J6397">
        <v>0</v>
      </c>
      <c r="K6397">
        <v>1</v>
      </c>
    </row>
    <row r="6398" spans="1:11" x14ac:dyDescent="0.25">
      <c r="A6398" t="str">
        <f>"7999"</f>
        <v>7999</v>
      </c>
      <c r="B6398" t="str">
        <f t="shared" si="416"/>
        <v>1</v>
      </c>
      <c r="C6398" t="str">
        <f t="shared" si="418"/>
        <v>345</v>
      </c>
      <c r="D6398" t="str">
        <f>"10"</f>
        <v>10</v>
      </c>
      <c r="E6398" t="str">
        <f>"1-345-10"</f>
        <v>1-345-10</v>
      </c>
      <c r="F6398" t="s">
        <v>15</v>
      </c>
      <c r="G6398" t="s">
        <v>16</v>
      </c>
      <c r="H6398" t="s">
        <v>17</v>
      </c>
      <c r="I6398">
        <v>0</v>
      </c>
      <c r="J6398">
        <v>0</v>
      </c>
      <c r="K6398">
        <v>1</v>
      </c>
    </row>
    <row r="6399" spans="1:11" x14ac:dyDescent="0.25">
      <c r="A6399" t="str">
        <f>"8000"</f>
        <v>8000</v>
      </c>
      <c r="B6399" t="str">
        <f t="shared" si="416"/>
        <v>1</v>
      </c>
      <c r="C6399" t="str">
        <f t="shared" si="418"/>
        <v>345</v>
      </c>
      <c r="D6399" t="str">
        <f>"22"</f>
        <v>22</v>
      </c>
      <c r="E6399" t="str">
        <f>"1-345-22"</f>
        <v>1-345-22</v>
      </c>
      <c r="F6399" t="s">
        <v>15</v>
      </c>
      <c r="G6399" t="s">
        <v>16</v>
      </c>
      <c r="H6399" t="s">
        <v>17</v>
      </c>
      <c r="I6399">
        <v>0</v>
      </c>
      <c r="J6399">
        <v>0</v>
      </c>
      <c r="K6399">
        <v>1</v>
      </c>
    </row>
    <row r="6400" spans="1:11" x14ac:dyDescent="0.25">
      <c r="A6400" t="str">
        <f>"8001"</f>
        <v>8001</v>
      </c>
      <c r="B6400" t="str">
        <f t="shared" si="416"/>
        <v>1</v>
      </c>
      <c r="C6400" t="str">
        <f t="shared" si="418"/>
        <v>345</v>
      </c>
      <c r="D6400" t="str">
        <f>"11"</f>
        <v>11</v>
      </c>
      <c r="E6400" t="str">
        <f>"1-345-11"</f>
        <v>1-345-11</v>
      </c>
      <c r="F6400" t="s">
        <v>15</v>
      </c>
      <c r="G6400" t="s">
        <v>16</v>
      </c>
      <c r="H6400" t="s">
        <v>17</v>
      </c>
      <c r="I6400">
        <v>0</v>
      </c>
      <c r="J6400">
        <v>0</v>
      </c>
      <c r="K6400">
        <v>1</v>
      </c>
    </row>
    <row r="6401" spans="1:11" x14ac:dyDescent="0.25">
      <c r="A6401" t="str">
        <f>"8002"</f>
        <v>8002</v>
      </c>
      <c r="B6401" t="str">
        <f t="shared" si="416"/>
        <v>1</v>
      </c>
      <c r="C6401" t="str">
        <f t="shared" si="418"/>
        <v>345</v>
      </c>
      <c r="D6401" t="str">
        <f>"25"</f>
        <v>25</v>
      </c>
      <c r="E6401" t="str">
        <f>"1-345-25"</f>
        <v>1-345-25</v>
      </c>
      <c r="F6401" t="s">
        <v>15</v>
      </c>
      <c r="G6401" t="s">
        <v>16</v>
      </c>
      <c r="H6401" t="s">
        <v>17</v>
      </c>
      <c r="I6401">
        <v>0</v>
      </c>
      <c r="J6401">
        <v>1</v>
      </c>
      <c r="K6401">
        <v>0</v>
      </c>
    </row>
    <row r="6402" spans="1:11" x14ac:dyDescent="0.25">
      <c r="A6402" t="str">
        <f>"8003"</f>
        <v>8003</v>
      </c>
      <c r="B6402" t="str">
        <f t="shared" si="416"/>
        <v>1</v>
      </c>
      <c r="C6402" t="str">
        <f t="shared" si="418"/>
        <v>345</v>
      </c>
      <c r="D6402" t="str">
        <f>"14"</f>
        <v>14</v>
      </c>
      <c r="E6402" t="str">
        <f>"1-345-14"</f>
        <v>1-345-14</v>
      </c>
      <c r="F6402" t="s">
        <v>15</v>
      </c>
      <c r="G6402" t="s">
        <v>16</v>
      </c>
      <c r="H6402" t="s">
        <v>17</v>
      </c>
      <c r="I6402">
        <v>0</v>
      </c>
      <c r="J6402">
        <v>0</v>
      </c>
      <c r="K6402">
        <v>1</v>
      </c>
    </row>
    <row r="6403" spans="1:11" x14ac:dyDescent="0.25">
      <c r="A6403" t="str">
        <f>"8004"</f>
        <v>8004</v>
      </c>
      <c r="B6403" t="str">
        <f t="shared" si="416"/>
        <v>1</v>
      </c>
      <c r="C6403" t="str">
        <f t="shared" si="418"/>
        <v>345</v>
      </c>
      <c r="D6403" t="str">
        <f>"12"</f>
        <v>12</v>
      </c>
      <c r="E6403" t="str">
        <f>"1-345-12"</f>
        <v>1-345-12</v>
      </c>
      <c r="F6403" t="s">
        <v>15</v>
      </c>
      <c r="G6403" t="s">
        <v>16</v>
      </c>
      <c r="H6403" t="s">
        <v>17</v>
      </c>
      <c r="I6403">
        <v>0</v>
      </c>
      <c r="J6403">
        <v>0</v>
      </c>
      <c r="K6403">
        <v>1</v>
      </c>
    </row>
    <row r="6404" spans="1:11" x14ac:dyDescent="0.25">
      <c r="A6404" t="str">
        <f>"8005"</f>
        <v>8005</v>
      </c>
      <c r="B6404" t="str">
        <f t="shared" si="416"/>
        <v>1</v>
      </c>
      <c r="C6404" t="str">
        <f t="shared" si="418"/>
        <v>345</v>
      </c>
      <c r="D6404" t="str">
        <f>"8"</f>
        <v>8</v>
      </c>
      <c r="E6404" t="str">
        <f>"1-345-8"</f>
        <v>1-345-8</v>
      </c>
      <c r="F6404" t="s">
        <v>15</v>
      </c>
      <c r="G6404" t="s">
        <v>16</v>
      </c>
      <c r="H6404" t="s">
        <v>17</v>
      </c>
      <c r="I6404">
        <v>0</v>
      </c>
      <c r="J6404">
        <v>0</v>
      </c>
      <c r="K6404">
        <v>1</v>
      </c>
    </row>
    <row r="6405" spans="1:11" x14ac:dyDescent="0.25">
      <c r="A6405" t="str">
        <f>"8006"</f>
        <v>8006</v>
      </c>
      <c r="B6405" t="str">
        <f t="shared" si="416"/>
        <v>1</v>
      </c>
      <c r="C6405" t="str">
        <f t="shared" si="418"/>
        <v>345</v>
      </c>
      <c r="D6405" t="str">
        <f>"6"</f>
        <v>6</v>
      </c>
      <c r="E6405" t="str">
        <f>"1-345-6"</f>
        <v>1-345-6</v>
      </c>
      <c r="F6405" t="s">
        <v>15</v>
      </c>
      <c r="G6405" t="s">
        <v>16</v>
      </c>
      <c r="H6405" t="s">
        <v>17</v>
      </c>
      <c r="I6405">
        <v>1</v>
      </c>
      <c r="J6405">
        <v>0</v>
      </c>
      <c r="K6405">
        <v>0</v>
      </c>
    </row>
    <row r="6406" spans="1:11" x14ac:dyDescent="0.25">
      <c r="A6406" t="str">
        <f>"8007"</f>
        <v>8007</v>
      </c>
      <c r="B6406" t="str">
        <f t="shared" si="416"/>
        <v>1</v>
      </c>
      <c r="C6406" t="str">
        <f t="shared" si="418"/>
        <v>345</v>
      </c>
      <c r="D6406" t="str">
        <f>"9"</f>
        <v>9</v>
      </c>
      <c r="E6406" t="str">
        <f>"1-345-9"</f>
        <v>1-345-9</v>
      </c>
      <c r="F6406" t="s">
        <v>15</v>
      </c>
      <c r="G6406" t="s">
        <v>16</v>
      </c>
      <c r="H6406" t="s">
        <v>17</v>
      </c>
      <c r="I6406">
        <v>0</v>
      </c>
      <c r="J6406">
        <v>0</v>
      </c>
      <c r="K6406">
        <v>1</v>
      </c>
    </row>
    <row r="6407" spans="1:11" x14ac:dyDescent="0.25">
      <c r="A6407" t="str">
        <f>"8008"</f>
        <v>8008</v>
      </c>
      <c r="B6407" t="str">
        <f t="shared" si="416"/>
        <v>1</v>
      </c>
      <c r="C6407" t="str">
        <f t="shared" si="418"/>
        <v>345</v>
      </c>
      <c r="D6407" t="str">
        <f>"7"</f>
        <v>7</v>
      </c>
      <c r="E6407" t="str">
        <f>"1-345-7"</f>
        <v>1-345-7</v>
      </c>
      <c r="F6407" t="s">
        <v>15</v>
      </c>
      <c r="G6407" t="s">
        <v>16</v>
      </c>
      <c r="H6407" t="s">
        <v>17</v>
      </c>
      <c r="I6407">
        <v>0</v>
      </c>
      <c r="J6407">
        <v>1</v>
      </c>
      <c r="K6407">
        <v>0</v>
      </c>
    </row>
    <row r="6408" spans="1:11" x14ac:dyDescent="0.25">
      <c r="A6408" t="str">
        <f>"8010"</f>
        <v>8010</v>
      </c>
      <c r="B6408" t="str">
        <f t="shared" si="416"/>
        <v>1</v>
      </c>
      <c r="C6408" t="str">
        <f t="shared" ref="C6408:C6420" si="419">"346"</f>
        <v>346</v>
      </c>
      <c r="D6408" t="str">
        <f>"3"</f>
        <v>3</v>
      </c>
      <c r="E6408" t="str">
        <f>"1-346-3"</f>
        <v>1-346-3</v>
      </c>
      <c r="F6408" t="s">
        <v>15</v>
      </c>
      <c r="G6408" t="s">
        <v>16</v>
      </c>
      <c r="H6408" t="s">
        <v>17</v>
      </c>
      <c r="I6408">
        <v>0</v>
      </c>
      <c r="J6408">
        <v>0</v>
      </c>
      <c r="K6408">
        <v>1</v>
      </c>
    </row>
    <row r="6409" spans="1:11" x14ac:dyDescent="0.25">
      <c r="A6409" t="str">
        <f>"8012"</f>
        <v>8012</v>
      </c>
      <c r="B6409" t="str">
        <f t="shared" si="416"/>
        <v>1</v>
      </c>
      <c r="C6409" t="str">
        <f t="shared" si="419"/>
        <v>346</v>
      </c>
      <c r="D6409" t="str">
        <f>"6"</f>
        <v>6</v>
      </c>
      <c r="E6409" t="str">
        <f>"1-346-6"</f>
        <v>1-346-6</v>
      </c>
      <c r="F6409" t="s">
        <v>15</v>
      </c>
      <c r="G6409" t="s">
        <v>18</v>
      </c>
      <c r="H6409" t="s">
        <v>19</v>
      </c>
      <c r="I6409">
        <v>1</v>
      </c>
      <c r="J6409">
        <v>0</v>
      </c>
      <c r="K6409">
        <v>0</v>
      </c>
    </row>
    <row r="6410" spans="1:11" x14ac:dyDescent="0.25">
      <c r="A6410" t="str">
        <f>"8013"</f>
        <v>8013</v>
      </c>
      <c r="B6410" t="str">
        <f t="shared" si="416"/>
        <v>1</v>
      </c>
      <c r="C6410" t="str">
        <f t="shared" si="419"/>
        <v>346</v>
      </c>
      <c r="D6410" t="str">
        <f>"17"</f>
        <v>17</v>
      </c>
      <c r="E6410" t="str">
        <f>"1-346-17"</f>
        <v>1-346-17</v>
      </c>
      <c r="F6410" t="s">
        <v>15</v>
      </c>
      <c r="G6410" t="s">
        <v>20</v>
      </c>
      <c r="H6410" t="s">
        <v>21</v>
      </c>
      <c r="I6410">
        <v>0</v>
      </c>
      <c r="J6410">
        <v>1</v>
      </c>
      <c r="K6410">
        <v>0</v>
      </c>
    </row>
    <row r="6411" spans="1:11" x14ac:dyDescent="0.25">
      <c r="A6411" t="str">
        <f>"8014"</f>
        <v>8014</v>
      </c>
      <c r="B6411" t="str">
        <f t="shared" si="416"/>
        <v>1</v>
      </c>
      <c r="C6411" t="str">
        <f t="shared" si="419"/>
        <v>346</v>
      </c>
      <c r="D6411" t="str">
        <f>"4"</f>
        <v>4</v>
      </c>
      <c r="E6411" t="str">
        <f>"1-346-4"</f>
        <v>1-346-4</v>
      </c>
      <c r="F6411" t="s">
        <v>15</v>
      </c>
      <c r="G6411" t="s">
        <v>16</v>
      </c>
      <c r="H6411" t="s">
        <v>17</v>
      </c>
      <c r="I6411">
        <v>0</v>
      </c>
      <c r="J6411">
        <v>1</v>
      </c>
      <c r="K6411">
        <v>0</v>
      </c>
    </row>
    <row r="6412" spans="1:11" x14ac:dyDescent="0.25">
      <c r="A6412" t="str">
        <f>"8015"</f>
        <v>8015</v>
      </c>
      <c r="B6412" t="str">
        <f t="shared" si="416"/>
        <v>1</v>
      </c>
      <c r="C6412" t="str">
        <f t="shared" si="419"/>
        <v>346</v>
      </c>
      <c r="D6412" t="str">
        <f>"18"</f>
        <v>18</v>
      </c>
      <c r="E6412" t="str">
        <f>"1-346-18"</f>
        <v>1-346-18</v>
      </c>
      <c r="F6412" t="s">
        <v>15</v>
      </c>
      <c r="G6412" t="s">
        <v>20</v>
      </c>
      <c r="H6412" t="s">
        <v>21</v>
      </c>
      <c r="I6412">
        <v>0</v>
      </c>
      <c r="J6412">
        <v>1</v>
      </c>
      <c r="K6412">
        <v>0</v>
      </c>
    </row>
    <row r="6413" spans="1:11" x14ac:dyDescent="0.25">
      <c r="A6413" t="str">
        <f>"8016"</f>
        <v>8016</v>
      </c>
      <c r="B6413" t="str">
        <f t="shared" si="416"/>
        <v>1</v>
      </c>
      <c r="C6413" t="str">
        <f t="shared" si="419"/>
        <v>346</v>
      </c>
      <c r="D6413" t="str">
        <f>"7"</f>
        <v>7</v>
      </c>
      <c r="E6413" t="str">
        <f>"1-346-7"</f>
        <v>1-346-7</v>
      </c>
      <c r="F6413" t="s">
        <v>15</v>
      </c>
      <c r="G6413" t="s">
        <v>18</v>
      </c>
      <c r="H6413" t="s">
        <v>19</v>
      </c>
      <c r="I6413">
        <v>0</v>
      </c>
      <c r="J6413">
        <v>1</v>
      </c>
      <c r="K6413">
        <v>0</v>
      </c>
    </row>
    <row r="6414" spans="1:11" x14ac:dyDescent="0.25">
      <c r="A6414" t="str">
        <f>"8017"</f>
        <v>8017</v>
      </c>
      <c r="B6414" t="str">
        <f t="shared" si="416"/>
        <v>1</v>
      </c>
      <c r="C6414" t="str">
        <f t="shared" si="419"/>
        <v>346</v>
      </c>
      <c r="D6414" t="str">
        <f>"19"</f>
        <v>19</v>
      </c>
      <c r="E6414" t="str">
        <f>"1-346-19"</f>
        <v>1-346-19</v>
      </c>
      <c r="F6414" t="s">
        <v>15</v>
      </c>
      <c r="G6414" t="s">
        <v>20</v>
      </c>
      <c r="H6414" t="s">
        <v>21</v>
      </c>
      <c r="I6414">
        <v>0</v>
      </c>
      <c r="J6414">
        <v>1</v>
      </c>
      <c r="K6414">
        <v>0</v>
      </c>
    </row>
    <row r="6415" spans="1:11" x14ac:dyDescent="0.25">
      <c r="A6415" t="str">
        <f>"8022"</f>
        <v>8022</v>
      </c>
      <c r="B6415" t="str">
        <f t="shared" si="416"/>
        <v>1</v>
      </c>
      <c r="C6415" t="str">
        <f t="shared" si="419"/>
        <v>346</v>
      </c>
      <c r="D6415" t="str">
        <f>"1"</f>
        <v>1</v>
      </c>
      <c r="E6415" t="str">
        <f>"1-346-1"</f>
        <v>1-346-1</v>
      </c>
      <c r="F6415" t="s">
        <v>15</v>
      </c>
      <c r="G6415" t="s">
        <v>16</v>
      </c>
      <c r="H6415" t="s">
        <v>17</v>
      </c>
      <c r="I6415">
        <v>0</v>
      </c>
      <c r="J6415">
        <v>1</v>
      </c>
      <c r="K6415">
        <v>0</v>
      </c>
    </row>
    <row r="6416" spans="1:11" x14ac:dyDescent="0.25">
      <c r="A6416" t="str">
        <f>"8023"</f>
        <v>8023</v>
      </c>
      <c r="B6416" t="str">
        <f t="shared" si="416"/>
        <v>1</v>
      </c>
      <c r="C6416" t="str">
        <f t="shared" si="419"/>
        <v>346</v>
      </c>
      <c r="D6416" t="str">
        <f>"2"</f>
        <v>2</v>
      </c>
      <c r="E6416" t="str">
        <f>"1-346-2"</f>
        <v>1-346-2</v>
      </c>
      <c r="F6416" t="s">
        <v>15</v>
      </c>
      <c r="G6416" t="s">
        <v>16</v>
      </c>
      <c r="H6416" t="s">
        <v>17</v>
      </c>
      <c r="I6416">
        <v>1</v>
      </c>
      <c r="J6416">
        <v>0</v>
      </c>
      <c r="K6416">
        <v>0</v>
      </c>
    </row>
    <row r="6417" spans="1:11" x14ac:dyDescent="0.25">
      <c r="A6417" t="str">
        <f>"8024"</f>
        <v>8024</v>
      </c>
      <c r="B6417" t="str">
        <f t="shared" si="416"/>
        <v>1</v>
      </c>
      <c r="C6417" t="str">
        <f t="shared" si="419"/>
        <v>346</v>
      </c>
      <c r="D6417" t="str">
        <f>"5"</f>
        <v>5</v>
      </c>
      <c r="E6417" t="str">
        <f>"1-346-5"</f>
        <v>1-346-5</v>
      </c>
      <c r="F6417" t="s">
        <v>15</v>
      </c>
      <c r="G6417" t="s">
        <v>18</v>
      </c>
      <c r="H6417" t="s">
        <v>19</v>
      </c>
      <c r="I6417">
        <v>0</v>
      </c>
      <c r="J6417">
        <v>1</v>
      </c>
      <c r="K6417">
        <v>0</v>
      </c>
    </row>
    <row r="6418" spans="1:11" x14ac:dyDescent="0.25">
      <c r="A6418" t="str">
        <f>"8025"</f>
        <v>8025</v>
      </c>
      <c r="B6418" t="str">
        <f t="shared" si="416"/>
        <v>1</v>
      </c>
      <c r="C6418" t="str">
        <f t="shared" si="419"/>
        <v>346</v>
      </c>
      <c r="D6418" t="str">
        <f>"11"</f>
        <v>11</v>
      </c>
      <c r="E6418" t="str">
        <f>"1-346-11"</f>
        <v>1-346-11</v>
      </c>
      <c r="F6418" t="s">
        <v>15</v>
      </c>
      <c r="G6418" t="s">
        <v>18</v>
      </c>
      <c r="H6418" t="s">
        <v>19</v>
      </c>
      <c r="I6418">
        <v>0</v>
      </c>
      <c r="J6418">
        <v>0</v>
      </c>
      <c r="K6418">
        <v>1</v>
      </c>
    </row>
    <row r="6419" spans="1:11" x14ac:dyDescent="0.25">
      <c r="A6419" t="str">
        <f>"8026"</f>
        <v>8026</v>
      </c>
      <c r="B6419" t="str">
        <f t="shared" ref="B6419:B6461" si="420">"1"</f>
        <v>1</v>
      </c>
      <c r="C6419" t="str">
        <f t="shared" si="419"/>
        <v>346</v>
      </c>
      <c r="D6419" t="str">
        <f>"13"</f>
        <v>13</v>
      </c>
      <c r="E6419" t="str">
        <f>"1-346-13"</f>
        <v>1-346-13</v>
      </c>
      <c r="F6419" t="s">
        <v>15</v>
      </c>
      <c r="G6419" t="s">
        <v>16</v>
      </c>
      <c r="H6419" t="s">
        <v>17</v>
      </c>
      <c r="I6419">
        <v>0</v>
      </c>
      <c r="J6419">
        <v>0</v>
      </c>
      <c r="K6419">
        <v>1</v>
      </c>
    </row>
    <row r="6420" spans="1:11" x14ac:dyDescent="0.25">
      <c r="A6420" t="str">
        <f>"8027"</f>
        <v>8027</v>
      </c>
      <c r="B6420" t="str">
        <f t="shared" si="420"/>
        <v>1</v>
      </c>
      <c r="C6420" t="str">
        <f t="shared" si="419"/>
        <v>346</v>
      </c>
      <c r="D6420" t="str">
        <f>"12"</f>
        <v>12</v>
      </c>
      <c r="E6420" t="str">
        <f>"1-346-12"</f>
        <v>1-346-12</v>
      </c>
      <c r="F6420" t="s">
        <v>15</v>
      </c>
      <c r="G6420" t="s">
        <v>16</v>
      </c>
      <c r="H6420" t="s">
        <v>17</v>
      </c>
      <c r="I6420">
        <v>0</v>
      </c>
      <c r="J6420">
        <v>0</v>
      </c>
      <c r="K6420">
        <v>1</v>
      </c>
    </row>
    <row r="6421" spans="1:11" x14ac:dyDescent="0.25">
      <c r="A6421" t="str">
        <f>"8033"</f>
        <v>8033</v>
      </c>
      <c r="B6421" t="str">
        <f t="shared" si="420"/>
        <v>1</v>
      </c>
      <c r="C6421" t="str">
        <f t="shared" ref="C6421:C6429" si="421">"347"</f>
        <v>347</v>
      </c>
      <c r="D6421" t="str">
        <f>"4"</f>
        <v>4</v>
      </c>
      <c r="E6421" t="str">
        <f>"1-347-4"</f>
        <v>1-347-4</v>
      </c>
      <c r="F6421" t="s">
        <v>15</v>
      </c>
      <c r="G6421" t="s">
        <v>16</v>
      </c>
      <c r="H6421" t="s">
        <v>17</v>
      </c>
      <c r="I6421">
        <v>0</v>
      </c>
      <c r="J6421">
        <v>0</v>
      </c>
      <c r="K6421">
        <v>1</v>
      </c>
    </row>
    <row r="6422" spans="1:11" x14ac:dyDescent="0.25">
      <c r="A6422" t="str">
        <f>"8037"</f>
        <v>8037</v>
      </c>
      <c r="B6422" t="str">
        <f t="shared" si="420"/>
        <v>1</v>
      </c>
      <c r="C6422" t="str">
        <f t="shared" si="421"/>
        <v>347</v>
      </c>
      <c r="D6422" t="str">
        <f>"5"</f>
        <v>5</v>
      </c>
      <c r="E6422" t="str">
        <f>"1-347-5"</f>
        <v>1-347-5</v>
      </c>
      <c r="F6422" t="s">
        <v>15</v>
      </c>
      <c r="G6422" t="s">
        <v>16</v>
      </c>
      <c r="H6422" t="s">
        <v>17</v>
      </c>
      <c r="I6422">
        <v>1</v>
      </c>
      <c r="J6422">
        <v>0</v>
      </c>
      <c r="K6422">
        <v>0</v>
      </c>
    </row>
    <row r="6423" spans="1:11" x14ac:dyDescent="0.25">
      <c r="A6423" t="str">
        <f>"8045"</f>
        <v>8045</v>
      </c>
      <c r="B6423" t="str">
        <f t="shared" si="420"/>
        <v>1</v>
      </c>
      <c r="C6423" t="str">
        <f t="shared" si="421"/>
        <v>347</v>
      </c>
      <c r="D6423" t="str">
        <f>"2"</f>
        <v>2</v>
      </c>
      <c r="E6423" t="str">
        <f>"1-347-2"</f>
        <v>1-347-2</v>
      </c>
      <c r="F6423" t="s">
        <v>15</v>
      </c>
      <c r="G6423" t="s">
        <v>16</v>
      </c>
      <c r="H6423" t="s">
        <v>17</v>
      </c>
      <c r="I6423">
        <v>0</v>
      </c>
      <c r="J6423">
        <v>0</v>
      </c>
      <c r="K6423">
        <v>1</v>
      </c>
    </row>
    <row r="6424" spans="1:11" x14ac:dyDescent="0.25">
      <c r="A6424" t="str">
        <f>"8047"</f>
        <v>8047</v>
      </c>
      <c r="B6424" t="str">
        <f t="shared" si="420"/>
        <v>1</v>
      </c>
      <c r="C6424" t="str">
        <f t="shared" si="421"/>
        <v>347</v>
      </c>
      <c r="D6424" t="str">
        <f>"9"</f>
        <v>9</v>
      </c>
      <c r="E6424" t="str">
        <f>"1-347-9"</f>
        <v>1-347-9</v>
      </c>
      <c r="F6424" t="s">
        <v>15</v>
      </c>
      <c r="G6424" t="s">
        <v>16</v>
      </c>
      <c r="H6424" t="s">
        <v>17</v>
      </c>
      <c r="I6424">
        <v>1</v>
      </c>
      <c r="J6424">
        <v>0</v>
      </c>
      <c r="K6424">
        <v>0</v>
      </c>
    </row>
    <row r="6425" spans="1:11" x14ac:dyDescent="0.25">
      <c r="A6425" t="str">
        <f>"8049"</f>
        <v>8049</v>
      </c>
      <c r="B6425" t="str">
        <f t="shared" si="420"/>
        <v>1</v>
      </c>
      <c r="C6425" t="str">
        <f t="shared" si="421"/>
        <v>347</v>
      </c>
      <c r="D6425" t="str">
        <f>"3"</f>
        <v>3</v>
      </c>
      <c r="E6425" t="str">
        <f>"1-347-3"</f>
        <v>1-347-3</v>
      </c>
      <c r="F6425" t="s">
        <v>15</v>
      </c>
      <c r="G6425" t="s">
        <v>16</v>
      </c>
      <c r="H6425" t="s">
        <v>17</v>
      </c>
      <c r="I6425">
        <v>0</v>
      </c>
      <c r="J6425">
        <v>0</v>
      </c>
      <c r="K6425">
        <v>1</v>
      </c>
    </row>
    <row r="6426" spans="1:11" x14ac:dyDescent="0.25">
      <c r="A6426" t="str">
        <f>"8051"</f>
        <v>8051</v>
      </c>
      <c r="B6426" t="str">
        <f t="shared" si="420"/>
        <v>1</v>
      </c>
      <c r="C6426" t="str">
        <f t="shared" si="421"/>
        <v>347</v>
      </c>
      <c r="D6426" t="str">
        <f>"7"</f>
        <v>7</v>
      </c>
      <c r="E6426" t="str">
        <f>"1-347-7"</f>
        <v>1-347-7</v>
      </c>
      <c r="F6426" t="s">
        <v>15</v>
      </c>
      <c r="G6426" t="s">
        <v>16</v>
      </c>
      <c r="H6426" t="s">
        <v>17</v>
      </c>
      <c r="I6426">
        <v>0</v>
      </c>
      <c r="J6426">
        <v>0</v>
      </c>
      <c r="K6426">
        <v>1</v>
      </c>
    </row>
    <row r="6427" spans="1:11" x14ac:dyDescent="0.25">
      <c r="A6427" t="str">
        <f>"8053"</f>
        <v>8053</v>
      </c>
      <c r="B6427" t="str">
        <f t="shared" si="420"/>
        <v>1</v>
      </c>
      <c r="C6427" t="str">
        <f t="shared" si="421"/>
        <v>347</v>
      </c>
      <c r="D6427" t="str">
        <f>"8"</f>
        <v>8</v>
      </c>
      <c r="E6427" t="str">
        <f>"1-347-8"</f>
        <v>1-347-8</v>
      </c>
      <c r="F6427" t="s">
        <v>15</v>
      </c>
      <c r="G6427" t="s">
        <v>16</v>
      </c>
      <c r="H6427" t="s">
        <v>17</v>
      </c>
      <c r="I6427">
        <v>1</v>
      </c>
      <c r="J6427">
        <v>0</v>
      </c>
      <c r="K6427">
        <v>0</v>
      </c>
    </row>
    <row r="6428" spans="1:11" x14ac:dyDescent="0.25">
      <c r="A6428" t="str">
        <f>"8055"</f>
        <v>8055</v>
      </c>
      <c r="B6428" t="str">
        <f t="shared" si="420"/>
        <v>1</v>
      </c>
      <c r="C6428" t="str">
        <f t="shared" si="421"/>
        <v>347</v>
      </c>
      <c r="D6428" t="str">
        <f>"6"</f>
        <v>6</v>
      </c>
      <c r="E6428" t="str">
        <f>"1-347-6"</f>
        <v>1-347-6</v>
      </c>
      <c r="F6428" t="s">
        <v>15</v>
      </c>
      <c r="G6428" t="s">
        <v>16</v>
      </c>
      <c r="H6428" t="s">
        <v>17</v>
      </c>
      <c r="I6428">
        <v>1</v>
      </c>
      <c r="J6428">
        <v>0</v>
      </c>
      <c r="K6428">
        <v>0</v>
      </c>
    </row>
    <row r="6429" spans="1:11" x14ac:dyDescent="0.25">
      <c r="A6429" t="str">
        <f>"8056"</f>
        <v>8056</v>
      </c>
      <c r="B6429" t="str">
        <f t="shared" si="420"/>
        <v>1</v>
      </c>
      <c r="C6429" t="str">
        <f t="shared" si="421"/>
        <v>347</v>
      </c>
      <c r="D6429" t="str">
        <f>"1"</f>
        <v>1</v>
      </c>
      <c r="E6429" t="str">
        <f>"1-347-1"</f>
        <v>1-347-1</v>
      </c>
      <c r="F6429" t="s">
        <v>15</v>
      </c>
      <c r="G6429" t="s">
        <v>16</v>
      </c>
      <c r="H6429" t="s">
        <v>17</v>
      </c>
      <c r="I6429">
        <v>0</v>
      </c>
      <c r="J6429">
        <v>0</v>
      </c>
      <c r="K6429">
        <v>1</v>
      </c>
    </row>
    <row r="6430" spans="1:11" x14ac:dyDescent="0.25">
      <c r="A6430" t="str">
        <f>"8057"</f>
        <v>8057</v>
      </c>
      <c r="B6430" t="str">
        <f t="shared" si="420"/>
        <v>1</v>
      </c>
      <c r="C6430" t="str">
        <f t="shared" ref="C6430:C6459" si="422">"348"</f>
        <v>348</v>
      </c>
      <c r="D6430" t="str">
        <f>"19"</f>
        <v>19</v>
      </c>
      <c r="E6430" t="str">
        <f>"1-348-19"</f>
        <v>1-348-19</v>
      </c>
      <c r="F6430" t="s">
        <v>15</v>
      </c>
      <c r="G6430" t="s">
        <v>20</v>
      </c>
      <c r="H6430" t="s">
        <v>21</v>
      </c>
      <c r="I6430">
        <v>0</v>
      </c>
      <c r="J6430">
        <v>0</v>
      </c>
      <c r="K6430">
        <v>1</v>
      </c>
    </row>
    <row r="6431" spans="1:11" x14ac:dyDescent="0.25">
      <c r="A6431" t="str">
        <f>"8058"</f>
        <v>8058</v>
      </c>
      <c r="B6431" t="str">
        <f t="shared" si="420"/>
        <v>1</v>
      </c>
      <c r="C6431" t="str">
        <f t="shared" si="422"/>
        <v>348</v>
      </c>
      <c r="D6431" t="str">
        <f>"15"</f>
        <v>15</v>
      </c>
      <c r="E6431" t="str">
        <f>"1-348-15"</f>
        <v>1-348-15</v>
      </c>
      <c r="F6431" t="s">
        <v>15</v>
      </c>
      <c r="G6431" t="s">
        <v>20</v>
      </c>
      <c r="H6431" t="s">
        <v>21</v>
      </c>
      <c r="I6431">
        <v>1</v>
      </c>
      <c r="J6431">
        <v>0</v>
      </c>
      <c r="K6431">
        <v>0</v>
      </c>
    </row>
    <row r="6432" spans="1:11" x14ac:dyDescent="0.25">
      <c r="A6432" t="str">
        <f>"8059"</f>
        <v>8059</v>
      </c>
      <c r="B6432" t="str">
        <f t="shared" si="420"/>
        <v>1</v>
      </c>
      <c r="C6432" t="str">
        <f t="shared" si="422"/>
        <v>348</v>
      </c>
      <c r="D6432" t="str">
        <f>"1"</f>
        <v>1</v>
      </c>
      <c r="E6432" t="str">
        <f>"1-348-1"</f>
        <v>1-348-1</v>
      </c>
      <c r="F6432" t="s">
        <v>15</v>
      </c>
      <c r="G6432" t="s">
        <v>20</v>
      </c>
      <c r="H6432" t="s">
        <v>21</v>
      </c>
      <c r="I6432">
        <v>1</v>
      </c>
      <c r="J6432">
        <v>0</v>
      </c>
      <c r="K6432">
        <v>0</v>
      </c>
    </row>
    <row r="6433" spans="1:11" x14ac:dyDescent="0.25">
      <c r="A6433" t="str">
        <f>"8060"</f>
        <v>8060</v>
      </c>
      <c r="B6433" t="str">
        <f t="shared" si="420"/>
        <v>1</v>
      </c>
      <c r="C6433" t="str">
        <f t="shared" si="422"/>
        <v>348</v>
      </c>
      <c r="D6433" t="str">
        <f>"22"</f>
        <v>22</v>
      </c>
      <c r="E6433" t="str">
        <f>"1-348-22"</f>
        <v>1-348-22</v>
      </c>
      <c r="F6433" t="s">
        <v>15</v>
      </c>
      <c r="G6433" t="s">
        <v>20</v>
      </c>
      <c r="H6433" t="s">
        <v>21</v>
      </c>
      <c r="I6433">
        <v>0</v>
      </c>
      <c r="J6433">
        <v>1</v>
      </c>
      <c r="K6433">
        <v>0</v>
      </c>
    </row>
    <row r="6434" spans="1:11" x14ac:dyDescent="0.25">
      <c r="A6434" t="str">
        <f>"8061"</f>
        <v>8061</v>
      </c>
      <c r="B6434" t="str">
        <f t="shared" si="420"/>
        <v>1</v>
      </c>
      <c r="C6434" t="str">
        <f t="shared" si="422"/>
        <v>348</v>
      </c>
      <c r="D6434" t="str">
        <f>"16"</f>
        <v>16</v>
      </c>
      <c r="E6434" t="str">
        <f>"1-348-16"</f>
        <v>1-348-16</v>
      </c>
      <c r="F6434" t="s">
        <v>15</v>
      </c>
      <c r="G6434" t="s">
        <v>20</v>
      </c>
      <c r="H6434" t="s">
        <v>21</v>
      </c>
      <c r="I6434">
        <v>0</v>
      </c>
      <c r="J6434">
        <v>0</v>
      </c>
      <c r="K6434">
        <v>1</v>
      </c>
    </row>
    <row r="6435" spans="1:11" x14ac:dyDescent="0.25">
      <c r="A6435" t="str">
        <f>"8062"</f>
        <v>8062</v>
      </c>
      <c r="B6435" t="str">
        <f t="shared" si="420"/>
        <v>1</v>
      </c>
      <c r="C6435" t="str">
        <f t="shared" si="422"/>
        <v>348</v>
      </c>
      <c r="D6435" t="str">
        <f>"31"</f>
        <v>31</v>
      </c>
      <c r="E6435" t="str">
        <f>"1-348-31"</f>
        <v>1-348-31</v>
      </c>
      <c r="F6435" t="s">
        <v>15</v>
      </c>
      <c r="G6435" t="s">
        <v>20</v>
      </c>
      <c r="H6435" t="s">
        <v>21</v>
      </c>
      <c r="I6435">
        <v>1</v>
      </c>
      <c r="J6435">
        <v>0</v>
      </c>
      <c r="K6435">
        <v>0</v>
      </c>
    </row>
    <row r="6436" spans="1:11" x14ac:dyDescent="0.25">
      <c r="A6436" t="str">
        <f>"8063"</f>
        <v>8063</v>
      </c>
      <c r="B6436" t="str">
        <f t="shared" si="420"/>
        <v>1</v>
      </c>
      <c r="C6436" t="str">
        <f t="shared" si="422"/>
        <v>348</v>
      </c>
      <c r="D6436" t="str">
        <f>"17"</f>
        <v>17</v>
      </c>
      <c r="E6436" t="str">
        <f>"1-348-17"</f>
        <v>1-348-17</v>
      </c>
      <c r="F6436" t="s">
        <v>15</v>
      </c>
      <c r="G6436" t="s">
        <v>20</v>
      </c>
      <c r="H6436" t="s">
        <v>21</v>
      </c>
      <c r="I6436">
        <v>0</v>
      </c>
      <c r="J6436">
        <v>0</v>
      </c>
      <c r="K6436">
        <v>1</v>
      </c>
    </row>
    <row r="6437" spans="1:11" x14ac:dyDescent="0.25">
      <c r="A6437" t="str">
        <f>"8064"</f>
        <v>8064</v>
      </c>
      <c r="B6437" t="str">
        <f t="shared" si="420"/>
        <v>1</v>
      </c>
      <c r="C6437" t="str">
        <f t="shared" si="422"/>
        <v>348</v>
      </c>
      <c r="D6437" t="str">
        <f>"6"</f>
        <v>6</v>
      </c>
      <c r="E6437" t="str">
        <f>"1-348-6"</f>
        <v>1-348-6</v>
      </c>
      <c r="F6437" t="s">
        <v>15</v>
      </c>
      <c r="G6437" t="s">
        <v>20</v>
      </c>
      <c r="H6437" t="s">
        <v>21</v>
      </c>
      <c r="I6437">
        <v>0</v>
      </c>
      <c r="J6437">
        <v>0</v>
      </c>
      <c r="K6437">
        <v>1</v>
      </c>
    </row>
    <row r="6438" spans="1:11" x14ac:dyDescent="0.25">
      <c r="A6438" t="str">
        <f>"8065"</f>
        <v>8065</v>
      </c>
      <c r="B6438" t="str">
        <f t="shared" si="420"/>
        <v>1</v>
      </c>
      <c r="C6438" t="str">
        <f t="shared" si="422"/>
        <v>348</v>
      </c>
      <c r="D6438" t="str">
        <f>"18"</f>
        <v>18</v>
      </c>
      <c r="E6438" t="str">
        <f>"1-348-18"</f>
        <v>1-348-18</v>
      </c>
      <c r="F6438" t="s">
        <v>15</v>
      </c>
      <c r="G6438" t="s">
        <v>20</v>
      </c>
      <c r="H6438" t="s">
        <v>21</v>
      </c>
      <c r="I6438">
        <v>1</v>
      </c>
      <c r="J6438">
        <v>0</v>
      </c>
      <c r="K6438">
        <v>0</v>
      </c>
    </row>
    <row r="6439" spans="1:11" x14ac:dyDescent="0.25">
      <c r="A6439" t="str">
        <f>"8067"</f>
        <v>8067</v>
      </c>
      <c r="B6439" t="str">
        <f t="shared" si="420"/>
        <v>1</v>
      </c>
      <c r="C6439" t="str">
        <f t="shared" si="422"/>
        <v>348</v>
      </c>
      <c r="D6439" t="str">
        <f>"7"</f>
        <v>7</v>
      </c>
      <c r="E6439" t="str">
        <f>"1-348-7"</f>
        <v>1-348-7</v>
      </c>
      <c r="F6439" t="s">
        <v>15</v>
      </c>
      <c r="G6439" t="s">
        <v>20</v>
      </c>
      <c r="H6439" t="s">
        <v>21</v>
      </c>
      <c r="I6439">
        <v>0</v>
      </c>
      <c r="J6439">
        <v>0</v>
      </c>
      <c r="K6439">
        <v>1</v>
      </c>
    </row>
    <row r="6440" spans="1:11" x14ac:dyDescent="0.25">
      <c r="A6440" t="str">
        <f>"8068"</f>
        <v>8068</v>
      </c>
      <c r="B6440" t="str">
        <f t="shared" si="420"/>
        <v>1</v>
      </c>
      <c r="C6440" t="str">
        <f t="shared" si="422"/>
        <v>348</v>
      </c>
      <c r="D6440" t="str">
        <f>"21"</f>
        <v>21</v>
      </c>
      <c r="E6440" t="str">
        <f>"1-348-21"</f>
        <v>1-348-21</v>
      </c>
      <c r="F6440" t="s">
        <v>15</v>
      </c>
      <c r="G6440" t="s">
        <v>20</v>
      </c>
      <c r="H6440" t="s">
        <v>21</v>
      </c>
      <c r="I6440">
        <v>0</v>
      </c>
      <c r="J6440">
        <v>1</v>
      </c>
      <c r="K6440">
        <v>0</v>
      </c>
    </row>
    <row r="6441" spans="1:11" x14ac:dyDescent="0.25">
      <c r="A6441" t="str">
        <f>"8069"</f>
        <v>8069</v>
      </c>
      <c r="B6441" t="str">
        <f t="shared" si="420"/>
        <v>1</v>
      </c>
      <c r="C6441" t="str">
        <f t="shared" si="422"/>
        <v>348</v>
      </c>
      <c r="D6441" t="str">
        <f>"14"</f>
        <v>14</v>
      </c>
      <c r="E6441" t="str">
        <f>"1-348-14"</f>
        <v>1-348-14</v>
      </c>
      <c r="F6441" t="s">
        <v>15</v>
      </c>
      <c r="G6441" t="s">
        <v>20</v>
      </c>
      <c r="H6441" t="s">
        <v>21</v>
      </c>
      <c r="I6441">
        <v>1</v>
      </c>
      <c r="J6441">
        <v>0</v>
      </c>
      <c r="K6441">
        <v>0</v>
      </c>
    </row>
    <row r="6442" spans="1:11" x14ac:dyDescent="0.25">
      <c r="A6442" t="str">
        <f>"8070"</f>
        <v>8070</v>
      </c>
      <c r="B6442" t="str">
        <f t="shared" si="420"/>
        <v>1</v>
      </c>
      <c r="C6442" t="str">
        <f t="shared" si="422"/>
        <v>348</v>
      </c>
      <c r="D6442" t="str">
        <f>"9"</f>
        <v>9</v>
      </c>
      <c r="E6442" t="str">
        <f>"1-348-9"</f>
        <v>1-348-9</v>
      </c>
      <c r="F6442" t="s">
        <v>15</v>
      </c>
      <c r="G6442" t="s">
        <v>20</v>
      </c>
      <c r="H6442" t="s">
        <v>21</v>
      </c>
      <c r="I6442">
        <v>0</v>
      </c>
      <c r="J6442">
        <v>0</v>
      </c>
      <c r="K6442">
        <v>1</v>
      </c>
    </row>
    <row r="6443" spans="1:11" x14ac:dyDescent="0.25">
      <c r="A6443" t="str">
        <f>"8071"</f>
        <v>8071</v>
      </c>
      <c r="B6443" t="str">
        <f t="shared" si="420"/>
        <v>1</v>
      </c>
      <c r="C6443" t="str">
        <f t="shared" si="422"/>
        <v>348</v>
      </c>
      <c r="D6443" t="str">
        <f>"24"</f>
        <v>24</v>
      </c>
      <c r="E6443" t="str">
        <f>"1-348-24"</f>
        <v>1-348-24</v>
      </c>
      <c r="F6443" t="s">
        <v>15</v>
      </c>
      <c r="G6443" t="s">
        <v>20</v>
      </c>
      <c r="H6443" t="s">
        <v>21</v>
      </c>
      <c r="I6443">
        <v>0</v>
      </c>
      <c r="J6443">
        <v>0</v>
      </c>
      <c r="K6443">
        <v>1</v>
      </c>
    </row>
    <row r="6444" spans="1:11" x14ac:dyDescent="0.25">
      <c r="A6444" t="str">
        <f>"8072"</f>
        <v>8072</v>
      </c>
      <c r="B6444" t="str">
        <f t="shared" si="420"/>
        <v>1</v>
      </c>
      <c r="C6444" t="str">
        <f t="shared" si="422"/>
        <v>348</v>
      </c>
      <c r="D6444" t="str">
        <f>"4"</f>
        <v>4</v>
      </c>
      <c r="E6444" t="str">
        <f>"1-348-4"</f>
        <v>1-348-4</v>
      </c>
      <c r="F6444" t="s">
        <v>15</v>
      </c>
      <c r="G6444" t="s">
        <v>20</v>
      </c>
      <c r="H6444" t="s">
        <v>21</v>
      </c>
      <c r="I6444">
        <v>0</v>
      </c>
      <c r="J6444">
        <v>0</v>
      </c>
      <c r="K6444">
        <v>1</v>
      </c>
    </row>
    <row r="6445" spans="1:11" x14ac:dyDescent="0.25">
      <c r="A6445" t="str">
        <f>"8073"</f>
        <v>8073</v>
      </c>
      <c r="B6445" t="str">
        <f t="shared" si="420"/>
        <v>1</v>
      </c>
      <c r="C6445" t="str">
        <f t="shared" si="422"/>
        <v>348</v>
      </c>
      <c r="D6445" t="str">
        <f>"25"</f>
        <v>25</v>
      </c>
      <c r="E6445" t="str">
        <f>"1-348-25"</f>
        <v>1-348-25</v>
      </c>
      <c r="F6445" t="s">
        <v>15</v>
      </c>
      <c r="G6445" t="s">
        <v>20</v>
      </c>
      <c r="H6445" t="s">
        <v>21</v>
      </c>
      <c r="I6445">
        <v>0</v>
      </c>
      <c r="J6445">
        <v>1</v>
      </c>
      <c r="K6445">
        <v>0</v>
      </c>
    </row>
    <row r="6446" spans="1:11" x14ac:dyDescent="0.25">
      <c r="A6446" t="str">
        <f>"8074"</f>
        <v>8074</v>
      </c>
      <c r="B6446" t="str">
        <f t="shared" si="420"/>
        <v>1</v>
      </c>
      <c r="C6446" t="str">
        <f t="shared" si="422"/>
        <v>348</v>
      </c>
      <c r="D6446" t="str">
        <f>"12"</f>
        <v>12</v>
      </c>
      <c r="E6446" t="str">
        <f>"1-348-12"</f>
        <v>1-348-12</v>
      </c>
      <c r="F6446" t="s">
        <v>15</v>
      </c>
      <c r="G6446" t="s">
        <v>20</v>
      </c>
      <c r="H6446" t="s">
        <v>21</v>
      </c>
      <c r="I6446">
        <v>0</v>
      </c>
      <c r="J6446">
        <v>0</v>
      </c>
      <c r="K6446">
        <v>1</v>
      </c>
    </row>
    <row r="6447" spans="1:11" x14ac:dyDescent="0.25">
      <c r="A6447" t="str">
        <f>"8075"</f>
        <v>8075</v>
      </c>
      <c r="B6447" t="str">
        <f t="shared" si="420"/>
        <v>1</v>
      </c>
      <c r="C6447" t="str">
        <f t="shared" si="422"/>
        <v>348</v>
      </c>
      <c r="D6447" t="str">
        <f>"26"</f>
        <v>26</v>
      </c>
      <c r="E6447" t="str">
        <f>"1-348-26"</f>
        <v>1-348-26</v>
      </c>
      <c r="F6447" t="s">
        <v>15</v>
      </c>
      <c r="G6447" t="s">
        <v>20</v>
      </c>
      <c r="H6447" t="s">
        <v>21</v>
      </c>
      <c r="I6447">
        <v>0</v>
      </c>
      <c r="J6447">
        <v>1</v>
      </c>
      <c r="K6447">
        <v>0</v>
      </c>
    </row>
    <row r="6448" spans="1:11" x14ac:dyDescent="0.25">
      <c r="A6448" t="str">
        <f>"8076"</f>
        <v>8076</v>
      </c>
      <c r="B6448" t="str">
        <f t="shared" si="420"/>
        <v>1</v>
      </c>
      <c r="C6448" t="str">
        <f t="shared" si="422"/>
        <v>348</v>
      </c>
      <c r="D6448" t="str">
        <f>"10"</f>
        <v>10</v>
      </c>
      <c r="E6448" t="str">
        <f>"1-348-10"</f>
        <v>1-348-10</v>
      </c>
      <c r="F6448" t="s">
        <v>15</v>
      </c>
      <c r="G6448" t="s">
        <v>20</v>
      </c>
      <c r="H6448" t="s">
        <v>21</v>
      </c>
      <c r="I6448">
        <v>0</v>
      </c>
      <c r="J6448">
        <v>0</v>
      </c>
      <c r="K6448">
        <v>1</v>
      </c>
    </row>
    <row r="6449" spans="1:11" x14ac:dyDescent="0.25">
      <c r="A6449" t="str">
        <f>"8077"</f>
        <v>8077</v>
      </c>
      <c r="B6449" t="str">
        <f t="shared" si="420"/>
        <v>1</v>
      </c>
      <c r="C6449" t="str">
        <f t="shared" si="422"/>
        <v>348</v>
      </c>
      <c r="D6449" t="str">
        <f>"8"</f>
        <v>8</v>
      </c>
      <c r="E6449" t="str">
        <f>"1-348-8"</f>
        <v>1-348-8</v>
      </c>
      <c r="F6449" t="s">
        <v>15</v>
      </c>
      <c r="G6449" t="s">
        <v>20</v>
      </c>
      <c r="H6449" t="s">
        <v>21</v>
      </c>
      <c r="I6449">
        <v>0</v>
      </c>
      <c r="J6449">
        <v>0</v>
      </c>
      <c r="K6449">
        <v>1</v>
      </c>
    </row>
    <row r="6450" spans="1:11" x14ac:dyDescent="0.25">
      <c r="A6450" t="str">
        <f>"8078"</f>
        <v>8078</v>
      </c>
      <c r="B6450" t="str">
        <f t="shared" si="420"/>
        <v>1</v>
      </c>
      <c r="C6450" t="str">
        <f t="shared" si="422"/>
        <v>348</v>
      </c>
      <c r="D6450" t="str">
        <f>"28"</f>
        <v>28</v>
      </c>
      <c r="E6450" t="str">
        <f>"1-348-28"</f>
        <v>1-348-28</v>
      </c>
      <c r="F6450" t="s">
        <v>15</v>
      </c>
      <c r="G6450" t="s">
        <v>20</v>
      </c>
      <c r="H6450" t="s">
        <v>21</v>
      </c>
      <c r="I6450">
        <v>0</v>
      </c>
      <c r="J6450">
        <v>1</v>
      </c>
      <c r="K6450">
        <v>0</v>
      </c>
    </row>
    <row r="6451" spans="1:11" x14ac:dyDescent="0.25">
      <c r="A6451" t="str">
        <f>"8079"</f>
        <v>8079</v>
      </c>
      <c r="B6451" t="str">
        <f t="shared" si="420"/>
        <v>1</v>
      </c>
      <c r="C6451" t="str">
        <f t="shared" si="422"/>
        <v>348</v>
      </c>
      <c r="D6451" t="str">
        <f>"3"</f>
        <v>3</v>
      </c>
      <c r="E6451" t="str">
        <f>"1-348-3"</f>
        <v>1-348-3</v>
      </c>
      <c r="F6451" t="s">
        <v>15</v>
      </c>
      <c r="G6451" t="s">
        <v>20</v>
      </c>
      <c r="H6451" t="s">
        <v>21</v>
      </c>
      <c r="I6451">
        <v>0</v>
      </c>
      <c r="J6451">
        <v>1</v>
      </c>
      <c r="K6451">
        <v>0</v>
      </c>
    </row>
    <row r="6452" spans="1:11" x14ac:dyDescent="0.25">
      <c r="A6452" t="str">
        <f>"8080"</f>
        <v>8080</v>
      </c>
      <c r="B6452" t="str">
        <f t="shared" si="420"/>
        <v>1</v>
      </c>
      <c r="C6452" t="str">
        <f t="shared" si="422"/>
        <v>348</v>
      </c>
      <c r="D6452" t="str">
        <f>"29"</f>
        <v>29</v>
      </c>
      <c r="E6452" t="str">
        <f>"1-348-29"</f>
        <v>1-348-29</v>
      </c>
      <c r="F6452" t="s">
        <v>15</v>
      </c>
      <c r="G6452" t="s">
        <v>20</v>
      </c>
      <c r="H6452" t="s">
        <v>21</v>
      </c>
      <c r="I6452">
        <v>0</v>
      </c>
      <c r="J6452">
        <v>0</v>
      </c>
      <c r="K6452">
        <v>1</v>
      </c>
    </row>
    <row r="6453" spans="1:11" x14ac:dyDescent="0.25">
      <c r="A6453" t="str">
        <f>"8081"</f>
        <v>8081</v>
      </c>
      <c r="B6453" t="str">
        <f t="shared" si="420"/>
        <v>1</v>
      </c>
      <c r="C6453" t="str">
        <f t="shared" si="422"/>
        <v>348</v>
      </c>
      <c r="D6453" t="str">
        <f>"11"</f>
        <v>11</v>
      </c>
      <c r="E6453" t="str">
        <f>"1-348-11"</f>
        <v>1-348-11</v>
      </c>
      <c r="F6453" t="s">
        <v>15</v>
      </c>
      <c r="G6453" t="s">
        <v>20</v>
      </c>
      <c r="H6453" t="s">
        <v>21</v>
      </c>
      <c r="I6453">
        <v>1</v>
      </c>
      <c r="J6453">
        <v>0</v>
      </c>
      <c r="K6453">
        <v>0</v>
      </c>
    </row>
    <row r="6454" spans="1:11" x14ac:dyDescent="0.25">
      <c r="A6454" t="str">
        <f>"8082"</f>
        <v>8082</v>
      </c>
      <c r="B6454" t="str">
        <f t="shared" si="420"/>
        <v>1</v>
      </c>
      <c r="C6454" t="str">
        <f t="shared" si="422"/>
        <v>348</v>
      </c>
      <c r="D6454" t="str">
        <f>"30"</f>
        <v>30</v>
      </c>
      <c r="E6454" t="str">
        <f>"1-348-30"</f>
        <v>1-348-30</v>
      </c>
      <c r="F6454" t="s">
        <v>15</v>
      </c>
      <c r="G6454" t="s">
        <v>20</v>
      </c>
      <c r="H6454" t="s">
        <v>21</v>
      </c>
      <c r="I6454">
        <v>0</v>
      </c>
      <c r="J6454">
        <v>0</v>
      </c>
      <c r="K6454">
        <v>1</v>
      </c>
    </row>
    <row r="6455" spans="1:11" x14ac:dyDescent="0.25">
      <c r="A6455" t="str">
        <f>"8083"</f>
        <v>8083</v>
      </c>
      <c r="B6455" t="str">
        <f t="shared" si="420"/>
        <v>1</v>
      </c>
      <c r="C6455" t="str">
        <f t="shared" si="422"/>
        <v>348</v>
      </c>
      <c r="D6455" t="str">
        <f>"27"</f>
        <v>27</v>
      </c>
      <c r="E6455" t="str">
        <f>"1-348-27"</f>
        <v>1-348-27</v>
      </c>
      <c r="F6455" t="s">
        <v>15</v>
      </c>
      <c r="G6455" t="s">
        <v>20</v>
      </c>
      <c r="H6455" t="s">
        <v>21</v>
      </c>
      <c r="I6455">
        <v>0</v>
      </c>
      <c r="J6455">
        <v>0</v>
      </c>
      <c r="K6455">
        <v>0</v>
      </c>
    </row>
    <row r="6456" spans="1:11" x14ac:dyDescent="0.25">
      <c r="A6456" t="str">
        <f>"8084"</f>
        <v>8084</v>
      </c>
      <c r="B6456" t="str">
        <f t="shared" si="420"/>
        <v>1</v>
      </c>
      <c r="C6456" t="str">
        <f t="shared" si="422"/>
        <v>348</v>
      </c>
      <c r="D6456" t="str">
        <f>"5"</f>
        <v>5</v>
      </c>
      <c r="E6456" t="str">
        <f>"1-348-5"</f>
        <v>1-348-5</v>
      </c>
      <c r="F6456" t="s">
        <v>15</v>
      </c>
      <c r="G6456" t="s">
        <v>20</v>
      </c>
      <c r="H6456" t="s">
        <v>21</v>
      </c>
      <c r="I6456">
        <v>0</v>
      </c>
      <c r="J6456">
        <v>0</v>
      </c>
      <c r="K6456">
        <v>0</v>
      </c>
    </row>
    <row r="6457" spans="1:11" x14ac:dyDescent="0.25">
      <c r="A6457" t="str">
        <f>"8085"</f>
        <v>8085</v>
      </c>
      <c r="B6457" t="str">
        <f t="shared" si="420"/>
        <v>1</v>
      </c>
      <c r="C6457" t="str">
        <f t="shared" si="422"/>
        <v>348</v>
      </c>
      <c r="D6457" t="str">
        <f>"23"</f>
        <v>23</v>
      </c>
      <c r="E6457" t="str">
        <f>"1-348-23"</f>
        <v>1-348-23</v>
      </c>
      <c r="F6457" t="s">
        <v>15</v>
      </c>
      <c r="G6457" t="s">
        <v>20</v>
      </c>
      <c r="H6457" t="s">
        <v>21</v>
      </c>
      <c r="I6457">
        <v>0</v>
      </c>
      <c r="J6457">
        <v>0</v>
      </c>
      <c r="K6457">
        <v>0</v>
      </c>
    </row>
    <row r="6458" spans="1:11" x14ac:dyDescent="0.25">
      <c r="A6458" t="str">
        <f>"8086"</f>
        <v>8086</v>
      </c>
      <c r="B6458" t="str">
        <f t="shared" si="420"/>
        <v>1</v>
      </c>
      <c r="C6458" t="str">
        <f t="shared" si="422"/>
        <v>348</v>
      </c>
      <c r="D6458" t="str">
        <f>"13"</f>
        <v>13</v>
      </c>
      <c r="E6458" t="str">
        <f>"1-348-13"</f>
        <v>1-348-13</v>
      </c>
      <c r="F6458" t="s">
        <v>15</v>
      </c>
      <c r="G6458" t="s">
        <v>20</v>
      </c>
      <c r="H6458" t="s">
        <v>21</v>
      </c>
      <c r="I6458">
        <v>0</v>
      </c>
      <c r="J6458">
        <v>0</v>
      </c>
      <c r="K6458">
        <v>0</v>
      </c>
    </row>
    <row r="6459" spans="1:11" x14ac:dyDescent="0.25">
      <c r="A6459" t="str">
        <f>"8087"</f>
        <v>8087</v>
      </c>
      <c r="B6459" t="str">
        <f t="shared" si="420"/>
        <v>1</v>
      </c>
      <c r="C6459" t="str">
        <f t="shared" si="422"/>
        <v>348</v>
      </c>
      <c r="D6459" t="str">
        <f>"2"</f>
        <v>2</v>
      </c>
      <c r="E6459" t="str">
        <f>"1-348-2"</f>
        <v>1-348-2</v>
      </c>
      <c r="F6459" t="s">
        <v>15</v>
      </c>
      <c r="G6459" t="s">
        <v>20</v>
      </c>
      <c r="H6459" t="s">
        <v>21</v>
      </c>
      <c r="I6459">
        <v>0</v>
      </c>
      <c r="J6459">
        <v>0</v>
      </c>
      <c r="K6459">
        <v>0</v>
      </c>
    </row>
    <row r="6460" spans="1:11" x14ac:dyDescent="0.25">
      <c r="A6460" t="str">
        <f>"8088"</f>
        <v>8088</v>
      </c>
      <c r="B6460" t="str">
        <f t="shared" si="420"/>
        <v>1</v>
      </c>
      <c r="C6460" t="str">
        <f t="shared" ref="C6460:C6478" si="423">"349"</f>
        <v>349</v>
      </c>
      <c r="D6460" t="str">
        <f>"15"</f>
        <v>15</v>
      </c>
      <c r="E6460" t="str">
        <f>"1-349-15"</f>
        <v>1-349-15</v>
      </c>
      <c r="F6460" t="s">
        <v>15</v>
      </c>
      <c r="G6460" t="s">
        <v>20</v>
      </c>
      <c r="H6460" t="s">
        <v>21</v>
      </c>
      <c r="I6460">
        <v>0</v>
      </c>
      <c r="J6460">
        <v>0</v>
      </c>
      <c r="K6460">
        <v>1</v>
      </c>
    </row>
    <row r="6461" spans="1:11" x14ac:dyDescent="0.25">
      <c r="A6461" t="str">
        <f>"8089"</f>
        <v>8089</v>
      </c>
      <c r="B6461" t="str">
        <f t="shared" si="420"/>
        <v>1</v>
      </c>
      <c r="C6461" t="str">
        <f t="shared" si="423"/>
        <v>349</v>
      </c>
      <c r="D6461" t="str">
        <f>"1"</f>
        <v>1</v>
      </c>
      <c r="E6461" t="str">
        <f>"1-349-1"</f>
        <v>1-349-1</v>
      </c>
      <c r="F6461" t="s">
        <v>15</v>
      </c>
      <c r="G6461" t="s">
        <v>20</v>
      </c>
      <c r="H6461" t="s">
        <v>21</v>
      </c>
      <c r="I6461">
        <v>1</v>
      </c>
      <c r="J6461">
        <v>0</v>
      </c>
      <c r="K6461">
        <v>0</v>
      </c>
    </row>
    <row r="6462" spans="1:11" x14ac:dyDescent="0.25">
      <c r="A6462" t="str">
        <f>"8090"</f>
        <v>8090</v>
      </c>
      <c r="B6462" t="str">
        <f t="shared" ref="B6462:B6516" si="424">"1"</f>
        <v>1</v>
      </c>
      <c r="C6462" t="str">
        <f t="shared" si="423"/>
        <v>349</v>
      </c>
      <c r="D6462" t="str">
        <f>"16"</f>
        <v>16</v>
      </c>
      <c r="E6462" t="str">
        <f>"1-349-16"</f>
        <v>1-349-16</v>
      </c>
      <c r="F6462" t="s">
        <v>15</v>
      </c>
      <c r="G6462" t="s">
        <v>20</v>
      </c>
      <c r="H6462" t="s">
        <v>21</v>
      </c>
      <c r="I6462">
        <v>0</v>
      </c>
      <c r="J6462">
        <v>1</v>
      </c>
      <c r="K6462">
        <v>0</v>
      </c>
    </row>
    <row r="6463" spans="1:11" x14ac:dyDescent="0.25">
      <c r="A6463" t="str">
        <f>"8091"</f>
        <v>8091</v>
      </c>
      <c r="B6463" t="str">
        <f t="shared" si="424"/>
        <v>1</v>
      </c>
      <c r="C6463" t="str">
        <f t="shared" si="423"/>
        <v>349</v>
      </c>
      <c r="D6463" t="str">
        <f>"4"</f>
        <v>4</v>
      </c>
      <c r="E6463" t="str">
        <f>"1-349-4"</f>
        <v>1-349-4</v>
      </c>
      <c r="F6463" t="s">
        <v>15</v>
      </c>
      <c r="G6463" t="s">
        <v>20</v>
      </c>
      <c r="H6463" t="s">
        <v>21</v>
      </c>
      <c r="I6463">
        <v>1</v>
      </c>
      <c r="J6463">
        <v>0</v>
      </c>
      <c r="K6463">
        <v>0</v>
      </c>
    </row>
    <row r="6464" spans="1:11" x14ac:dyDescent="0.25">
      <c r="A6464" t="str">
        <f>"8092"</f>
        <v>8092</v>
      </c>
      <c r="B6464" t="str">
        <f t="shared" si="424"/>
        <v>1</v>
      </c>
      <c r="C6464" t="str">
        <f t="shared" si="423"/>
        <v>349</v>
      </c>
      <c r="D6464" t="str">
        <f>"17"</f>
        <v>17</v>
      </c>
      <c r="E6464" t="str">
        <f>"1-349-17"</f>
        <v>1-349-17</v>
      </c>
      <c r="F6464" t="s">
        <v>15</v>
      </c>
      <c r="G6464" t="s">
        <v>20</v>
      </c>
      <c r="H6464" t="s">
        <v>21</v>
      </c>
      <c r="I6464">
        <v>0</v>
      </c>
      <c r="J6464">
        <v>0</v>
      </c>
      <c r="K6464">
        <v>1</v>
      </c>
    </row>
    <row r="6465" spans="1:11" x14ac:dyDescent="0.25">
      <c r="A6465" t="str">
        <f>"8093"</f>
        <v>8093</v>
      </c>
      <c r="B6465" t="str">
        <f t="shared" si="424"/>
        <v>1</v>
      </c>
      <c r="C6465" t="str">
        <f t="shared" si="423"/>
        <v>349</v>
      </c>
      <c r="D6465" t="str">
        <f>"3"</f>
        <v>3</v>
      </c>
      <c r="E6465" t="str">
        <f>"1-349-3"</f>
        <v>1-349-3</v>
      </c>
      <c r="F6465" t="s">
        <v>15</v>
      </c>
      <c r="G6465" t="s">
        <v>20</v>
      </c>
      <c r="H6465" t="s">
        <v>21</v>
      </c>
      <c r="I6465">
        <v>1</v>
      </c>
      <c r="J6465">
        <v>0</v>
      </c>
      <c r="K6465">
        <v>0</v>
      </c>
    </row>
    <row r="6466" spans="1:11" x14ac:dyDescent="0.25">
      <c r="A6466" t="str">
        <f>"8094"</f>
        <v>8094</v>
      </c>
      <c r="B6466" t="str">
        <f t="shared" si="424"/>
        <v>1</v>
      </c>
      <c r="C6466" t="str">
        <f t="shared" si="423"/>
        <v>349</v>
      </c>
      <c r="D6466" t="str">
        <f>"13"</f>
        <v>13</v>
      </c>
      <c r="E6466" t="str">
        <f>"1-349-13"</f>
        <v>1-349-13</v>
      </c>
      <c r="F6466" t="s">
        <v>15</v>
      </c>
      <c r="G6466" t="s">
        <v>20</v>
      </c>
      <c r="H6466" t="s">
        <v>21</v>
      </c>
      <c r="I6466">
        <v>0</v>
      </c>
      <c r="J6466">
        <v>0</v>
      </c>
      <c r="K6466">
        <v>1</v>
      </c>
    </row>
    <row r="6467" spans="1:11" x14ac:dyDescent="0.25">
      <c r="A6467" t="str">
        <f>"8095"</f>
        <v>8095</v>
      </c>
      <c r="B6467" t="str">
        <f t="shared" si="424"/>
        <v>1</v>
      </c>
      <c r="C6467" t="str">
        <f t="shared" si="423"/>
        <v>349</v>
      </c>
      <c r="D6467" t="str">
        <f>"19"</f>
        <v>19</v>
      </c>
      <c r="E6467" t="str">
        <f>"1-349-19"</f>
        <v>1-349-19</v>
      </c>
      <c r="F6467" t="s">
        <v>15</v>
      </c>
      <c r="G6467" t="s">
        <v>20</v>
      </c>
      <c r="H6467" t="s">
        <v>21</v>
      </c>
      <c r="I6467">
        <v>0</v>
      </c>
      <c r="J6467">
        <v>1</v>
      </c>
      <c r="K6467">
        <v>0</v>
      </c>
    </row>
    <row r="6468" spans="1:11" x14ac:dyDescent="0.25">
      <c r="A6468" t="str">
        <f>"8097"</f>
        <v>8097</v>
      </c>
      <c r="B6468" t="str">
        <f t="shared" si="424"/>
        <v>1</v>
      </c>
      <c r="C6468" t="str">
        <f t="shared" si="423"/>
        <v>349</v>
      </c>
      <c r="D6468" t="str">
        <f>"20"</f>
        <v>20</v>
      </c>
      <c r="E6468" t="str">
        <f>"1-349-20"</f>
        <v>1-349-20</v>
      </c>
      <c r="F6468" t="s">
        <v>15</v>
      </c>
      <c r="G6468" t="s">
        <v>20</v>
      </c>
      <c r="H6468" t="s">
        <v>21</v>
      </c>
      <c r="I6468">
        <v>1</v>
      </c>
      <c r="J6468">
        <v>0</v>
      </c>
      <c r="K6468">
        <v>0</v>
      </c>
    </row>
    <row r="6469" spans="1:11" x14ac:dyDescent="0.25">
      <c r="A6469" t="str">
        <f>"8099"</f>
        <v>8099</v>
      </c>
      <c r="B6469" t="str">
        <f t="shared" si="424"/>
        <v>1</v>
      </c>
      <c r="C6469" t="str">
        <f t="shared" si="423"/>
        <v>349</v>
      </c>
      <c r="D6469" t="str">
        <f>"21"</f>
        <v>21</v>
      </c>
      <c r="E6469" t="str">
        <f>"1-349-21"</f>
        <v>1-349-21</v>
      </c>
      <c r="F6469" t="s">
        <v>15</v>
      </c>
      <c r="G6469" t="s">
        <v>20</v>
      </c>
      <c r="H6469" t="s">
        <v>21</v>
      </c>
      <c r="I6469">
        <v>0</v>
      </c>
      <c r="J6469">
        <v>1</v>
      </c>
      <c r="K6469">
        <v>0</v>
      </c>
    </row>
    <row r="6470" spans="1:11" x14ac:dyDescent="0.25">
      <c r="A6470" t="str">
        <f>"8101"</f>
        <v>8101</v>
      </c>
      <c r="B6470" t="str">
        <f t="shared" si="424"/>
        <v>1</v>
      </c>
      <c r="C6470" t="str">
        <f t="shared" si="423"/>
        <v>349</v>
      </c>
      <c r="D6470" t="str">
        <f>"22"</f>
        <v>22</v>
      </c>
      <c r="E6470" t="str">
        <f>"1-349-22"</f>
        <v>1-349-22</v>
      </c>
      <c r="F6470" t="s">
        <v>15</v>
      </c>
      <c r="G6470" t="s">
        <v>20</v>
      </c>
      <c r="H6470" t="s">
        <v>21</v>
      </c>
      <c r="I6470">
        <v>0</v>
      </c>
      <c r="J6470">
        <v>1</v>
      </c>
      <c r="K6470">
        <v>0</v>
      </c>
    </row>
    <row r="6471" spans="1:11" x14ac:dyDescent="0.25">
      <c r="A6471" t="str">
        <f>"8103"</f>
        <v>8103</v>
      </c>
      <c r="B6471" t="str">
        <f t="shared" si="424"/>
        <v>1</v>
      </c>
      <c r="C6471" t="str">
        <f t="shared" si="423"/>
        <v>349</v>
      </c>
      <c r="D6471" t="str">
        <f>"23"</f>
        <v>23</v>
      </c>
      <c r="E6471" t="str">
        <f>"1-349-23"</f>
        <v>1-349-23</v>
      </c>
      <c r="F6471" t="s">
        <v>15</v>
      </c>
      <c r="G6471" t="s">
        <v>20</v>
      </c>
      <c r="H6471" t="s">
        <v>21</v>
      </c>
      <c r="I6471">
        <v>1</v>
      </c>
      <c r="J6471">
        <v>0</v>
      </c>
      <c r="K6471">
        <v>0</v>
      </c>
    </row>
    <row r="6472" spans="1:11" x14ac:dyDescent="0.25">
      <c r="A6472" t="str">
        <f>"8104"</f>
        <v>8104</v>
      </c>
      <c r="B6472" t="str">
        <f t="shared" si="424"/>
        <v>1</v>
      </c>
      <c r="C6472" t="str">
        <f t="shared" si="423"/>
        <v>349</v>
      </c>
      <c r="D6472" t="str">
        <f>"14"</f>
        <v>14</v>
      </c>
      <c r="E6472" t="str">
        <f>"1-349-14"</f>
        <v>1-349-14</v>
      </c>
      <c r="F6472" t="s">
        <v>15</v>
      </c>
      <c r="G6472" t="s">
        <v>20</v>
      </c>
      <c r="H6472" t="s">
        <v>21</v>
      </c>
      <c r="I6472">
        <v>0</v>
      </c>
      <c r="J6472">
        <v>0</v>
      </c>
      <c r="K6472">
        <v>1</v>
      </c>
    </row>
    <row r="6473" spans="1:11" x14ac:dyDescent="0.25">
      <c r="A6473" t="str">
        <f>"8105"</f>
        <v>8105</v>
      </c>
      <c r="B6473" t="str">
        <f t="shared" si="424"/>
        <v>1</v>
      </c>
      <c r="C6473" t="str">
        <f t="shared" si="423"/>
        <v>349</v>
      </c>
      <c r="D6473" t="str">
        <f>"24"</f>
        <v>24</v>
      </c>
      <c r="E6473" t="str">
        <f>"1-349-24"</f>
        <v>1-349-24</v>
      </c>
      <c r="F6473" t="s">
        <v>15</v>
      </c>
      <c r="G6473" t="s">
        <v>20</v>
      </c>
      <c r="H6473" t="s">
        <v>21</v>
      </c>
      <c r="I6473">
        <v>0</v>
      </c>
      <c r="J6473">
        <v>0</v>
      </c>
      <c r="K6473">
        <v>1</v>
      </c>
    </row>
    <row r="6474" spans="1:11" x14ac:dyDescent="0.25">
      <c r="A6474" t="str">
        <f>"8106"</f>
        <v>8106</v>
      </c>
      <c r="B6474" t="str">
        <f t="shared" si="424"/>
        <v>1</v>
      </c>
      <c r="C6474" t="str">
        <f t="shared" si="423"/>
        <v>349</v>
      </c>
      <c r="D6474" t="str">
        <f>"7"</f>
        <v>7</v>
      </c>
      <c r="E6474" t="str">
        <f>"1-349-7"</f>
        <v>1-349-7</v>
      </c>
      <c r="F6474" t="s">
        <v>15</v>
      </c>
      <c r="G6474" t="s">
        <v>20</v>
      </c>
      <c r="H6474" t="s">
        <v>21</v>
      </c>
      <c r="I6474">
        <v>0</v>
      </c>
      <c r="J6474">
        <v>0</v>
      </c>
      <c r="K6474">
        <v>1</v>
      </c>
    </row>
    <row r="6475" spans="1:11" x14ac:dyDescent="0.25">
      <c r="A6475" t="str">
        <f>"8108"</f>
        <v>8108</v>
      </c>
      <c r="B6475" t="str">
        <f t="shared" si="424"/>
        <v>1</v>
      </c>
      <c r="C6475" t="str">
        <f t="shared" si="423"/>
        <v>349</v>
      </c>
      <c r="D6475" t="str">
        <f>"2"</f>
        <v>2</v>
      </c>
      <c r="E6475" t="str">
        <f>"1-349-2"</f>
        <v>1-349-2</v>
      </c>
      <c r="F6475" t="s">
        <v>15</v>
      </c>
      <c r="G6475" t="s">
        <v>20</v>
      </c>
      <c r="H6475" t="s">
        <v>21</v>
      </c>
      <c r="I6475">
        <v>0</v>
      </c>
      <c r="J6475">
        <v>0</v>
      </c>
      <c r="K6475">
        <v>1</v>
      </c>
    </row>
    <row r="6476" spans="1:11" x14ac:dyDescent="0.25">
      <c r="A6476" t="str">
        <f>"8109"</f>
        <v>8109</v>
      </c>
      <c r="B6476" t="str">
        <f t="shared" si="424"/>
        <v>1</v>
      </c>
      <c r="C6476" t="str">
        <f t="shared" si="423"/>
        <v>349</v>
      </c>
      <c r="D6476" t="str">
        <f>"9"</f>
        <v>9</v>
      </c>
      <c r="E6476" t="str">
        <f>"1-349-9"</f>
        <v>1-349-9</v>
      </c>
      <c r="F6476" t="s">
        <v>15</v>
      </c>
      <c r="G6476" t="s">
        <v>20</v>
      </c>
      <c r="H6476" t="s">
        <v>21</v>
      </c>
      <c r="I6476">
        <v>0</v>
      </c>
      <c r="J6476">
        <v>0</v>
      </c>
      <c r="K6476">
        <v>1</v>
      </c>
    </row>
    <row r="6477" spans="1:11" x14ac:dyDescent="0.25">
      <c r="A6477" t="str">
        <f>"8110"</f>
        <v>8110</v>
      </c>
      <c r="B6477" t="str">
        <f t="shared" si="424"/>
        <v>1</v>
      </c>
      <c r="C6477" t="str">
        <f t="shared" si="423"/>
        <v>349</v>
      </c>
      <c r="D6477" t="str">
        <f>"6"</f>
        <v>6</v>
      </c>
      <c r="E6477" t="str">
        <f>"1-349-6"</f>
        <v>1-349-6</v>
      </c>
      <c r="F6477" t="s">
        <v>15</v>
      </c>
      <c r="G6477" t="s">
        <v>20</v>
      </c>
      <c r="H6477" t="s">
        <v>21</v>
      </c>
      <c r="I6477">
        <v>0</v>
      </c>
      <c r="J6477">
        <v>0</v>
      </c>
      <c r="K6477">
        <v>0</v>
      </c>
    </row>
    <row r="6478" spans="1:11" x14ac:dyDescent="0.25">
      <c r="A6478" t="str">
        <f>"8111"</f>
        <v>8111</v>
      </c>
      <c r="B6478" t="str">
        <f t="shared" si="424"/>
        <v>1</v>
      </c>
      <c r="C6478" t="str">
        <f t="shared" si="423"/>
        <v>349</v>
      </c>
      <c r="D6478" t="str">
        <f>"18"</f>
        <v>18</v>
      </c>
      <c r="E6478" t="str">
        <f>"1-349-18"</f>
        <v>1-349-18</v>
      </c>
      <c r="F6478" t="s">
        <v>15</v>
      </c>
      <c r="G6478" t="s">
        <v>20</v>
      </c>
      <c r="H6478" t="s">
        <v>21</v>
      </c>
      <c r="I6478">
        <v>0</v>
      </c>
      <c r="J6478">
        <v>0</v>
      </c>
      <c r="K6478">
        <v>0</v>
      </c>
    </row>
    <row r="6479" spans="1:11" x14ac:dyDescent="0.25">
      <c r="A6479" t="str">
        <f>"8112"</f>
        <v>8112</v>
      </c>
      <c r="B6479" t="str">
        <f t="shared" si="424"/>
        <v>1</v>
      </c>
      <c r="C6479" t="str">
        <f t="shared" ref="C6479:C6500" si="425">"350"</f>
        <v>350</v>
      </c>
      <c r="D6479" t="str">
        <f>"19"</f>
        <v>19</v>
      </c>
      <c r="E6479" t="str">
        <f>"1-350-19"</f>
        <v>1-350-19</v>
      </c>
      <c r="F6479" t="s">
        <v>15</v>
      </c>
      <c r="G6479" t="s">
        <v>18</v>
      </c>
      <c r="H6479" t="s">
        <v>19</v>
      </c>
      <c r="I6479">
        <v>0</v>
      </c>
      <c r="J6479">
        <v>0</v>
      </c>
      <c r="K6479">
        <v>1</v>
      </c>
    </row>
    <row r="6480" spans="1:11" x14ac:dyDescent="0.25">
      <c r="A6480" t="str">
        <f>"8115"</f>
        <v>8115</v>
      </c>
      <c r="B6480" t="str">
        <f t="shared" si="424"/>
        <v>1</v>
      </c>
      <c r="C6480" t="str">
        <f t="shared" si="425"/>
        <v>350</v>
      </c>
      <c r="D6480" t="str">
        <f>"21"</f>
        <v>21</v>
      </c>
      <c r="E6480" t="str">
        <f>"1-350-21"</f>
        <v>1-350-21</v>
      </c>
      <c r="F6480" t="s">
        <v>15</v>
      </c>
      <c r="G6480" t="s">
        <v>18</v>
      </c>
      <c r="H6480" t="s">
        <v>19</v>
      </c>
      <c r="I6480">
        <v>1</v>
      </c>
      <c r="J6480">
        <v>0</v>
      </c>
      <c r="K6480">
        <v>0</v>
      </c>
    </row>
    <row r="6481" spans="1:11" x14ac:dyDescent="0.25">
      <c r="A6481" t="str">
        <f>"8116"</f>
        <v>8116</v>
      </c>
      <c r="B6481" t="str">
        <f t="shared" si="424"/>
        <v>1</v>
      </c>
      <c r="C6481" t="str">
        <f t="shared" si="425"/>
        <v>350</v>
      </c>
      <c r="D6481" t="str">
        <f>"16"</f>
        <v>16</v>
      </c>
      <c r="E6481" t="str">
        <f>"1-350-16"</f>
        <v>1-350-16</v>
      </c>
      <c r="F6481" t="s">
        <v>15</v>
      </c>
      <c r="G6481" t="s">
        <v>16</v>
      </c>
      <c r="H6481" t="s">
        <v>17</v>
      </c>
      <c r="I6481">
        <v>0</v>
      </c>
      <c r="J6481">
        <v>0</v>
      </c>
      <c r="K6481">
        <v>1</v>
      </c>
    </row>
    <row r="6482" spans="1:11" x14ac:dyDescent="0.25">
      <c r="A6482" t="str">
        <f>"8117"</f>
        <v>8117</v>
      </c>
      <c r="B6482" t="str">
        <f t="shared" si="424"/>
        <v>1</v>
      </c>
      <c r="C6482" t="str">
        <f t="shared" si="425"/>
        <v>350</v>
      </c>
      <c r="D6482" t="str">
        <f>"5"</f>
        <v>5</v>
      </c>
      <c r="E6482" t="str">
        <f>"1-350-5"</f>
        <v>1-350-5</v>
      </c>
      <c r="F6482" t="s">
        <v>15</v>
      </c>
      <c r="G6482" t="s">
        <v>16</v>
      </c>
      <c r="H6482" t="s">
        <v>17</v>
      </c>
      <c r="I6482">
        <v>1</v>
      </c>
      <c r="J6482">
        <v>0</v>
      </c>
      <c r="K6482">
        <v>0</v>
      </c>
    </row>
    <row r="6483" spans="1:11" x14ac:dyDescent="0.25">
      <c r="A6483" t="str">
        <f>"8118"</f>
        <v>8118</v>
      </c>
      <c r="B6483" t="str">
        <f t="shared" si="424"/>
        <v>1</v>
      </c>
      <c r="C6483" t="str">
        <f t="shared" si="425"/>
        <v>350</v>
      </c>
      <c r="D6483" t="str">
        <f>"17"</f>
        <v>17</v>
      </c>
      <c r="E6483" t="str">
        <f>"1-350-17"</f>
        <v>1-350-17</v>
      </c>
      <c r="F6483" t="s">
        <v>15</v>
      </c>
      <c r="G6483" t="s">
        <v>16</v>
      </c>
      <c r="H6483" t="s">
        <v>17</v>
      </c>
      <c r="I6483">
        <v>0</v>
      </c>
      <c r="J6483">
        <v>1</v>
      </c>
      <c r="K6483">
        <v>0</v>
      </c>
    </row>
    <row r="6484" spans="1:11" x14ac:dyDescent="0.25">
      <c r="A6484" t="str">
        <f>"8120"</f>
        <v>8120</v>
      </c>
      <c r="B6484" t="str">
        <f t="shared" si="424"/>
        <v>1</v>
      </c>
      <c r="C6484" t="str">
        <f t="shared" si="425"/>
        <v>350</v>
      </c>
      <c r="D6484" t="str">
        <f>"18"</f>
        <v>18</v>
      </c>
      <c r="E6484" t="str">
        <f>"1-350-18"</f>
        <v>1-350-18</v>
      </c>
      <c r="F6484" t="s">
        <v>15</v>
      </c>
      <c r="G6484" t="s">
        <v>16</v>
      </c>
      <c r="H6484" t="s">
        <v>17</v>
      </c>
      <c r="I6484">
        <v>0</v>
      </c>
      <c r="J6484">
        <v>1</v>
      </c>
      <c r="K6484">
        <v>0</v>
      </c>
    </row>
    <row r="6485" spans="1:11" x14ac:dyDescent="0.25">
      <c r="A6485" t="str">
        <f>"8121"</f>
        <v>8121</v>
      </c>
      <c r="B6485" t="str">
        <f t="shared" si="424"/>
        <v>1</v>
      </c>
      <c r="C6485" t="str">
        <f t="shared" si="425"/>
        <v>350</v>
      </c>
      <c r="D6485" t="str">
        <f>"13"</f>
        <v>13</v>
      </c>
      <c r="E6485" t="str">
        <f>"1-350-13"</f>
        <v>1-350-13</v>
      </c>
      <c r="F6485" t="s">
        <v>15</v>
      </c>
      <c r="G6485" t="s">
        <v>16</v>
      </c>
      <c r="H6485" t="s">
        <v>17</v>
      </c>
      <c r="I6485">
        <v>1</v>
      </c>
      <c r="J6485">
        <v>0</v>
      </c>
      <c r="K6485">
        <v>0</v>
      </c>
    </row>
    <row r="6486" spans="1:11" x14ac:dyDescent="0.25">
      <c r="A6486" t="str">
        <f>"8122"</f>
        <v>8122</v>
      </c>
      <c r="B6486" t="str">
        <f t="shared" si="424"/>
        <v>1</v>
      </c>
      <c r="C6486" t="str">
        <f t="shared" si="425"/>
        <v>350</v>
      </c>
      <c r="D6486" t="str">
        <f>"20"</f>
        <v>20</v>
      </c>
      <c r="E6486" t="str">
        <f>"1-350-20"</f>
        <v>1-350-20</v>
      </c>
      <c r="F6486" t="s">
        <v>15</v>
      </c>
      <c r="G6486" t="s">
        <v>16</v>
      </c>
      <c r="H6486" t="s">
        <v>17</v>
      </c>
      <c r="I6486">
        <v>0</v>
      </c>
      <c r="J6486">
        <v>0</v>
      </c>
      <c r="K6486">
        <v>1</v>
      </c>
    </row>
    <row r="6487" spans="1:11" x14ac:dyDescent="0.25">
      <c r="A6487" t="str">
        <f>"8123"</f>
        <v>8123</v>
      </c>
      <c r="B6487" t="str">
        <f t="shared" si="424"/>
        <v>1</v>
      </c>
      <c r="C6487" t="str">
        <f t="shared" si="425"/>
        <v>350</v>
      </c>
      <c r="D6487" t="str">
        <f>"22"</f>
        <v>22</v>
      </c>
      <c r="E6487" t="str">
        <f>"1-350-22"</f>
        <v>1-350-22</v>
      </c>
      <c r="F6487" t="s">
        <v>15</v>
      </c>
      <c r="G6487" t="s">
        <v>18</v>
      </c>
      <c r="H6487" t="s">
        <v>19</v>
      </c>
      <c r="I6487">
        <v>1</v>
      </c>
      <c r="J6487">
        <v>0</v>
      </c>
      <c r="K6487">
        <v>0</v>
      </c>
    </row>
    <row r="6488" spans="1:11" x14ac:dyDescent="0.25">
      <c r="A6488" t="str">
        <f>"8124"</f>
        <v>8124</v>
      </c>
      <c r="B6488" t="str">
        <f t="shared" si="424"/>
        <v>1</v>
      </c>
      <c r="C6488" t="str">
        <f t="shared" si="425"/>
        <v>350</v>
      </c>
      <c r="D6488" t="str">
        <f>"12"</f>
        <v>12</v>
      </c>
      <c r="E6488" t="str">
        <f>"1-350-12"</f>
        <v>1-350-12</v>
      </c>
      <c r="F6488" t="s">
        <v>15</v>
      </c>
      <c r="G6488" t="s">
        <v>16</v>
      </c>
      <c r="H6488" t="s">
        <v>17</v>
      </c>
      <c r="I6488">
        <v>1</v>
      </c>
      <c r="J6488">
        <v>0</v>
      </c>
      <c r="K6488">
        <v>0</v>
      </c>
    </row>
    <row r="6489" spans="1:11" x14ac:dyDescent="0.25">
      <c r="A6489" t="str">
        <f>"8125"</f>
        <v>8125</v>
      </c>
      <c r="B6489" t="str">
        <f t="shared" si="424"/>
        <v>1</v>
      </c>
      <c r="C6489" t="str">
        <f t="shared" si="425"/>
        <v>350</v>
      </c>
      <c r="D6489" t="str">
        <f>"23"</f>
        <v>23</v>
      </c>
      <c r="E6489" t="str">
        <f>"1-350-23"</f>
        <v>1-350-23</v>
      </c>
      <c r="F6489" t="s">
        <v>15</v>
      </c>
      <c r="G6489" t="s">
        <v>20</v>
      </c>
      <c r="H6489" t="s">
        <v>21</v>
      </c>
      <c r="I6489">
        <v>1</v>
      </c>
      <c r="J6489">
        <v>0</v>
      </c>
      <c r="K6489">
        <v>0</v>
      </c>
    </row>
    <row r="6490" spans="1:11" x14ac:dyDescent="0.25">
      <c r="A6490" t="str">
        <f>"8126"</f>
        <v>8126</v>
      </c>
      <c r="B6490" t="str">
        <f t="shared" si="424"/>
        <v>1</v>
      </c>
      <c r="C6490" t="str">
        <f t="shared" si="425"/>
        <v>350</v>
      </c>
      <c r="D6490" t="str">
        <f>"9"</f>
        <v>9</v>
      </c>
      <c r="E6490" t="str">
        <f>"1-350-9"</f>
        <v>1-350-9</v>
      </c>
      <c r="F6490" t="s">
        <v>15</v>
      </c>
      <c r="G6490" t="s">
        <v>18</v>
      </c>
      <c r="H6490" t="s">
        <v>19</v>
      </c>
      <c r="I6490">
        <v>0</v>
      </c>
      <c r="J6490">
        <v>1</v>
      </c>
      <c r="K6490">
        <v>0</v>
      </c>
    </row>
    <row r="6491" spans="1:11" x14ac:dyDescent="0.25">
      <c r="A6491" t="str">
        <f>"8127"</f>
        <v>8127</v>
      </c>
      <c r="B6491" t="str">
        <f t="shared" si="424"/>
        <v>1</v>
      </c>
      <c r="C6491" t="str">
        <f t="shared" si="425"/>
        <v>350</v>
      </c>
      <c r="D6491" t="str">
        <f>"24"</f>
        <v>24</v>
      </c>
      <c r="E6491" t="str">
        <f>"1-350-24"</f>
        <v>1-350-24</v>
      </c>
      <c r="F6491" t="s">
        <v>15</v>
      </c>
      <c r="G6491" t="s">
        <v>16</v>
      </c>
      <c r="H6491" t="s">
        <v>17</v>
      </c>
      <c r="I6491">
        <v>1</v>
      </c>
      <c r="J6491">
        <v>0</v>
      </c>
      <c r="K6491">
        <v>0</v>
      </c>
    </row>
    <row r="6492" spans="1:11" x14ac:dyDescent="0.25">
      <c r="A6492" t="str">
        <f>"8128"</f>
        <v>8128</v>
      </c>
      <c r="B6492" t="str">
        <f t="shared" si="424"/>
        <v>1</v>
      </c>
      <c r="C6492" t="str">
        <f t="shared" si="425"/>
        <v>350</v>
      </c>
      <c r="D6492" t="str">
        <f>"2"</f>
        <v>2</v>
      </c>
      <c r="E6492" t="str">
        <f>"1-350-2"</f>
        <v>1-350-2</v>
      </c>
      <c r="F6492" t="s">
        <v>15</v>
      </c>
      <c r="G6492" t="s">
        <v>16</v>
      </c>
      <c r="H6492" t="s">
        <v>17</v>
      </c>
      <c r="I6492">
        <v>1</v>
      </c>
      <c r="J6492">
        <v>0</v>
      </c>
      <c r="K6492">
        <v>0</v>
      </c>
    </row>
    <row r="6493" spans="1:11" x14ac:dyDescent="0.25">
      <c r="A6493" t="str">
        <f>"8129"</f>
        <v>8129</v>
      </c>
      <c r="B6493" t="str">
        <f t="shared" si="424"/>
        <v>1</v>
      </c>
      <c r="C6493" t="str">
        <f t="shared" si="425"/>
        <v>350</v>
      </c>
      <c r="D6493" t="str">
        <f>"25"</f>
        <v>25</v>
      </c>
      <c r="E6493" t="str">
        <f>"1-350-25"</f>
        <v>1-350-25</v>
      </c>
      <c r="F6493" t="s">
        <v>15</v>
      </c>
      <c r="G6493" t="s">
        <v>16</v>
      </c>
      <c r="H6493" t="s">
        <v>17</v>
      </c>
      <c r="I6493">
        <v>0</v>
      </c>
      <c r="J6493">
        <v>0</v>
      </c>
      <c r="K6493">
        <v>1</v>
      </c>
    </row>
    <row r="6494" spans="1:11" x14ac:dyDescent="0.25">
      <c r="A6494" t="str">
        <f>"8130"</f>
        <v>8130</v>
      </c>
      <c r="B6494" t="str">
        <f t="shared" si="424"/>
        <v>1</v>
      </c>
      <c r="C6494" t="str">
        <f t="shared" si="425"/>
        <v>350</v>
      </c>
      <c r="D6494" t="str">
        <f>"10"</f>
        <v>10</v>
      </c>
      <c r="E6494" t="str">
        <f>"1-350-10"</f>
        <v>1-350-10</v>
      </c>
      <c r="F6494" t="s">
        <v>15</v>
      </c>
      <c r="G6494" t="s">
        <v>16</v>
      </c>
      <c r="H6494" t="s">
        <v>17</v>
      </c>
      <c r="I6494">
        <v>1</v>
      </c>
      <c r="J6494">
        <v>0</v>
      </c>
      <c r="K6494">
        <v>0</v>
      </c>
    </row>
    <row r="6495" spans="1:11" x14ac:dyDescent="0.25">
      <c r="A6495" t="str">
        <f>"8131"</f>
        <v>8131</v>
      </c>
      <c r="B6495" t="str">
        <f t="shared" si="424"/>
        <v>1</v>
      </c>
      <c r="C6495" t="str">
        <f t="shared" si="425"/>
        <v>350</v>
      </c>
      <c r="D6495" t="str">
        <f>"7"</f>
        <v>7</v>
      </c>
      <c r="E6495" t="str">
        <f>"1-350-7"</f>
        <v>1-350-7</v>
      </c>
      <c r="F6495" t="s">
        <v>15</v>
      </c>
      <c r="G6495" t="s">
        <v>16</v>
      </c>
      <c r="H6495" t="s">
        <v>17</v>
      </c>
      <c r="I6495">
        <v>1</v>
      </c>
      <c r="J6495">
        <v>0</v>
      </c>
      <c r="K6495">
        <v>0</v>
      </c>
    </row>
    <row r="6496" spans="1:11" x14ac:dyDescent="0.25">
      <c r="A6496" t="str">
        <f>"8132"</f>
        <v>8132</v>
      </c>
      <c r="B6496" t="str">
        <f t="shared" si="424"/>
        <v>1</v>
      </c>
      <c r="C6496" t="str">
        <f t="shared" si="425"/>
        <v>350</v>
      </c>
      <c r="D6496" t="str">
        <f>"14"</f>
        <v>14</v>
      </c>
      <c r="E6496" t="str">
        <f>"1-350-14"</f>
        <v>1-350-14</v>
      </c>
      <c r="F6496" t="s">
        <v>15</v>
      </c>
      <c r="G6496" t="s">
        <v>16</v>
      </c>
      <c r="H6496" t="s">
        <v>17</v>
      </c>
      <c r="I6496">
        <v>1</v>
      </c>
      <c r="J6496">
        <v>0</v>
      </c>
      <c r="K6496">
        <v>0</v>
      </c>
    </row>
    <row r="6497" spans="1:11" x14ac:dyDescent="0.25">
      <c r="A6497" t="str">
        <f>"8133"</f>
        <v>8133</v>
      </c>
      <c r="B6497" t="str">
        <f t="shared" si="424"/>
        <v>1</v>
      </c>
      <c r="C6497" t="str">
        <f t="shared" si="425"/>
        <v>350</v>
      </c>
      <c r="D6497" t="str">
        <f>"8"</f>
        <v>8</v>
      </c>
      <c r="E6497" t="str">
        <f>"1-350-8"</f>
        <v>1-350-8</v>
      </c>
      <c r="F6497" t="s">
        <v>15</v>
      </c>
      <c r="G6497" t="s">
        <v>18</v>
      </c>
      <c r="H6497" t="s">
        <v>19</v>
      </c>
      <c r="I6497">
        <v>0</v>
      </c>
      <c r="J6497">
        <v>1</v>
      </c>
      <c r="K6497">
        <v>0</v>
      </c>
    </row>
    <row r="6498" spans="1:11" x14ac:dyDescent="0.25">
      <c r="A6498" t="str">
        <f>"8134"</f>
        <v>8134</v>
      </c>
      <c r="B6498" t="str">
        <f t="shared" si="424"/>
        <v>1</v>
      </c>
      <c r="C6498" t="str">
        <f t="shared" si="425"/>
        <v>350</v>
      </c>
      <c r="D6498" t="str">
        <f>"4"</f>
        <v>4</v>
      </c>
      <c r="E6498" t="str">
        <f>"1-350-4"</f>
        <v>1-350-4</v>
      </c>
      <c r="F6498" t="s">
        <v>15</v>
      </c>
      <c r="G6498" t="s">
        <v>16</v>
      </c>
      <c r="H6498" t="s">
        <v>17</v>
      </c>
      <c r="I6498">
        <v>0</v>
      </c>
      <c r="J6498">
        <v>1</v>
      </c>
      <c r="K6498">
        <v>0</v>
      </c>
    </row>
    <row r="6499" spans="1:11" x14ac:dyDescent="0.25">
      <c r="A6499" t="str">
        <f>"8135"</f>
        <v>8135</v>
      </c>
      <c r="B6499" t="str">
        <f t="shared" si="424"/>
        <v>1</v>
      </c>
      <c r="C6499" t="str">
        <f t="shared" si="425"/>
        <v>350</v>
      </c>
      <c r="D6499" t="str">
        <f>"11"</f>
        <v>11</v>
      </c>
      <c r="E6499" t="str">
        <f>"1-350-11"</f>
        <v>1-350-11</v>
      </c>
      <c r="F6499" t="s">
        <v>15</v>
      </c>
      <c r="G6499" t="s">
        <v>16</v>
      </c>
      <c r="H6499" t="s">
        <v>17</v>
      </c>
      <c r="I6499">
        <v>0</v>
      </c>
      <c r="J6499">
        <v>0</v>
      </c>
      <c r="K6499">
        <v>0</v>
      </c>
    </row>
    <row r="6500" spans="1:11" x14ac:dyDescent="0.25">
      <c r="A6500" t="str">
        <f>"8136"</f>
        <v>8136</v>
      </c>
      <c r="B6500" t="str">
        <f t="shared" si="424"/>
        <v>1</v>
      </c>
      <c r="C6500" t="str">
        <f t="shared" si="425"/>
        <v>350</v>
      </c>
      <c r="D6500" t="str">
        <f>"1"</f>
        <v>1</v>
      </c>
      <c r="E6500" t="str">
        <f>"1-350-1"</f>
        <v>1-350-1</v>
      </c>
      <c r="F6500" t="s">
        <v>15</v>
      </c>
      <c r="G6500" t="s">
        <v>16</v>
      </c>
      <c r="H6500" t="s">
        <v>17</v>
      </c>
      <c r="I6500">
        <v>0</v>
      </c>
      <c r="J6500">
        <v>0</v>
      </c>
      <c r="K6500">
        <v>0</v>
      </c>
    </row>
    <row r="6501" spans="1:11" x14ac:dyDescent="0.25">
      <c r="A6501" t="str">
        <f>"8137"</f>
        <v>8137</v>
      </c>
      <c r="B6501" t="str">
        <f t="shared" si="424"/>
        <v>1</v>
      </c>
      <c r="C6501" t="str">
        <f t="shared" ref="C6501:C6521" si="426">"351"</f>
        <v>351</v>
      </c>
      <c r="D6501" t="str">
        <f>"15"</f>
        <v>15</v>
      </c>
      <c r="E6501" t="str">
        <f>"1-351-15"</f>
        <v>1-351-15</v>
      </c>
      <c r="F6501" t="s">
        <v>15</v>
      </c>
      <c r="G6501" t="s">
        <v>16</v>
      </c>
      <c r="H6501" t="s">
        <v>17</v>
      </c>
      <c r="I6501">
        <v>1</v>
      </c>
      <c r="J6501">
        <v>0</v>
      </c>
      <c r="K6501">
        <v>0</v>
      </c>
    </row>
    <row r="6502" spans="1:11" x14ac:dyDescent="0.25">
      <c r="A6502" t="str">
        <f>"8138"</f>
        <v>8138</v>
      </c>
      <c r="B6502" t="str">
        <f t="shared" si="424"/>
        <v>1</v>
      </c>
      <c r="C6502" t="str">
        <f t="shared" si="426"/>
        <v>351</v>
      </c>
      <c r="D6502" t="str">
        <f>"2"</f>
        <v>2</v>
      </c>
      <c r="E6502" t="str">
        <f>"1-351-2"</f>
        <v>1-351-2</v>
      </c>
      <c r="F6502" t="s">
        <v>15</v>
      </c>
      <c r="G6502" t="s">
        <v>16</v>
      </c>
      <c r="H6502" t="s">
        <v>17</v>
      </c>
      <c r="I6502">
        <v>0</v>
      </c>
      <c r="J6502">
        <v>0</v>
      </c>
      <c r="K6502">
        <v>1</v>
      </c>
    </row>
    <row r="6503" spans="1:11" x14ac:dyDescent="0.25">
      <c r="A6503" t="str">
        <f>"8139"</f>
        <v>8139</v>
      </c>
      <c r="B6503" t="str">
        <f t="shared" si="424"/>
        <v>1</v>
      </c>
      <c r="C6503" t="str">
        <f t="shared" si="426"/>
        <v>351</v>
      </c>
      <c r="D6503" t="str">
        <f>"21"</f>
        <v>21</v>
      </c>
      <c r="E6503" t="str">
        <f>"1-351-21"</f>
        <v>1-351-21</v>
      </c>
      <c r="F6503" t="s">
        <v>15</v>
      </c>
      <c r="G6503" t="s">
        <v>16</v>
      </c>
      <c r="H6503" t="s">
        <v>17</v>
      </c>
      <c r="I6503">
        <v>0</v>
      </c>
      <c r="J6503">
        <v>0</v>
      </c>
      <c r="K6503">
        <v>1</v>
      </c>
    </row>
    <row r="6504" spans="1:11" x14ac:dyDescent="0.25">
      <c r="A6504" t="str">
        <f>"8140"</f>
        <v>8140</v>
      </c>
      <c r="B6504" t="str">
        <f t="shared" si="424"/>
        <v>1</v>
      </c>
      <c r="C6504" t="str">
        <f t="shared" si="426"/>
        <v>351</v>
      </c>
      <c r="D6504" t="str">
        <f>"16"</f>
        <v>16</v>
      </c>
      <c r="E6504" t="str">
        <f>"1-351-16"</f>
        <v>1-351-16</v>
      </c>
      <c r="F6504" t="s">
        <v>15</v>
      </c>
      <c r="G6504" t="s">
        <v>16</v>
      </c>
      <c r="H6504" t="s">
        <v>17</v>
      </c>
      <c r="I6504">
        <v>1</v>
      </c>
      <c r="J6504">
        <v>0</v>
      </c>
      <c r="K6504">
        <v>0</v>
      </c>
    </row>
    <row r="6505" spans="1:11" x14ac:dyDescent="0.25">
      <c r="A6505" t="str">
        <f>"8141"</f>
        <v>8141</v>
      </c>
      <c r="B6505" t="str">
        <f t="shared" si="424"/>
        <v>1</v>
      </c>
      <c r="C6505" t="str">
        <f t="shared" si="426"/>
        <v>351</v>
      </c>
      <c r="D6505" t="str">
        <f>"13"</f>
        <v>13</v>
      </c>
      <c r="E6505" t="str">
        <f>"1-351-13"</f>
        <v>1-351-13</v>
      </c>
      <c r="F6505" t="s">
        <v>15</v>
      </c>
      <c r="G6505" t="s">
        <v>16</v>
      </c>
      <c r="H6505" t="s">
        <v>17</v>
      </c>
      <c r="I6505">
        <v>0</v>
      </c>
      <c r="J6505">
        <v>1</v>
      </c>
      <c r="K6505">
        <v>0</v>
      </c>
    </row>
    <row r="6506" spans="1:11" x14ac:dyDescent="0.25">
      <c r="A6506" t="str">
        <f>"8142"</f>
        <v>8142</v>
      </c>
      <c r="B6506" t="str">
        <f t="shared" si="424"/>
        <v>1</v>
      </c>
      <c r="C6506" t="str">
        <f t="shared" si="426"/>
        <v>351</v>
      </c>
      <c r="D6506" t="str">
        <f>"17"</f>
        <v>17</v>
      </c>
      <c r="E6506" t="str">
        <f>"1-351-17"</f>
        <v>1-351-17</v>
      </c>
      <c r="F6506" t="s">
        <v>15</v>
      </c>
      <c r="G6506" t="s">
        <v>16</v>
      </c>
      <c r="H6506" t="s">
        <v>17</v>
      </c>
      <c r="I6506">
        <v>0</v>
      </c>
      <c r="J6506">
        <v>1</v>
      </c>
      <c r="K6506">
        <v>0</v>
      </c>
    </row>
    <row r="6507" spans="1:11" x14ac:dyDescent="0.25">
      <c r="A6507" t="str">
        <f>"8143"</f>
        <v>8143</v>
      </c>
      <c r="B6507" t="str">
        <f t="shared" si="424"/>
        <v>1</v>
      </c>
      <c r="C6507" t="str">
        <f t="shared" si="426"/>
        <v>351</v>
      </c>
      <c r="D6507" t="str">
        <f>"6"</f>
        <v>6</v>
      </c>
      <c r="E6507" t="str">
        <f>"1-351-6"</f>
        <v>1-351-6</v>
      </c>
      <c r="F6507" t="s">
        <v>15</v>
      </c>
      <c r="G6507" t="s">
        <v>16</v>
      </c>
      <c r="H6507" t="s">
        <v>17</v>
      </c>
      <c r="I6507">
        <v>0</v>
      </c>
      <c r="J6507">
        <v>1</v>
      </c>
      <c r="K6507">
        <v>0</v>
      </c>
    </row>
    <row r="6508" spans="1:11" x14ac:dyDescent="0.25">
      <c r="A6508" t="str">
        <f>"8144"</f>
        <v>8144</v>
      </c>
      <c r="B6508" t="str">
        <f t="shared" si="424"/>
        <v>1</v>
      </c>
      <c r="C6508" t="str">
        <f t="shared" si="426"/>
        <v>351</v>
      </c>
      <c r="D6508" t="str">
        <f>"18"</f>
        <v>18</v>
      </c>
      <c r="E6508" t="str">
        <f>"1-351-18"</f>
        <v>1-351-18</v>
      </c>
      <c r="F6508" t="s">
        <v>15</v>
      </c>
      <c r="G6508" t="s">
        <v>16</v>
      </c>
      <c r="H6508" t="s">
        <v>17</v>
      </c>
      <c r="I6508">
        <v>0</v>
      </c>
      <c r="J6508">
        <v>1</v>
      </c>
      <c r="K6508">
        <v>0</v>
      </c>
    </row>
    <row r="6509" spans="1:11" x14ac:dyDescent="0.25">
      <c r="A6509" t="str">
        <f>"8145"</f>
        <v>8145</v>
      </c>
      <c r="B6509" t="str">
        <f t="shared" si="424"/>
        <v>1</v>
      </c>
      <c r="C6509" t="str">
        <f t="shared" si="426"/>
        <v>351</v>
      </c>
      <c r="D6509" t="str">
        <f>"14"</f>
        <v>14</v>
      </c>
      <c r="E6509" t="str">
        <f>"1-351-14"</f>
        <v>1-351-14</v>
      </c>
      <c r="F6509" t="s">
        <v>15</v>
      </c>
      <c r="G6509" t="s">
        <v>16</v>
      </c>
      <c r="H6509" t="s">
        <v>17</v>
      </c>
      <c r="I6509">
        <v>0</v>
      </c>
      <c r="J6509">
        <v>1</v>
      </c>
      <c r="K6509">
        <v>0</v>
      </c>
    </row>
    <row r="6510" spans="1:11" x14ac:dyDescent="0.25">
      <c r="A6510" t="str">
        <f>"8146"</f>
        <v>8146</v>
      </c>
      <c r="B6510" t="str">
        <f t="shared" si="424"/>
        <v>1</v>
      </c>
      <c r="C6510" t="str">
        <f t="shared" si="426"/>
        <v>351</v>
      </c>
      <c r="D6510" t="str">
        <f>"19"</f>
        <v>19</v>
      </c>
      <c r="E6510" t="str">
        <f>"1-351-19"</f>
        <v>1-351-19</v>
      </c>
      <c r="F6510" t="s">
        <v>15</v>
      </c>
      <c r="G6510" t="s">
        <v>16</v>
      </c>
      <c r="H6510" t="s">
        <v>17</v>
      </c>
      <c r="I6510">
        <v>0</v>
      </c>
      <c r="J6510">
        <v>0</v>
      </c>
      <c r="K6510">
        <v>1</v>
      </c>
    </row>
    <row r="6511" spans="1:11" x14ac:dyDescent="0.25">
      <c r="A6511" t="str">
        <f>"8148"</f>
        <v>8148</v>
      </c>
      <c r="B6511" t="str">
        <f t="shared" si="424"/>
        <v>1</v>
      </c>
      <c r="C6511" t="str">
        <f t="shared" si="426"/>
        <v>351</v>
      </c>
      <c r="D6511" t="str">
        <f>"20"</f>
        <v>20</v>
      </c>
      <c r="E6511" t="str">
        <f>"1-351-20"</f>
        <v>1-351-20</v>
      </c>
      <c r="F6511" t="s">
        <v>15</v>
      </c>
      <c r="G6511" t="s">
        <v>16</v>
      </c>
      <c r="H6511" t="s">
        <v>17</v>
      </c>
      <c r="I6511">
        <v>1</v>
      </c>
      <c r="J6511">
        <v>0</v>
      </c>
      <c r="K6511">
        <v>0</v>
      </c>
    </row>
    <row r="6512" spans="1:11" x14ac:dyDescent="0.25">
      <c r="A6512" t="str">
        <f>"8149"</f>
        <v>8149</v>
      </c>
      <c r="B6512" t="str">
        <f t="shared" si="424"/>
        <v>1</v>
      </c>
      <c r="C6512" t="str">
        <f t="shared" si="426"/>
        <v>351</v>
      </c>
      <c r="D6512" t="str">
        <f>"1"</f>
        <v>1</v>
      </c>
      <c r="E6512" t="str">
        <f>"1-351-1"</f>
        <v>1-351-1</v>
      </c>
      <c r="F6512" t="s">
        <v>15</v>
      </c>
      <c r="G6512" t="s">
        <v>16</v>
      </c>
      <c r="H6512" t="s">
        <v>17</v>
      </c>
      <c r="I6512">
        <v>1</v>
      </c>
      <c r="J6512">
        <v>0</v>
      </c>
      <c r="K6512">
        <v>0</v>
      </c>
    </row>
    <row r="6513" spans="1:11" x14ac:dyDescent="0.25">
      <c r="A6513" t="str">
        <f>"8150"</f>
        <v>8150</v>
      </c>
      <c r="B6513" t="str">
        <f t="shared" si="424"/>
        <v>1</v>
      </c>
      <c r="C6513" t="str">
        <f t="shared" si="426"/>
        <v>351</v>
      </c>
      <c r="D6513" t="str">
        <f>"22"</f>
        <v>22</v>
      </c>
      <c r="E6513" t="str">
        <f>"1-351-22"</f>
        <v>1-351-22</v>
      </c>
      <c r="F6513" t="s">
        <v>15</v>
      </c>
      <c r="G6513" t="s">
        <v>16</v>
      </c>
      <c r="H6513" t="s">
        <v>17</v>
      </c>
      <c r="I6513">
        <v>0</v>
      </c>
      <c r="J6513">
        <v>0</v>
      </c>
      <c r="K6513">
        <v>1</v>
      </c>
    </row>
    <row r="6514" spans="1:11" x14ac:dyDescent="0.25">
      <c r="A6514" t="str">
        <f>"8151"</f>
        <v>8151</v>
      </c>
      <c r="B6514" t="str">
        <f t="shared" si="424"/>
        <v>1</v>
      </c>
      <c r="C6514" t="str">
        <f t="shared" si="426"/>
        <v>351</v>
      </c>
      <c r="D6514" t="str">
        <f>"9"</f>
        <v>9</v>
      </c>
      <c r="E6514" t="str">
        <f>"1-351-9"</f>
        <v>1-351-9</v>
      </c>
      <c r="F6514" t="s">
        <v>15</v>
      </c>
      <c r="G6514" t="s">
        <v>16</v>
      </c>
      <c r="H6514" t="s">
        <v>17</v>
      </c>
      <c r="I6514">
        <v>0</v>
      </c>
      <c r="J6514">
        <v>0</v>
      </c>
      <c r="K6514">
        <v>1</v>
      </c>
    </row>
    <row r="6515" spans="1:11" x14ac:dyDescent="0.25">
      <c r="A6515" t="str">
        <f>"8152"</f>
        <v>8152</v>
      </c>
      <c r="B6515" t="str">
        <f t="shared" si="424"/>
        <v>1</v>
      </c>
      <c r="C6515" t="str">
        <f t="shared" si="426"/>
        <v>351</v>
      </c>
      <c r="D6515" t="str">
        <f>"3"</f>
        <v>3</v>
      </c>
      <c r="E6515" t="str">
        <f>"1-351-3"</f>
        <v>1-351-3</v>
      </c>
      <c r="F6515" t="s">
        <v>15</v>
      </c>
      <c r="G6515" t="s">
        <v>16</v>
      </c>
      <c r="H6515" t="s">
        <v>17</v>
      </c>
      <c r="I6515">
        <v>0</v>
      </c>
      <c r="J6515">
        <v>0</v>
      </c>
      <c r="K6515">
        <v>1</v>
      </c>
    </row>
    <row r="6516" spans="1:11" x14ac:dyDescent="0.25">
      <c r="A6516" t="str">
        <f>"8153"</f>
        <v>8153</v>
      </c>
      <c r="B6516" t="str">
        <f t="shared" si="424"/>
        <v>1</v>
      </c>
      <c r="C6516" t="str">
        <f t="shared" si="426"/>
        <v>351</v>
      </c>
      <c r="D6516" t="str">
        <f>"8"</f>
        <v>8</v>
      </c>
      <c r="E6516" t="str">
        <f>"1-351-8"</f>
        <v>1-351-8</v>
      </c>
      <c r="F6516" t="s">
        <v>15</v>
      </c>
      <c r="G6516" t="s">
        <v>16</v>
      </c>
      <c r="H6516" t="s">
        <v>17</v>
      </c>
      <c r="I6516">
        <v>0</v>
      </c>
      <c r="J6516">
        <v>1</v>
      </c>
      <c r="K6516">
        <v>0</v>
      </c>
    </row>
    <row r="6517" spans="1:11" x14ac:dyDescent="0.25">
      <c r="A6517" t="str">
        <f>"8154"</f>
        <v>8154</v>
      </c>
      <c r="B6517" t="str">
        <f t="shared" ref="B6517:B6565" si="427">"1"</f>
        <v>1</v>
      </c>
      <c r="C6517" t="str">
        <f t="shared" si="426"/>
        <v>351</v>
      </c>
      <c r="D6517" t="str">
        <f>"12"</f>
        <v>12</v>
      </c>
      <c r="E6517" t="str">
        <f>"1-351-12"</f>
        <v>1-351-12</v>
      </c>
      <c r="F6517" t="s">
        <v>15</v>
      </c>
      <c r="G6517" t="s">
        <v>18</v>
      </c>
      <c r="H6517" t="s">
        <v>19</v>
      </c>
      <c r="I6517">
        <v>0</v>
      </c>
      <c r="J6517">
        <v>0</v>
      </c>
      <c r="K6517">
        <v>1</v>
      </c>
    </row>
    <row r="6518" spans="1:11" x14ac:dyDescent="0.25">
      <c r="A6518" t="str">
        <f>"8155"</f>
        <v>8155</v>
      </c>
      <c r="B6518" t="str">
        <f t="shared" si="427"/>
        <v>1</v>
      </c>
      <c r="C6518" t="str">
        <f t="shared" si="426"/>
        <v>351</v>
      </c>
      <c r="D6518" t="str">
        <f>"7"</f>
        <v>7</v>
      </c>
      <c r="E6518" t="str">
        <f>"1-351-7"</f>
        <v>1-351-7</v>
      </c>
      <c r="F6518" t="s">
        <v>15</v>
      </c>
      <c r="G6518" t="s">
        <v>16</v>
      </c>
      <c r="H6518" t="s">
        <v>17</v>
      </c>
      <c r="I6518">
        <v>0</v>
      </c>
      <c r="J6518">
        <v>0</v>
      </c>
      <c r="K6518">
        <v>1</v>
      </c>
    </row>
    <row r="6519" spans="1:11" x14ac:dyDescent="0.25">
      <c r="A6519" t="str">
        <f>"8156"</f>
        <v>8156</v>
      </c>
      <c r="B6519" t="str">
        <f t="shared" si="427"/>
        <v>1</v>
      </c>
      <c r="C6519" t="str">
        <f t="shared" si="426"/>
        <v>351</v>
      </c>
      <c r="D6519" t="str">
        <f>"4"</f>
        <v>4</v>
      </c>
      <c r="E6519" t="str">
        <f>"1-351-4"</f>
        <v>1-351-4</v>
      </c>
      <c r="F6519" t="s">
        <v>15</v>
      </c>
      <c r="G6519" t="s">
        <v>16</v>
      </c>
      <c r="H6519" t="s">
        <v>17</v>
      </c>
      <c r="I6519">
        <v>0</v>
      </c>
      <c r="J6519">
        <v>0</v>
      </c>
      <c r="K6519">
        <v>0</v>
      </c>
    </row>
    <row r="6520" spans="1:11" x14ac:dyDescent="0.25">
      <c r="A6520" t="str">
        <f>"8157"</f>
        <v>8157</v>
      </c>
      <c r="B6520" t="str">
        <f t="shared" si="427"/>
        <v>1</v>
      </c>
      <c r="C6520" t="str">
        <f t="shared" si="426"/>
        <v>351</v>
      </c>
      <c r="D6520" t="str">
        <f>"10"</f>
        <v>10</v>
      </c>
      <c r="E6520" t="str">
        <f>"1-351-10"</f>
        <v>1-351-10</v>
      </c>
      <c r="F6520" t="s">
        <v>15</v>
      </c>
      <c r="G6520" t="s">
        <v>16</v>
      </c>
      <c r="H6520" t="s">
        <v>17</v>
      </c>
      <c r="I6520">
        <v>0</v>
      </c>
      <c r="J6520">
        <v>0</v>
      </c>
      <c r="K6520">
        <v>0</v>
      </c>
    </row>
    <row r="6521" spans="1:11" x14ac:dyDescent="0.25">
      <c r="A6521" t="str">
        <f>"8158"</f>
        <v>8158</v>
      </c>
      <c r="B6521" t="str">
        <f t="shared" si="427"/>
        <v>1</v>
      </c>
      <c r="C6521" t="str">
        <f t="shared" si="426"/>
        <v>351</v>
      </c>
      <c r="D6521" t="str">
        <f>"11"</f>
        <v>11</v>
      </c>
      <c r="E6521" t="str">
        <f>"1-351-11"</f>
        <v>1-351-11</v>
      </c>
      <c r="F6521" t="s">
        <v>15</v>
      </c>
      <c r="G6521" t="s">
        <v>18</v>
      </c>
      <c r="H6521" t="s">
        <v>19</v>
      </c>
      <c r="I6521">
        <v>0</v>
      </c>
      <c r="J6521">
        <v>0</v>
      </c>
      <c r="K6521">
        <v>0</v>
      </c>
    </row>
    <row r="6522" spans="1:11" x14ac:dyDescent="0.25">
      <c r="A6522" t="str">
        <f>"8159"</f>
        <v>8159</v>
      </c>
      <c r="B6522" t="str">
        <f t="shared" si="427"/>
        <v>1</v>
      </c>
      <c r="C6522" t="str">
        <f t="shared" ref="C6522:C6543" si="428">"352"</f>
        <v>352</v>
      </c>
      <c r="D6522" t="str">
        <f>"15"</f>
        <v>15</v>
      </c>
      <c r="E6522" t="str">
        <f>"1-352-15"</f>
        <v>1-352-15</v>
      </c>
      <c r="F6522" t="s">
        <v>15</v>
      </c>
      <c r="G6522" t="s">
        <v>18</v>
      </c>
      <c r="H6522" t="s">
        <v>19</v>
      </c>
      <c r="I6522">
        <v>1</v>
      </c>
      <c r="J6522">
        <v>0</v>
      </c>
      <c r="K6522">
        <v>0</v>
      </c>
    </row>
    <row r="6523" spans="1:11" x14ac:dyDescent="0.25">
      <c r="A6523" t="str">
        <f>"8160"</f>
        <v>8160</v>
      </c>
      <c r="B6523" t="str">
        <f t="shared" si="427"/>
        <v>1</v>
      </c>
      <c r="C6523" t="str">
        <f t="shared" si="428"/>
        <v>352</v>
      </c>
      <c r="D6523" t="str">
        <f>"1"</f>
        <v>1</v>
      </c>
      <c r="E6523" t="str">
        <f>"1-352-1"</f>
        <v>1-352-1</v>
      </c>
      <c r="F6523" t="s">
        <v>15</v>
      </c>
      <c r="G6523" t="s">
        <v>20</v>
      </c>
      <c r="H6523" t="s">
        <v>21</v>
      </c>
      <c r="I6523">
        <v>1</v>
      </c>
      <c r="J6523">
        <v>0</v>
      </c>
      <c r="K6523">
        <v>0</v>
      </c>
    </row>
    <row r="6524" spans="1:11" x14ac:dyDescent="0.25">
      <c r="A6524" t="str">
        <f>"8161"</f>
        <v>8161</v>
      </c>
      <c r="B6524" t="str">
        <f t="shared" si="427"/>
        <v>1</v>
      </c>
      <c r="C6524" t="str">
        <f t="shared" si="428"/>
        <v>352</v>
      </c>
      <c r="D6524" t="str">
        <f>"16"</f>
        <v>16</v>
      </c>
      <c r="E6524" t="str">
        <f>"1-352-16"</f>
        <v>1-352-16</v>
      </c>
      <c r="F6524" t="s">
        <v>15</v>
      </c>
      <c r="G6524" t="s">
        <v>16</v>
      </c>
      <c r="H6524" t="s">
        <v>17</v>
      </c>
      <c r="I6524">
        <v>0</v>
      </c>
      <c r="J6524">
        <v>0</v>
      </c>
      <c r="K6524">
        <v>1</v>
      </c>
    </row>
    <row r="6525" spans="1:11" x14ac:dyDescent="0.25">
      <c r="A6525" t="str">
        <f>"8162"</f>
        <v>8162</v>
      </c>
      <c r="B6525" t="str">
        <f t="shared" si="427"/>
        <v>1</v>
      </c>
      <c r="C6525" t="str">
        <f t="shared" si="428"/>
        <v>352</v>
      </c>
      <c r="D6525" t="str">
        <f>"9"</f>
        <v>9</v>
      </c>
      <c r="E6525" t="str">
        <f>"1-352-9"</f>
        <v>1-352-9</v>
      </c>
      <c r="F6525" t="s">
        <v>15</v>
      </c>
      <c r="G6525" t="s">
        <v>16</v>
      </c>
      <c r="H6525" t="s">
        <v>17</v>
      </c>
      <c r="I6525">
        <v>0</v>
      </c>
      <c r="J6525">
        <v>0</v>
      </c>
      <c r="K6525">
        <v>1</v>
      </c>
    </row>
    <row r="6526" spans="1:11" x14ac:dyDescent="0.25">
      <c r="A6526" t="str">
        <f>"8163"</f>
        <v>8163</v>
      </c>
      <c r="B6526" t="str">
        <f t="shared" si="427"/>
        <v>1</v>
      </c>
      <c r="C6526" t="str">
        <f t="shared" si="428"/>
        <v>352</v>
      </c>
      <c r="D6526" t="str">
        <f>"17"</f>
        <v>17</v>
      </c>
      <c r="E6526" t="str">
        <f>"1-352-17"</f>
        <v>1-352-17</v>
      </c>
      <c r="F6526" t="s">
        <v>15</v>
      </c>
      <c r="G6526" t="s">
        <v>16</v>
      </c>
      <c r="H6526" t="s">
        <v>17</v>
      </c>
      <c r="I6526">
        <v>0</v>
      </c>
      <c r="J6526">
        <v>1</v>
      </c>
      <c r="K6526">
        <v>0</v>
      </c>
    </row>
    <row r="6527" spans="1:11" x14ac:dyDescent="0.25">
      <c r="A6527" t="str">
        <f>"8164"</f>
        <v>8164</v>
      </c>
      <c r="B6527" t="str">
        <f t="shared" si="427"/>
        <v>1</v>
      </c>
      <c r="C6527" t="str">
        <f t="shared" si="428"/>
        <v>352</v>
      </c>
      <c r="D6527" t="str">
        <f>"6"</f>
        <v>6</v>
      </c>
      <c r="E6527" t="str">
        <f>"1-352-6"</f>
        <v>1-352-6</v>
      </c>
      <c r="F6527" t="s">
        <v>15</v>
      </c>
      <c r="G6527" t="s">
        <v>16</v>
      </c>
      <c r="H6527" t="s">
        <v>17</v>
      </c>
      <c r="I6527">
        <v>1</v>
      </c>
      <c r="J6527">
        <v>0</v>
      </c>
      <c r="K6527">
        <v>0</v>
      </c>
    </row>
    <row r="6528" spans="1:11" x14ac:dyDescent="0.25">
      <c r="A6528" t="str">
        <f>"8165"</f>
        <v>8165</v>
      </c>
      <c r="B6528" t="str">
        <f t="shared" si="427"/>
        <v>1</v>
      </c>
      <c r="C6528" t="str">
        <f t="shared" si="428"/>
        <v>352</v>
      </c>
      <c r="D6528" t="str">
        <f>"18"</f>
        <v>18</v>
      </c>
      <c r="E6528" t="str">
        <f>"1-352-18"</f>
        <v>1-352-18</v>
      </c>
      <c r="F6528" t="s">
        <v>15</v>
      </c>
      <c r="G6528" t="s">
        <v>16</v>
      </c>
      <c r="H6528" t="s">
        <v>17</v>
      </c>
      <c r="I6528">
        <v>0</v>
      </c>
      <c r="J6528">
        <v>1</v>
      </c>
      <c r="K6528">
        <v>0</v>
      </c>
    </row>
    <row r="6529" spans="1:11" x14ac:dyDescent="0.25">
      <c r="A6529" t="str">
        <f>"8166"</f>
        <v>8166</v>
      </c>
      <c r="B6529" t="str">
        <f t="shared" si="427"/>
        <v>1</v>
      </c>
      <c r="C6529" t="str">
        <f t="shared" si="428"/>
        <v>352</v>
      </c>
      <c r="D6529" t="str">
        <f>"11"</f>
        <v>11</v>
      </c>
      <c r="E6529" t="str">
        <f>"1-352-11"</f>
        <v>1-352-11</v>
      </c>
      <c r="F6529" t="s">
        <v>15</v>
      </c>
      <c r="G6529" t="s">
        <v>16</v>
      </c>
      <c r="H6529" t="s">
        <v>17</v>
      </c>
      <c r="I6529">
        <v>1</v>
      </c>
      <c r="J6529">
        <v>0</v>
      </c>
      <c r="K6529">
        <v>0</v>
      </c>
    </row>
    <row r="6530" spans="1:11" x14ac:dyDescent="0.25">
      <c r="A6530" t="str">
        <f>"8167"</f>
        <v>8167</v>
      </c>
      <c r="B6530" t="str">
        <f t="shared" si="427"/>
        <v>1</v>
      </c>
      <c r="C6530" t="str">
        <f t="shared" si="428"/>
        <v>352</v>
      </c>
      <c r="D6530" t="str">
        <f>"19"</f>
        <v>19</v>
      </c>
      <c r="E6530" t="str">
        <f>"1-352-19"</f>
        <v>1-352-19</v>
      </c>
      <c r="F6530" t="s">
        <v>15</v>
      </c>
      <c r="G6530" t="s">
        <v>16</v>
      </c>
      <c r="H6530" t="s">
        <v>17</v>
      </c>
      <c r="I6530">
        <v>0</v>
      </c>
      <c r="J6530">
        <v>0</v>
      </c>
      <c r="K6530">
        <v>1</v>
      </c>
    </row>
    <row r="6531" spans="1:11" x14ac:dyDescent="0.25">
      <c r="A6531" t="str">
        <f>"8169"</f>
        <v>8169</v>
      </c>
      <c r="B6531" t="str">
        <f t="shared" si="427"/>
        <v>1</v>
      </c>
      <c r="C6531" t="str">
        <f t="shared" si="428"/>
        <v>352</v>
      </c>
      <c r="D6531" t="str">
        <f>"20"</f>
        <v>20</v>
      </c>
      <c r="E6531" t="str">
        <f>"1-352-20"</f>
        <v>1-352-20</v>
      </c>
      <c r="F6531" t="s">
        <v>15</v>
      </c>
      <c r="G6531" t="s">
        <v>16</v>
      </c>
      <c r="H6531" t="s">
        <v>17</v>
      </c>
      <c r="I6531">
        <v>0</v>
      </c>
      <c r="J6531">
        <v>0</v>
      </c>
      <c r="K6531">
        <v>1</v>
      </c>
    </row>
    <row r="6532" spans="1:11" x14ac:dyDescent="0.25">
      <c r="A6532" t="str">
        <f>"8171"</f>
        <v>8171</v>
      </c>
      <c r="B6532" t="str">
        <f t="shared" si="427"/>
        <v>1</v>
      </c>
      <c r="C6532" t="str">
        <f t="shared" si="428"/>
        <v>352</v>
      </c>
      <c r="D6532" t="str">
        <f>"21"</f>
        <v>21</v>
      </c>
      <c r="E6532" t="str">
        <f>"1-352-21"</f>
        <v>1-352-21</v>
      </c>
      <c r="F6532" t="s">
        <v>15</v>
      </c>
      <c r="G6532" t="s">
        <v>16</v>
      </c>
      <c r="H6532" t="s">
        <v>17</v>
      </c>
      <c r="I6532">
        <v>0</v>
      </c>
      <c r="J6532">
        <v>1</v>
      </c>
      <c r="K6532">
        <v>0</v>
      </c>
    </row>
    <row r="6533" spans="1:11" x14ac:dyDescent="0.25">
      <c r="A6533" t="str">
        <f>"8172"</f>
        <v>8172</v>
      </c>
      <c r="B6533" t="str">
        <f t="shared" si="427"/>
        <v>1</v>
      </c>
      <c r="C6533" t="str">
        <f t="shared" si="428"/>
        <v>352</v>
      </c>
      <c r="D6533" t="str">
        <f>"4"</f>
        <v>4</v>
      </c>
      <c r="E6533" t="str">
        <f>"1-352-4"</f>
        <v>1-352-4</v>
      </c>
      <c r="F6533" t="s">
        <v>15</v>
      </c>
      <c r="G6533" t="s">
        <v>16</v>
      </c>
      <c r="H6533" t="s">
        <v>17</v>
      </c>
      <c r="I6533">
        <v>1</v>
      </c>
      <c r="J6533">
        <v>0</v>
      </c>
      <c r="K6533">
        <v>0</v>
      </c>
    </row>
    <row r="6534" spans="1:11" x14ac:dyDescent="0.25">
      <c r="A6534" t="str">
        <f>"8173"</f>
        <v>8173</v>
      </c>
      <c r="B6534" t="str">
        <f t="shared" si="427"/>
        <v>1</v>
      </c>
      <c r="C6534" t="str">
        <f t="shared" si="428"/>
        <v>352</v>
      </c>
      <c r="D6534" t="str">
        <f>"22"</f>
        <v>22</v>
      </c>
      <c r="E6534" t="str">
        <f>"1-352-22"</f>
        <v>1-352-22</v>
      </c>
      <c r="F6534" t="s">
        <v>15</v>
      </c>
      <c r="G6534" t="s">
        <v>16</v>
      </c>
      <c r="H6534" t="s">
        <v>17</v>
      </c>
      <c r="I6534">
        <v>0</v>
      </c>
      <c r="J6534">
        <v>1</v>
      </c>
      <c r="K6534">
        <v>0</v>
      </c>
    </row>
    <row r="6535" spans="1:11" x14ac:dyDescent="0.25">
      <c r="A6535" t="str">
        <f>"8174"</f>
        <v>8174</v>
      </c>
      <c r="B6535" t="str">
        <f t="shared" si="427"/>
        <v>1</v>
      </c>
      <c r="C6535" t="str">
        <f t="shared" si="428"/>
        <v>352</v>
      </c>
      <c r="D6535" t="str">
        <f>"2"</f>
        <v>2</v>
      </c>
      <c r="E6535" t="str">
        <f>"1-352-2"</f>
        <v>1-352-2</v>
      </c>
      <c r="F6535" t="s">
        <v>15</v>
      </c>
      <c r="G6535" t="s">
        <v>18</v>
      </c>
      <c r="H6535" t="s">
        <v>19</v>
      </c>
      <c r="I6535">
        <v>0</v>
      </c>
      <c r="J6535">
        <v>0</v>
      </c>
      <c r="K6535">
        <v>1</v>
      </c>
    </row>
    <row r="6536" spans="1:11" x14ac:dyDescent="0.25">
      <c r="A6536" t="str">
        <f>"8175"</f>
        <v>8175</v>
      </c>
      <c r="B6536" t="str">
        <f t="shared" si="427"/>
        <v>1</v>
      </c>
      <c r="C6536" t="str">
        <f t="shared" si="428"/>
        <v>352</v>
      </c>
      <c r="D6536" t="str">
        <f>"23"</f>
        <v>23</v>
      </c>
      <c r="E6536" t="str">
        <f>"1-352-23"</f>
        <v>1-352-23</v>
      </c>
      <c r="F6536" t="s">
        <v>15</v>
      </c>
      <c r="G6536" t="s">
        <v>16</v>
      </c>
      <c r="H6536" t="s">
        <v>17</v>
      </c>
      <c r="I6536">
        <v>0</v>
      </c>
      <c r="J6536">
        <v>1</v>
      </c>
      <c r="K6536">
        <v>0</v>
      </c>
    </row>
    <row r="6537" spans="1:11" x14ac:dyDescent="0.25">
      <c r="A6537" t="str">
        <f>"8176"</f>
        <v>8176</v>
      </c>
      <c r="B6537" t="str">
        <f t="shared" si="427"/>
        <v>1</v>
      </c>
      <c r="C6537" t="str">
        <f t="shared" si="428"/>
        <v>352</v>
      </c>
      <c r="D6537" t="str">
        <f>"8"</f>
        <v>8</v>
      </c>
      <c r="E6537" t="str">
        <f>"1-352-8"</f>
        <v>1-352-8</v>
      </c>
      <c r="F6537" t="s">
        <v>15</v>
      </c>
      <c r="G6537" t="s">
        <v>20</v>
      </c>
      <c r="H6537" t="s">
        <v>21</v>
      </c>
      <c r="I6537">
        <v>1</v>
      </c>
      <c r="J6537">
        <v>0</v>
      </c>
      <c r="K6537">
        <v>0</v>
      </c>
    </row>
    <row r="6538" spans="1:11" x14ac:dyDescent="0.25">
      <c r="A6538" t="str">
        <f>"8177"</f>
        <v>8177</v>
      </c>
      <c r="B6538" t="str">
        <f t="shared" si="427"/>
        <v>1</v>
      </c>
      <c r="C6538" t="str">
        <f t="shared" si="428"/>
        <v>352</v>
      </c>
      <c r="D6538" t="str">
        <f>"24"</f>
        <v>24</v>
      </c>
      <c r="E6538" t="str">
        <f>"1-352-24"</f>
        <v>1-352-24</v>
      </c>
      <c r="F6538" t="s">
        <v>15</v>
      </c>
      <c r="G6538" t="s">
        <v>16</v>
      </c>
      <c r="H6538" t="s">
        <v>17</v>
      </c>
      <c r="I6538">
        <v>1</v>
      </c>
      <c r="J6538">
        <v>0</v>
      </c>
      <c r="K6538">
        <v>0</v>
      </c>
    </row>
    <row r="6539" spans="1:11" x14ac:dyDescent="0.25">
      <c r="A6539" t="str">
        <f>"8178"</f>
        <v>8178</v>
      </c>
      <c r="B6539" t="str">
        <f t="shared" si="427"/>
        <v>1</v>
      </c>
      <c r="C6539" t="str">
        <f t="shared" si="428"/>
        <v>352</v>
      </c>
      <c r="D6539" t="str">
        <f>"7"</f>
        <v>7</v>
      </c>
      <c r="E6539" t="str">
        <f>"1-352-7"</f>
        <v>1-352-7</v>
      </c>
      <c r="F6539" t="s">
        <v>15</v>
      </c>
      <c r="G6539" t="s">
        <v>16</v>
      </c>
      <c r="H6539" t="s">
        <v>17</v>
      </c>
      <c r="I6539">
        <v>0</v>
      </c>
      <c r="J6539">
        <v>1</v>
      </c>
      <c r="K6539">
        <v>0</v>
      </c>
    </row>
    <row r="6540" spans="1:11" x14ac:dyDescent="0.25">
      <c r="A6540" t="str">
        <f>"8180"</f>
        <v>8180</v>
      </c>
      <c r="B6540" t="str">
        <f t="shared" si="427"/>
        <v>1</v>
      </c>
      <c r="C6540" t="str">
        <f t="shared" si="428"/>
        <v>352</v>
      </c>
      <c r="D6540" t="str">
        <f>"5"</f>
        <v>5</v>
      </c>
      <c r="E6540" t="str">
        <f>"1-352-5"</f>
        <v>1-352-5</v>
      </c>
      <c r="F6540" t="s">
        <v>15</v>
      </c>
      <c r="G6540" t="s">
        <v>16</v>
      </c>
      <c r="H6540" t="s">
        <v>17</v>
      </c>
      <c r="I6540">
        <v>1</v>
      </c>
      <c r="J6540">
        <v>0</v>
      </c>
      <c r="K6540">
        <v>0</v>
      </c>
    </row>
    <row r="6541" spans="1:11" x14ac:dyDescent="0.25">
      <c r="A6541" t="str">
        <f>"8181"</f>
        <v>8181</v>
      </c>
      <c r="B6541" t="str">
        <f t="shared" si="427"/>
        <v>1</v>
      </c>
      <c r="C6541" t="str">
        <f t="shared" si="428"/>
        <v>352</v>
      </c>
      <c r="D6541" t="str">
        <f>"3"</f>
        <v>3</v>
      </c>
      <c r="E6541" t="str">
        <f>"1-352-3"</f>
        <v>1-352-3</v>
      </c>
      <c r="F6541" t="s">
        <v>15</v>
      </c>
      <c r="G6541" t="s">
        <v>16</v>
      </c>
      <c r="H6541" t="s">
        <v>17</v>
      </c>
      <c r="I6541">
        <v>0</v>
      </c>
      <c r="J6541">
        <v>1</v>
      </c>
      <c r="K6541">
        <v>0</v>
      </c>
    </row>
    <row r="6542" spans="1:11" x14ac:dyDescent="0.25">
      <c r="A6542" t="str">
        <f>"8182"</f>
        <v>8182</v>
      </c>
      <c r="B6542" t="str">
        <f t="shared" si="427"/>
        <v>1</v>
      </c>
      <c r="C6542" t="str">
        <f t="shared" si="428"/>
        <v>352</v>
      </c>
      <c r="D6542" t="str">
        <f>"10"</f>
        <v>10</v>
      </c>
      <c r="E6542" t="str">
        <f>"1-352-10"</f>
        <v>1-352-10</v>
      </c>
      <c r="F6542" t="s">
        <v>15</v>
      </c>
      <c r="G6542" t="s">
        <v>16</v>
      </c>
      <c r="H6542" t="s">
        <v>17</v>
      </c>
      <c r="I6542">
        <v>1</v>
      </c>
      <c r="J6542">
        <v>0</v>
      </c>
      <c r="K6542">
        <v>0</v>
      </c>
    </row>
    <row r="6543" spans="1:11" x14ac:dyDescent="0.25">
      <c r="A6543" t="str">
        <f>"8183"</f>
        <v>8183</v>
      </c>
      <c r="B6543" t="str">
        <f t="shared" si="427"/>
        <v>1</v>
      </c>
      <c r="C6543" t="str">
        <f t="shared" si="428"/>
        <v>352</v>
      </c>
      <c r="D6543" t="str">
        <f>"14"</f>
        <v>14</v>
      </c>
      <c r="E6543" t="str">
        <f>"1-352-14"</f>
        <v>1-352-14</v>
      </c>
      <c r="F6543" t="s">
        <v>15</v>
      </c>
      <c r="G6543" t="s">
        <v>16</v>
      </c>
      <c r="H6543" t="s">
        <v>17</v>
      </c>
      <c r="I6543">
        <v>0</v>
      </c>
      <c r="J6543">
        <v>1</v>
      </c>
      <c r="K6543">
        <v>0</v>
      </c>
    </row>
    <row r="6544" spans="1:11" x14ac:dyDescent="0.25">
      <c r="A6544" t="str">
        <f>"8184"</f>
        <v>8184</v>
      </c>
      <c r="B6544" t="str">
        <f t="shared" si="427"/>
        <v>1</v>
      </c>
      <c r="C6544" t="str">
        <f t="shared" ref="C6544:C6565" si="429">"353"</f>
        <v>353</v>
      </c>
      <c r="D6544" t="str">
        <f>"21"</f>
        <v>21</v>
      </c>
      <c r="E6544" t="str">
        <f>"1-353-21"</f>
        <v>1-353-21</v>
      </c>
      <c r="F6544" t="s">
        <v>15</v>
      </c>
      <c r="G6544" t="s">
        <v>16</v>
      </c>
      <c r="H6544" t="s">
        <v>17</v>
      </c>
      <c r="I6544">
        <v>0</v>
      </c>
      <c r="J6544">
        <v>1</v>
      </c>
      <c r="K6544">
        <v>0</v>
      </c>
    </row>
    <row r="6545" spans="1:11" x14ac:dyDescent="0.25">
      <c r="A6545" t="str">
        <f>"8185"</f>
        <v>8185</v>
      </c>
      <c r="B6545" t="str">
        <f t="shared" si="427"/>
        <v>1</v>
      </c>
      <c r="C6545" t="str">
        <f t="shared" si="429"/>
        <v>353</v>
      </c>
      <c r="D6545" t="str">
        <f>"15"</f>
        <v>15</v>
      </c>
      <c r="E6545" t="str">
        <f>"1-353-15"</f>
        <v>1-353-15</v>
      </c>
      <c r="F6545" t="s">
        <v>15</v>
      </c>
      <c r="G6545" t="s">
        <v>16</v>
      </c>
      <c r="H6545" t="s">
        <v>17</v>
      </c>
      <c r="I6545">
        <v>1</v>
      </c>
      <c r="J6545">
        <v>0</v>
      </c>
      <c r="K6545">
        <v>0</v>
      </c>
    </row>
    <row r="6546" spans="1:11" x14ac:dyDescent="0.25">
      <c r="A6546" t="str">
        <f>"8186"</f>
        <v>8186</v>
      </c>
      <c r="B6546" t="str">
        <f t="shared" si="427"/>
        <v>1</v>
      </c>
      <c r="C6546" t="str">
        <f t="shared" si="429"/>
        <v>353</v>
      </c>
      <c r="D6546" t="str">
        <f>"6"</f>
        <v>6</v>
      </c>
      <c r="E6546" t="str">
        <f>"1-353-6"</f>
        <v>1-353-6</v>
      </c>
      <c r="F6546" t="s">
        <v>15</v>
      </c>
      <c r="G6546" t="s">
        <v>18</v>
      </c>
      <c r="H6546" t="s">
        <v>19</v>
      </c>
      <c r="I6546">
        <v>0</v>
      </c>
      <c r="J6546">
        <v>1</v>
      </c>
      <c r="K6546">
        <v>0</v>
      </c>
    </row>
    <row r="6547" spans="1:11" x14ac:dyDescent="0.25">
      <c r="A6547" t="str">
        <f>"8187"</f>
        <v>8187</v>
      </c>
      <c r="B6547" t="str">
        <f t="shared" si="427"/>
        <v>1</v>
      </c>
      <c r="C6547" t="str">
        <f t="shared" si="429"/>
        <v>353</v>
      </c>
      <c r="D6547" t="str">
        <f>"24"</f>
        <v>24</v>
      </c>
      <c r="E6547" t="str">
        <f>"1-353-24"</f>
        <v>1-353-24</v>
      </c>
      <c r="F6547" t="s">
        <v>15</v>
      </c>
      <c r="G6547" t="s">
        <v>16</v>
      </c>
      <c r="H6547" t="s">
        <v>17</v>
      </c>
      <c r="I6547">
        <v>1</v>
      </c>
      <c r="J6547">
        <v>0</v>
      </c>
      <c r="K6547">
        <v>0</v>
      </c>
    </row>
    <row r="6548" spans="1:11" x14ac:dyDescent="0.25">
      <c r="A6548" t="str">
        <f>"8188"</f>
        <v>8188</v>
      </c>
      <c r="B6548" t="str">
        <f t="shared" si="427"/>
        <v>1</v>
      </c>
      <c r="C6548" t="str">
        <f t="shared" si="429"/>
        <v>353</v>
      </c>
      <c r="D6548" t="str">
        <f>"16"</f>
        <v>16</v>
      </c>
      <c r="E6548" t="str">
        <f>"1-353-16"</f>
        <v>1-353-16</v>
      </c>
      <c r="F6548" t="s">
        <v>15</v>
      </c>
      <c r="G6548" t="s">
        <v>18</v>
      </c>
      <c r="H6548" t="s">
        <v>19</v>
      </c>
      <c r="I6548">
        <v>1</v>
      </c>
      <c r="J6548">
        <v>0</v>
      </c>
      <c r="K6548">
        <v>0</v>
      </c>
    </row>
    <row r="6549" spans="1:11" x14ac:dyDescent="0.25">
      <c r="A6549" t="str">
        <f>"8189"</f>
        <v>8189</v>
      </c>
      <c r="B6549" t="str">
        <f t="shared" si="427"/>
        <v>1</v>
      </c>
      <c r="C6549" t="str">
        <f t="shared" si="429"/>
        <v>353</v>
      </c>
      <c r="D6549" t="str">
        <f>"11"</f>
        <v>11</v>
      </c>
      <c r="E6549" t="str">
        <f>"1-353-11"</f>
        <v>1-353-11</v>
      </c>
      <c r="F6549" t="s">
        <v>15</v>
      </c>
      <c r="G6549" t="s">
        <v>16</v>
      </c>
      <c r="H6549" t="s">
        <v>17</v>
      </c>
      <c r="I6549">
        <v>0</v>
      </c>
      <c r="J6549">
        <v>0</v>
      </c>
      <c r="K6549">
        <v>1</v>
      </c>
    </row>
    <row r="6550" spans="1:11" x14ac:dyDescent="0.25">
      <c r="A6550" t="str">
        <f>"8190"</f>
        <v>8190</v>
      </c>
      <c r="B6550" t="str">
        <f t="shared" si="427"/>
        <v>1</v>
      </c>
      <c r="C6550" t="str">
        <f t="shared" si="429"/>
        <v>353</v>
      </c>
      <c r="D6550" t="str">
        <f>"17"</f>
        <v>17</v>
      </c>
      <c r="E6550" t="str">
        <f>"1-353-17"</f>
        <v>1-353-17</v>
      </c>
      <c r="F6550" t="s">
        <v>15</v>
      </c>
      <c r="G6550" t="s">
        <v>18</v>
      </c>
      <c r="H6550" t="s">
        <v>19</v>
      </c>
      <c r="I6550">
        <v>1</v>
      </c>
      <c r="J6550">
        <v>0</v>
      </c>
      <c r="K6550">
        <v>0</v>
      </c>
    </row>
    <row r="6551" spans="1:11" x14ac:dyDescent="0.25">
      <c r="A6551" t="str">
        <f>"8191"</f>
        <v>8191</v>
      </c>
      <c r="B6551" t="str">
        <f t="shared" si="427"/>
        <v>1</v>
      </c>
      <c r="C6551" t="str">
        <f t="shared" si="429"/>
        <v>353</v>
      </c>
      <c r="D6551" t="str">
        <f>"3"</f>
        <v>3</v>
      </c>
      <c r="E6551" t="str">
        <f>"1-353-3"</f>
        <v>1-353-3</v>
      </c>
      <c r="F6551" t="s">
        <v>15</v>
      </c>
      <c r="G6551" t="s">
        <v>16</v>
      </c>
      <c r="H6551" t="s">
        <v>17</v>
      </c>
      <c r="I6551">
        <v>1</v>
      </c>
      <c r="J6551">
        <v>0</v>
      </c>
      <c r="K6551">
        <v>0</v>
      </c>
    </row>
    <row r="6552" spans="1:11" x14ac:dyDescent="0.25">
      <c r="A6552" t="str">
        <f>"8193"</f>
        <v>8193</v>
      </c>
      <c r="B6552" t="str">
        <f t="shared" si="427"/>
        <v>1</v>
      </c>
      <c r="C6552" t="str">
        <f t="shared" si="429"/>
        <v>353</v>
      </c>
      <c r="D6552" t="str">
        <f>"13"</f>
        <v>13</v>
      </c>
      <c r="E6552" t="str">
        <f>"1-353-13"</f>
        <v>1-353-13</v>
      </c>
      <c r="F6552" t="s">
        <v>15</v>
      </c>
      <c r="G6552" t="s">
        <v>16</v>
      </c>
      <c r="H6552" t="s">
        <v>17</v>
      </c>
      <c r="I6552">
        <v>0</v>
      </c>
      <c r="J6552">
        <v>1</v>
      </c>
      <c r="K6552">
        <v>0</v>
      </c>
    </row>
    <row r="6553" spans="1:11" x14ac:dyDescent="0.25">
      <c r="A6553" t="str">
        <f>"8194"</f>
        <v>8194</v>
      </c>
      <c r="B6553" t="str">
        <f t="shared" si="427"/>
        <v>1</v>
      </c>
      <c r="C6553" t="str">
        <f t="shared" si="429"/>
        <v>353</v>
      </c>
      <c r="D6553" t="str">
        <f>"19"</f>
        <v>19</v>
      </c>
      <c r="E6553" t="str">
        <f>"1-353-19"</f>
        <v>1-353-19</v>
      </c>
      <c r="F6553" t="s">
        <v>15</v>
      </c>
      <c r="G6553" t="s">
        <v>16</v>
      </c>
      <c r="H6553" t="s">
        <v>17</v>
      </c>
      <c r="I6553">
        <v>0</v>
      </c>
      <c r="J6553">
        <v>1</v>
      </c>
      <c r="K6553">
        <v>0</v>
      </c>
    </row>
    <row r="6554" spans="1:11" x14ac:dyDescent="0.25">
      <c r="A6554" t="str">
        <f>"8197"</f>
        <v>8197</v>
      </c>
      <c r="B6554" t="str">
        <f t="shared" si="427"/>
        <v>1</v>
      </c>
      <c r="C6554" t="str">
        <f t="shared" si="429"/>
        <v>353</v>
      </c>
      <c r="D6554" t="str">
        <f>"10"</f>
        <v>10</v>
      </c>
      <c r="E6554" t="str">
        <f>"1-353-10"</f>
        <v>1-353-10</v>
      </c>
      <c r="F6554" t="s">
        <v>15</v>
      </c>
      <c r="G6554" t="s">
        <v>18</v>
      </c>
      <c r="H6554" t="s">
        <v>19</v>
      </c>
      <c r="I6554">
        <v>0</v>
      </c>
      <c r="J6554">
        <v>0</v>
      </c>
      <c r="K6554">
        <v>1</v>
      </c>
    </row>
    <row r="6555" spans="1:11" x14ac:dyDescent="0.25">
      <c r="A6555" t="str">
        <f>"8198"</f>
        <v>8198</v>
      </c>
      <c r="B6555" t="str">
        <f t="shared" si="427"/>
        <v>1</v>
      </c>
      <c r="C6555" t="str">
        <f t="shared" si="429"/>
        <v>353</v>
      </c>
      <c r="D6555" t="str">
        <f>"9"</f>
        <v>9</v>
      </c>
      <c r="E6555" t="str">
        <f>"1-353-9"</f>
        <v>1-353-9</v>
      </c>
      <c r="F6555" t="s">
        <v>15</v>
      </c>
      <c r="G6555" t="s">
        <v>18</v>
      </c>
      <c r="H6555" t="s">
        <v>19</v>
      </c>
      <c r="I6555">
        <v>0</v>
      </c>
      <c r="J6555">
        <v>0</v>
      </c>
      <c r="K6555">
        <v>1</v>
      </c>
    </row>
    <row r="6556" spans="1:11" x14ac:dyDescent="0.25">
      <c r="A6556" t="str">
        <f>"8199"</f>
        <v>8199</v>
      </c>
      <c r="B6556" t="str">
        <f t="shared" si="427"/>
        <v>1</v>
      </c>
      <c r="C6556" t="str">
        <f t="shared" si="429"/>
        <v>353</v>
      </c>
      <c r="D6556" t="str">
        <f>"23"</f>
        <v>23</v>
      </c>
      <c r="E6556" t="str">
        <f>"1-353-23"</f>
        <v>1-353-23</v>
      </c>
      <c r="F6556" t="s">
        <v>15</v>
      </c>
      <c r="G6556" t="s">
        <v>16</v>
      </c>
      <c r="H6556" t="s">
        <v>17</v>
      </c>
      <c r="I6556">
        <v>1</v>
      </c>
      <c r="J6556">
        <v>0</v>
      </c>
      <c r="K6556">
        <v>0</v>
      </c>
    </row>
    <row r="6557" spans="1:11" x14ac:dyDescent="0.25">
      <c r="A6557" t="str">
        <f>"8200"</f>
        <v>8200</v>
      </c>
      <c r="B6557" t="str">
        <f t="shared" si="427"/>
        <v>1</v>
      </c>
      <c r="C6557" t="str">
        <f t="shared" si="429"/>
        <v>353</v>
      </c>
      <c r="D6557" t="str">
        <f>"12"</f>
        <v>12</v>
      </c>
      <c r="E6557" t="str">
        <f>"1-353-12"</f>
        <v>1-353-12</v>
      </c>
      <c r="F6557" t="s">
        <v>15</v>
      </c>
      <c r="G6557" t="s">
        <v>18</v>
      </c>
      <c r="H6557" t="s">
        <v>19</v>
      </c>
      <c r="I6557">
        <v>0</v>
      </c>
      <c r="J6557">
        <v>1</v>
      </c>
      <c r="K6557">
        <v>0</v>
      </c>
    </row>
    <row r="6558" spans="1:11" x14ac:dyDescent="0.25">
      <c r="A6558" t="str">
        <f>"8201"</f>
        <v>8201</v>
      </c>
      <c r="B6558" t="str">
        <f t="shared" si="427"/>
        <v>1</v>
      </c>
      <c r="C6558" t="str">
        <f t="shared" si="429"/>
        <v>353</v>
      </c>
      <c r="D6558" t="str">
        <f>"25"</f>
        <v>25</v>
      </c>
      <c r="E6558" t="str">
        <f>"1-353-25"</f>
        <v>1-353-25</v>
      </c>
      <c r="F6558" t="s">
        <v>15</v>
      </c>
      <c r="G6558" t="s">
        <v>20</v>
      </c>
      <c r="H6558" t="s">
        <v>21</v>
      </c>
      <c r="I6558">
        <v>1</v>
      </c>
      <c r="J6558">
        <v>0</v>
      </c>
      <c r="K6558">
        <v>0</v>
      </c>
    </row>
    <row r="6559" spans="1:11" x14ac:dyDescent="0.25">
      <c r="A6559" t="str">
        <f>"8202"</f>
        <v>8202</v>
      </c>
      <c r="B6559" t="str">
        <f t="shared" si="427"/>
        <v>1</v>
      </c>
      <c r="C6559" t="str">
        <f t="shared" si="429"/>
        <v>353</v>
      </c>
      <c r="D6559" t="str">
        <f>"7"</f>
        <v>7</v>
      </c>
      <c r="E6559" t="str">
        <f>"1-353-7"</f>
        <v>1-353-7</v>
      </c>
      <c r="F6559" t="s">
        <v>15</v>
      </c>
      <c r="G6559" t="s">
        <v>16</v>
      </c>
      <c r="H6559" t="s">
        <v>17</v>
      </c>
      <c r="I6559">
        <v>1</v>
      </c>
      <c r="J6559">
        <v>0</v>
      </c>
      <c r="K6559">
        <v>0</v>
      </c>
    </row>
    <row r="6560" spans="1:11" x14ac:dyDescent="0.25">
      <c r="A6560" t="str">
        <f>"8203"</f>
        <v>8203</v>
      </c>
      <c r="B6560" t="str">
        <f t="shared" si="427"/>
        <v>1</v>
      </c>
      <c r="C6560" t="str">
        <f t="shared" si="429"/>
        <v>353</v>
      </c>
      <c r="D6560" t="str">
        <f>"8"</f>
        <v>8</v>
      </c>
      <c r="E6560" t="str">
        <f>"1-353-8"</f>
        <v>1-353-8</v>
      </c>
      <c r="F6560" t="s">
        <v>15</v>
      </c>
      <c r="G6560" t="s">
        <v>16</v>
      </c>
      <c r="H6560" t="s">
        <v>17</v>
      </c>
      <c r="I6560">
        <v>0</v>
      </c>
      <c r="J6560">
        <v>0</v>
      </c>
      <c r="K6560">
        <v>1</v>
      </c>
    </row>
    <row r="6561" spans="1:11" x14ac:dyDescent="0.25">
      <c r="A6561" t="str">
        <f>"8204"</f>
        <v>8204</v>
      </c>
      <c r="B6561" t="str">
        <f t="shared" si="427"/>
        <v>1</v>
      </c>
      <c r="C6561" t="str">
        <f t="shared" si="429"/>
        <v>353</v>
      </c>
      <c r="D6561" t="str">
        <f>"1"</f>
        <v>1</v>
      </c>
      <c r="E6561" t="str">
        <f>"1-353-1"</f>
        <v>1-353-1</v>
      </c>
      <c r="F6561" t="s">
        <v>15</v>
      </c>
      <c r="G6561" t="s">
        <v>18</v>
      </c>
      <c r="H6561" t="s">
        <v>19</v>
      </c>
      <c r="I6561">
        <v>1</v>
      </c>
      <c r="J6561">
        <v>0</v>
      </c>
      <c r="K6561">
        <v>0</v>
      </c>
    </row>
    <row r="6562" spans="1:11" x14ac:dyDescent="0.25">
      <c r="A6562" t="str">
        <f>"8205"</f>
        <v>8205</v>
      </c>
      <c r="B6562" t="str">
        <f t="shared" si="427"/>
        <v>1</v>
      </c>
      <c r="C6562" t="str">
        <f t="shared" si="429"/>
        <v>353</v>
      </c>
      <c r="D6562" t="str">
        <f>"5"</f>
        <v>5</v>
      </c>
      <c r="E6562" t="str">
        <f>"1-353-5"</f>
        <v>1-353-5</v>
      </c>
      <c r="F6562" t="s">
        <v>15</v>
      </c>
      <c r="G6562" t="s">
        <v>18</v>
      </c>
      <c r="H6562" t="s">
        <v>19</v>
      </c>
      <c r="I6562">
        <v>1</v>
      </c>
      <c r="J6562">
        <v>0</v>
      </c>
      <c r="K6562">
        <v>0</v>
      </c>
    </row>
    <row r="6563" spans="1:11" x14ac:dyDescent="0.25">
      <c r="A6563" t="str">
        <f>"8206"</f>
        <v>8206</v>
      </c>
      <c r="B6563" t="str">
        <f t="shared" si="427"/>
        <v>1</v>
      </c>
      <c r="C6563" t="str">
        <f t="shared" si="429"/>
        <v>353</v>
      </c>
      <c r="D6563" t="str">
        <f>"4"</f>
        <v>4</v>
      </c>
      <c r="E6563" t="str">
        <f>"1-353-4"</f>
        <v>1-353-4</v>
      </c>
      <c r="F6563" t="s">
        <v>15</v>
      </c>
      <c r="G6563" t="s">
        <v>16</v>
      </c>
      <c r="H6563" t="s">
        <v>17</v>
      </c>
      <c r="I6563">
        <v>1</v>
      </c>
      <c r="J6563">
        <v>0</v>
      </c>
      <c r="K6563">
        <v>0</v>
      </c>
    </row>
    <row r="6564" spans="1:11" x14ac:dyDescent="0.25">
      <c r="A6564" t="str">
        <f>"8207"</f>
        <v>8207</v>
      </c>
      <c r="B6564" t="str">
        <f t="shared" si="427"/>
        <v>1</v>
      </c>
      <c r="C6564" t="str">
        <f t="shared" si="429"/>
        <v>353</v>
      </c>
      <c r="D6564" t="str">
        <f>"2"</f>
        <v>2</v>
      </c>
      <c r="E6564" t="str">
        <f>"1-353-2"</f>
        <v>1-353-2</v>
      </c>
      <c r="F6564" t="s">
        <v>15</v>
      </c>
      <c r="G6564" t="s">
        <v>16</v>
      </c>
      <c r="H6564" t="s">
        <v>17</v>
      </c>
      <c r="I6564">
        <v>0</v>
      </c>
      <c r="J6564">
        <v>0</v>
      </c>
      <c r="K6564">
        <v>0</v>
      </c>
    </row>
    <row r="6565" spans="1:11" x14ac:dyDescent="0.25">
      <c r="A6565" t="str">
        <f>"8208"</f>
        <v>8208</v>
      </c>
      <c r="B6565" t="str">
        <f t="shared" si="427"/>
        <v>1</v>
      </c>
      <c r="C6565" t="str">
        <f t="shared" si="429"/>
        <v>353</v>
      </c>
      <c r="D6565" t="str">
        <f>"22"</f>
        <v>22</v>
      </c>
      <c r="E6565" t="str">
        <f>"1-353-22"</f>
        <v>1-353-22</v>
      </c>
      <c r="F6565" t="s">
        <v>15</v>
      </c>
      <c r="G6565" t="s">
        <v>16</v>
      </c>
      <c r="H6565" t="s">
        <v>17</v>
      </c>
      <c r="I6565">
        <v>0</v>
      </c>
      <c r="J6565">
        <v>0</v>
      </c>
      <c r="K6565">
        <v>0</v>
      </c>
    </row>
    <row r="6566" spans="1:11" x14ac:dyDescent="0.25">
      <c r="A6566" t="str">
        <f>"8224"</f>
        <v>8224</v>
      </c>
      <c r="B6566" t="str">
        <f t="shared" ref="B6566:B6622" si="430">"1"</f>
        <v>1</v>
      </c>
      <c r="C6566" t="str">
        <f t="shared" ref="C6566:C6589" si="431">"355"</f>
        <v>355</v>
      </c>
      <c r="D6566" t="str">
        <f>"21"</f>
        <v>21</v>
      </c>
      <c r="E6566" t="str">
        <f>"1-355-21"</f>
        <v>1-355-21</v>
      </c>
      <c r="F6566" t="s">
        <v>15</v>
      </c>
      <c r="G6566" t="s">
        <v>16</v>
      </c>
      <c r="H6566" t="s">
        <v>17</v>
      </c>
      <c r="I6566">
        <v>0</v>
      </c>
      <c r="J6566">
        <v>0</v>
      </c>
      <c r="K6566">
        <v>1</v>
      </c>
    </row>
    <row r="6567" spans="1:11" x14ac:dyDescent="0.25">
      <c r="A6567" t="str">
        <f>"8225"</f>
        <v>8225</v>
      </c>
      <c r="B6567" t="str">
        <f t="shared" si="430"/>
        <v>1</v>
      </c>
      <c r="C6567" t="str">
        <f t="shared" si="431"/>
        <v>355</v>
      </c>
      <c r="D6567" t="str">
        <f>"20"</f>
        <v>20</v>
      </c>
      <c r="E6567" t="str">
        <f>"1-355-20"</f>
        <v>1-355-20</v>
      </c>
      <c r="F6567" t="s">
        <v>15</v>
      </c>
      <c r="G6567" t="s">
        <v>16</v>
      </c>
      <c r="H6567" t="s">
        <v>17</v>
      </c>
      <c r="I6567">
        <v>0</v>
      </c>
      <c r="J6567">
        <v>1</v>
      </c>
      <c r="K6567">
        <v>0</v>
      </c>
    </row>
    <row r="6568" spans="1:11" x14ac:dyDescent="0.25">
      <c r="A6568" t="str">
        <f>"8226"</f>
        <v>8226</v>
      </c>
      <c r="B6568" t="str">
        <f t="shared" si="430"/>
        <v>1</v>
      </c>
      <c r="C6568" t="str">
        <f t="shared" si="431"/>
        <v>355</v>
      </c>
      <c r="D6568" t="str">
        <f>"17"</f>
        <v>17</v>
      </c>
      <c r="E6568" t="str">
        <f>"1-355-17"</f>
        <v>1-355-17</v>
      </c>
      <c r="F6568" t="s">
        <v>15</v>
      </c>
      <c r="G6568" t="s">
        <v>16</v>
      </c>
      <c r="H6568" t="s">
        <v>17</v>
      </c>
      <c r="I6568">
        <v>0</v>
      </c>
      <c r="J6568">
        <v>0</v>
      </c>
      <c r="K6568">
        <v>1</v>
      </c>
    </row>
    <row r="6569" spans="1:11" x14ac:dyDescent="0.25">
      <c r="A6569" t="str">
        <f>"8227"</f>
        <v>8227</v>
      </c>
      <c r="B6569" t="str">
        <f t="shared" si="430"/>
        <v>1</v>
      </c>
      <c r="C6569" t="str">
        <f t="shared" si="431"/>
        <v>355</v>
      </c>
      <c r="D6569" t="str">
        <f>"15"</f>
        <v>15</v>
      </c>
      <c r="E6569" t="str">
        <f>"1-355-15"</f>
        <v>1-355-15</v>
      </c>
      <c r="F6569" t="s">
        <v>15</v>
      </c>
      <c r="G6569" t="s">
        <v>16</v>
      </c>
      <c r="H6569" t="s">
        <v>17</v>
      </c>
      <c r="I6569">
        <v>1</v>
      </c>
      <c r="J6569">
        <v>0</v>
      </c>
      <c r="K6569">
        <v>0</v>
      </c>
    </row>
    <row r="6570" spans="1:11" x14ac:dyDescent="0.25">
      <c r="A6570" t="str">
        <f>"8228"</f>
        <v>8228</v>
      </c>
      <c r="B6570" t="str">
        <f t="shared" si="430"/>
        <v>1</v>
      </c>
      <c r="C6570" t="str">
        <f t="shared" si="431"/>
        <v>355</v>
      </c>
      <c r="D6570" t="str">
        <f>"4"</f>
        <v>4</v>
      </c>
      <c r="E6570" t="str">
        <f>"1-355-4"</f>
        <v>1-355-4</v>
      </c>
      <c r="F6570" t="s">
        <v>15</v>
      </c>
      <c r="G6570" t="s">
        <v>16</v>
      </c>
      <c r="H6570" t="s">
        <v>17</v>
      </c>
      <c r="I6570">
        <v>1</v>
      </c>
      <c r="J6570">
        <v>0</v>
      </c>
      <c r="K6570">
        <v>0</v>
      </c>
    </row>
    <row r="6571" spans="1:11" x14ac:dyDescent="0.25">
      <c r="A6571" t="str">
        <f>"8229"</f>
        <v>8229</v>
      </c>
      <c r="B6571" t="str">
        <f t="shared" si="430"/>
        <v>1</v>
      </c>
      <c r="C6571" t="str">
        <f t="shared" si="431"/>
        <v>355</v>
      </c>
      <c r="D6571" t="str">
        <f>"18"</f>
        <v>18</v>
      </c>
      <c r="E6571" t="str">
        <f>"1-355-18"</f>
        <v>1-355-18</v>
      </c>
      <c r="F6571" t="s">
        <v>15</v>
      </c>
      <c r="G6571" t="s">
        <v>16</v>
      </c>
      <c r="H6571" t="s">
        <v>17</v>
      </c>
      <c r="I6571">
        <v>0</v>
      </c>
      <c r="J6571">
        <v>0</v>
      </c>
      <c r="K6571">
        <v>1</v>
      </c>
    </row>
    <row r="6572" spans="1:11" x14ac:dyDescent="0.25">
      <c r="A6572" t="str">
        <f>"8230"</f>
        <v>8230</v>
      </c>
      <c r="B6572" t="str">
        <f t="shared" si="430"/>
        <v>1</v>
      </c>
      <c r="C6572" t="str">
        <f t="shared" si="431"/>
        <v>355</v>
      </c>
      <c r="D6572" t="str">
        <f>"16"</f>
        <v>16</v>
      </c>
      <c r="E6572" t="str">
        <f>"1-355-16"</f>
        <v>1-355-16</v>
      </c>
      <c r="F6572" t="s">
        <v>15</v>
      </c>
      <c r="G6572" t="s">
        <v>16</v>
      </c>
      <c r="H6572" t="s">
        <v>17</v>
      </c>
      <c r="I6572">
        <v>1</v>
      </c>
      <c r="J6572">
        <v>0</v>
      </c>
      <c r="K6572">
        <v>0</v>
      </c>
    </row>
    <row r="6573" spans="1:11" x14ac:dyDescent="0.25">
      <c r="A6573" t="str">
        <f>"8231"</f>
        <v>8231</v>
      </c>
      <c r="B6573" t="str">
        <f t="shared" si="430"/>
        <v>1</v>
      </c>
      <c r="C6573" t="str">
        <f t="shared" si="431"/>
        <v>355</v>
      </c>
      <c r="D6573" t="str">
        <f>"19"</f>
        <v>19</v>
      </c>
      <c r="E6573" t="str">
        <f>"1-355-19"</f>
        <v>1-355-19</v>
      </c>
      <c r="F6573" t="s">
        <v>15</v>
      </c>
      <c r="G6573" t="s">
        <v>16</v>
      </c>
      <c r="H6573" t="s">
        <v>17</v>
      </c>
      <c r="I6573">
        <v>0</v>
      </c>
      <c r="J6573">
        <v>1</v>
      </c>
      <c r="K6573">
        <v>0</v>
      </c>
    </row>
    <row r="6574" spans="1:11" x14ac:dyDescent="0.25">
      <c r="A6574" t="str">
        <f>"8232"</f>
        <v>8232</v>
      </c>
      <c r="B6574" t="str">
        <f t="shared" si="430"/>
        <v>1</v>
      </c>
      <c r="C6574" t="str">
        <f t="shared" si="431"/>
        <v>355</v>
      </c>
      <c r="D6574" t="str">
        <f>"7"</f>
        <v>7</v>
      </c>
      <c r="E6574" t="str">
        <f>"1-355-7"</f>
        <v>1-355-7</v>
      </c>
      <c r="F6574" t="s">
        <v>15</v>
      </c>
      <c r="G6574" t="s">
        <v>16</v>
      </c>
      <c r="H6574" t="s">
        <v>17</v>
      </c>
      <c r="I6574">
        <v>1</v>
      </c>
      <c r="J6574">
        <v>0</v>
      </c>
      <c r="K6574">
        <v>0</v>
      </c>
    </row>
    <row r="6575" spans="1:11" x14ac:dyDescent="0.25">
      <c r="A6575" t="str">
        <f>"8233"</f>
        <v>8233</v>
      </c>
      <c r="B6575" t="str">
        <f t="shared" si="430"/>
        <v>1</v>
      </c>
      <c r="C6575" t="str">
        <f t="shared" si="431"/>
        <v>355</v>
      </c>
      <c r="D6575" t="str">
        <f>"22"</f>
        <v>22</v>
      </c>
      <c r="E6575" t="str">
        <f>"1-355-22"</f>
        <v>1-355-22</v>
      </c>
      <c r="F6575" t="s">
        <v>15</v>
      </c>
      <c r="G6575" t="s">
        <v>16</v>
      </c>
      <c r="H6575" t="s">
        <v>17</v>
      </c>
      <c r="I6575">
        <v>1</v>
      </c>
      <c r="J6575">
        <v>0</v>
      </c>
      <c r="K6575">
        <v>0</v>
      </c>
    </row>
    <row r="6576" spans="1:11" x14ac:dyDescent="0.25">
      <c r="A6576" t="str">
        <f>"8234"</f>
        <v>8234</v>
      </c>
      <c r="B6576" t="str">
        <f t="shared" si="430"/>
        <v>1</v>
      </c>
      <c r="C6576" t="str">
        <f t="shared" si="431"/>
        <v>355</v>
      </c>
      <c r="D6576" t="str">
        <f>"23"</f>
        <v>23</v>
      </c>
      <c r="E6576" t="str">
        <f>"1-355-23"</f>
        <v>1-355-23</v>
      </c>
      <c r="F6576" t="s">
        <v>15</v>
      </c>
      <c r="G6576" t="s">
        <v>18</v>
      </c>
      <c r="H6576" t="s">
        <v>19</v>
      </c>
      <c r="I6576">
        <v>0</v>
      </c>
      <c r="J6576">
        <v>0</v>
      </c>
      <c r="K6576">
        <v>1</v>
      </c>
    </row>
    <row r="6577" spans="1:11" x14ac:dyDescent="0.25">
      <c r="A6577" t="str">
        <f>"8235"</f>
        <v>8235</v>
      </c>
      <c r="B6577" t="str">
        <f t="shared" si="430"/>
        <v>1</v>
      </c>
      <c r="C6577" t="str">
        <f t="shared" si="431"/>
        <v>355</v>
      </c>
      <c r="D6577" t="str">
        <f>"24"</f>
        <v>24</v>
      </c>
      <c r="E6577" t="str">
        <f>"1-355-24"</f>
        <v>1-355-24</v>
      </c>
      <c r="F6577" t="s">
        <v>15</v>
      </c>
      <c r="G6577" t="s">
        <v>16</v>
      </c>
      <c r="H6577" t="s">
        <v>17</v>
      </c>
      <c r="I6577">
        <v>0</v>
      </c>
      <c r="J6577">
        <v>0</v>
      </c>
      <c r="K6577">
        <v>1</v>
      </c>
    </row>
    <row r="6578" spans="1:11" x14ac:dyDescent="0.25">
      <c r="A6578" t="str">
        <f>"8236"</f>
        <v>8236</v>
      </c>
      <c r="B6578" t="str">
        <f t="shared" si="430"/>
        <v>1</v>
      </c>
      <c r="C6578" t="str">
        <f t="shared" si="431"/>
        <v>355</v>
      </c>
      <c r="D6578" t="str">
        <f>"11"</f>
        <v>11</v>
      </c>
      <c r="E6578" t="str">
        <f>"1-355-11"</f>
        <v>1-355-11</v>
      </c>
      <c r="F6578" t="s">
        <v>15</v>
      </c>
      <c r="G6578" t="s">
        <v>16</v>
      </c>
      <c r="H6578" t="s">
        <v>17</v>
      </c>
      <c r="I6578">
        <v>0</v>
      </c>
      <c r="J6578">
        <v>1</v>
      </c>
      <c r="K6578">
        <v>0</v>
      </c>
    </row>
    <row r="6579" spans="1:11" x14ac:dyDescent="0.25">
      <c r="A6579" t="str">
        <f>"8237"</f>
        <v>8237</v>
      </c>
      <c r="B6579" t="str">
        <f t="shared" si="430"/>
        <v>1</v>
      </c>
      <c r="C6579" t="str">
        <f t="shared" si="431"/>
        <v>355</v>
      </c>
      <c r="D6579" t="str">
        <f>"9"</f>
        <v>9</v>
      </c>
      <c r="E6579" t="str">
        <f>"1-355-9"</f>
        <v>1-355-9</v>
      </c>
      <c r="F6579" t="s">
        <v>15</v>
      </c>
      <c r="G6579" t="s">
        <v>16</v>
      </c>
      <c r="H6579" t="s">
        <v>17</v>
      </c>
      <c r="I6579">
        <v>0</v>
      </c>
      <c r="J6579">
        <v>0</v>
      </c>
      <c r="K6579">
        <v>1</v>
      </c>
    </row>
    <row r="6580" spans="1:11" x14ac:dyDescent="0.25">
      <c r="A6580" t="str">
        <f>"8238"</f>
        <v>8238</v>
      </c>
      <c r="B6580" t="str">
        <f t="shared" si="430"/>
        <v>1</v>
      </c>
      <c r="C6580" t="str">
        <f t="shared" si="431"/>
        <v>355</v>
      </c>
      <c r="D6580" t="str">
        <f>"6"</f>
        <v>6</v>
      </c>
      <c r="E6580" t="str">
        <f>"1-355-6"</f>
        <v>1-355-6</v>
      </c>
      <c r="F6580" t="s">
        <v>15</v>
      </c>
      <c r="G6580" t="s">
        <v>16</v>
      </c>
      <c r="H6580" t="s">
        <v>17</v>
      </c>
      <c r="I6580">
        <v>0</v>
      </c>
      <c r="J6580">
        <v>1</v>
      </c>
      <c r="K6580">
        <v>0</v>
      </c>
    </row>
    <row r="6581" spans="1:11" x14ac:dyDescent="0.25">
      <c r="A6581" t="str">
        <f>"8239"</f>
        <v>8239</v>
      </c>
      <c r="B6581" t="str">
        <f t="shared" si="430"/>
        <v>1</v>
      </c>
      <c r="C6581" t="str">
        <f t="shared" si="431"/>
        <v>355</v>
      </c>
      <c r="D6581" t="str">
        <f>"3"</f>
        <v>3</v>
      </c>
      <c r="E6581" t="str">
        <f>"1-355-3"</f>
        <v>1-355-3</v>
      </c>
      <c r="F6581" t="s">
        <v>15</v>
      </c>
      <c r="G6581" t="s">
        <v>16</v>
      </c>
      <c r="H6581" t="s">
        <v>17</v>
      </c>
      <c r="I6581">
        <v>1</v>
      </c>
      <c r="J6581">
        <v>0</v>
      </c>
      <c r="K6581">
        <v>0</v>
      </c>
    </row>
    <row r="6582" spans="1:11" x14ac:dyDescent="0.25">
      <c r="A6582" t="str">
        <f>"8240"</f>
        <v>8240</v>
      </c>
      <c r="B6582" t="str">
        <f t="shared" si="430"/>
        <v>1</v>
      </c>
      <c r="C6582" t="str">
        <f t="shared" si="431"/>
        <v>355</v>
      </c>
      <c r="D6582" t="str">
        <f>"5"</f>
        <v>5</v>
      </c>
      <c r="E6582" t="str">
        <f>"1-355-5"</f>
        <v>1-355-5</v>
      </c>
      <c r="F6582" t="s">
        <v>15</v>
      </c>
      <c r="G6582" t="s">
        <v>16</v>
      </c>
      <c r="H6582" t="s">
        <v>17</v>
      </c>
      <c r="I6582">
        <v>1</v>
      </c>
      <c r="J6582">
        <v>0</v>
      </c>
      <c r="K6582">
        <v>0</v>
      </c>
    </row>
    <row r="6583" spans="1:11" x14ac:dyDescent="0.25">
      <c r="A6583" t="str">
        <f>"8241"</f>
        <v>8241</v>
      </c>
      <c r="B6583" t="str">
        <f t="shared" si="430"/>
        <v>1</v>
      </c>
      <c r="C6583" t="str">
        <f t="shared" si="431"/>
        <v>355</v>
      </c>
      <c r="D6583" t="str">
        <f>"8"</f>
        <v>8</v>
      </c>
      <c r="E6583" t="str">
        <f>"1-355-8"</f>
        <v>1-355-8</v>
      </c>
      <c r="F6583" t="s">
        <v>15</v>
      </c>
      <c r="G6583" t="s">
        <v>16</v>
      </c>
      <c r="H6583" t="s">
        <v>17</v>
      </c>
      <c r="I6583">
        <v>0</v>
      </c>
      <c r="J6583">
        <v>0</v>
      </c>
      <c r="K6583">
        <v>1</v>
      </c>
    </row>
    <row r="6584" spans="1:11" x14ac:dyDescent="0.25">
      <c r="A6584" t="str">
        <f>"8242"</f>
        <v>8242</v>
      </c>
      <c r="B6584" t="str">
        <f t="shared" si="430"/>
        <v>1</v>
      </c>
      <c r="C6584" t="str">
        <f t="shared" si="431"/>
        <v>355</v>
      </c>
      <c r="D6584" t="str">
        <f>"10"</f>
        <v>10</v>
      </c>
      <c r="E6584" t="str">
        <f>"1-355-10"</f>
        <v>1-355-10</v>
      </c>
      <c r="F6584" t="s">
        <v>15</v>
      </c>
      <c r="G6584" t="s">
        <v>16</v>
      </c>
      <c r="H6584" t="s">
        <v>17</v>
      </c>
      <c r="I6584">
        <v>0</v>
      </c>
      <c r="J6584">
        <v>0</v>
      </c>
      <c r="K6584">
        <v>1</v>
      </c>
    </row>
    <row r="6585" spans="1:11" x14ac:dyDescent="0.25">
      <c r="A6585" t="str">
        <f>"8243"</f>
        <v>8243</v>
      </c>
      <c r="B6585" t="str">
        <f t="shared" si="430"/>
        <v>1</v>
      </c>
      <c r="C6585" t="str">
        <f t="shared" si="431"/>
        <v>355</v>
      </c>
      <c r="D6585" t="str">
        <f>"2"</f>
        <v>2</v>
      </c>
      <c r="E6585" t="str">
        <f>"1-355-2"</f>
        <v>1-355-2</v>
      </c>
      <c r="F6585" t="s">
        <v>15</v>
      </c>
      <c r="G6585" t="s">
        <v>16</v>
      </c>
      <c r="H6585" t="s">
        <v>17</v>
      </c>
      <c r="I6585">
        <v>0</v>
      </c>
      <c r="J6585">
        <v>0</v>
      </c>
      <c r="K6585">
        <v>0</v>
      </c>
    </row>
    <row r="6586" spans="1:11" x14ac:dyDescent="0.25">
      <c r="A6586" t="str">
        <f>"8244"</f>
        <v>8244</v>
      </c>
      <c r="B6586" t="str">
        <f t="shared" si="430"/>
        <v>1</v>
      </c>
      <c r="C6586" t="str">
        <f t="shared" si="431"/>
        <v>355</v>
      </c>
      <c r="D6586" t="str">
        <f>"12"</f>
        <v>12</v>
      </c>
      <c r="E6586" t="str">
        <f>"1-355-12"</f>
        <v>1-355-12</v>
      </c>
      <c r="F6586" t="s">
        <v>15</v>
      </c>
      <c r="G6586" t="s">
        <v>16</v>
      </c>
      <c r="H6586" t="s">
        <v>17</v>
      </c>
      <c r="I6586">
        <v>0</v>
      </c>
      <c r="J6586">
        <v>0</v>
      </c>
      <c r="K6586">
        <v>0</v>
      </c>
    </row>
    <row r="6587" spans="1:11" x14ac:dyDescent="0.25">
      <c r="A6587" t="str">
        <f>"8245"</f>
        <v>8245</v>
      </c>
      <c r="B6587" t="str">
        <f t="shared" si="430"/>
        <v>1</v>
      </c>
      <c r="C6587" t="str">
        <f t="shared" si="431"/>
        <v>355</v>
      </c>
      <c r="D6587" t="str">
        <f>"14"</f>
        <v>14</v>
      </c>
      <c r="E6587" t="str">
        <f>"1-355-14"</f>
        <v>1-355-14</v>
      </c>
      <c r="F6587" t="s">
        <v>15</v>
      </c>
      <c r="G6587" t="s">
        <v>18</v>
      </c>
      <c r="H6587" t="s">
        <v>19</v>
      </c>
      <c r="I6587">
        <v>0</v>
      </c>
      <c r="J6587">
        <v>0</v>
      </c>
      <c r="K6587">
        <v>0</v>
      </c>
    </row>
    <row r="6588" spans="1:11" x14ac:dyDescent="0.25">
      <c r="A6588" t="str">
        <f>"8246"</f>
        <v>8246</v>
      </c>
      <c r="B6588" t="str">
        <f t="shared" si="430"/>
        <v>1</v>
      </c>
      <c r="C6588" t="str">
        <f t="shared" si="431"/>
        <v>355</v>
      </c>
      <c r="D6588" t="str">
        <f>"13"</f>
        <v>13</v>
      </c>
      <c r="E6588" t="str">
        <f>"1-355-13"</f>
        <v>1-355-13</v>
      </c>
      <c r="F6588" t="s">
        <v>15</v>
      </c>
      <c r="G6588" t="s">
        <v>18</v>
      </c>
      <c r="H6588" t="s">
        <v>19</v>
      </c>
      <c r="I6588">
        <v>0</v>
      </c>
      <c r="J6588">
        <v>0</v>
      </c>
      <c r="K6588">
        <v>0</v>
      </c>
    </row>
    <row r="6589" spans="1:11" x14ac:dyDescent="0.25">
      <c r="A6589" t="str">
        <f>"8247"</f>
        <v>8247</v>
      </c>
      <c r="B6589" t="str">
        <f t="shared" si="430"/>
        <v>1</v>
      </c>
      <c r="C6589" t="str">
        <f t="shared" si="431"/>
        <v>355</v>
      </c>
      <c r="D6589" t="str">
        <f>"1"</f>
        <v>1</v>
      </c>
      <c r="E6589" t="str">
        <f>"1-355-1"</f>
        <v>1-355-1</v>
      </c>
      <c r="F6589" t="s">
        <v>15</v>
      </c>
      <c r="G6589" t="s">
        <v>16</v>
      </c>
      <c r="H6589" t="s">
        <v>17</v>
      </c>
      <c r="I6589">
        <v>0</v>
      </c>
      <c r="J6589">
        <v>0</v>
      </c>
      <c r="K6589">
        <v>0</v>
      </c>
    </row>
    <row r="6590" spans="1:11" x14ac:dyDescent="0.25">
      <c r="A6590" t="str">
        <f>"8248"</f>
        <v>8248</v>
      </c>
      <c r="B6590" t="str">
        <f t="shared" si="430"/>
        <v>1</v>
      </c>
      <c r="C6590" t="str">
        <f t="shared" ref="C6590:C6614" si="432">"356"</f>
        <v>356</v>
      </c>
      <c r="D6590" t="str">
        <f>"23"</f>
        <v>23</v>
      </c>
      <c r="E6590" t="str">
        <f>"1-356-23"</f>
        <v>1-356-23</v>
      </c>
      <c r="F6590" t="s">
        <v>15</v>
      </c>
      <c r="G6590" t="s">
        <v>18</v>
      </c>
      <c r="H6590" t="s">
        <v>19</v>
      </c>
      <c r="I6590">
        <v>0</v>
      </c>
      <c r="J6590">
        <v>1</v>
      </c>
      <c r="K6590">
        <v>0</v>
      </c>
    </row>
    <row r="6591" spans="1:11" x14ac:dyDescent="0.25">
      <c r="A6591" t="str">
        <f>"8249"</f>
        <v>8249</v>
      </c>
      <c r="B6591" t="str">
        <f t="shared" si="430"/>
        <v>1</v>
      </c>
      <c r="C6591" t="str">
        <f t="shared" si="432"/>
        <v>356</v>
      </c>
      <c r="D6591" t="str">
        <f>"22"</f>
        <v>22</v>
      </c>
      <c r="E6591" t="str">
        <f>"1-356-22"</f>
        <v>1-356-22</v>
      </c>
      <c r="F6591" t="s">
        <v>15</v>
      </c>
      <c r="G6591" t="s">
        <v>16</v>
      </c>
      <c r="H6591" t="s">
        <v>17</v>
      </c>
      <c r="I6591">
        <v>1</v>
      </c>
      <c r="J6591">
        <v>0</v>
      </c>
      <c r="K6591">
        <v>0</v>
      </c>
    </row>
    <row r="6592" spans="1:11" x14ac:dyDescent="0.25">
      <c r="A6592" t="str">
        <f>"8250"</f>
        <v>8250</v>
      </c>
      <c r="B6592" t="str">
        <f t="shared" si="430"/>
        <v>1</v>
      </c>
      <c r="C6592" t="str">
        <f t="shared" si="432"/>
        <v>356</v>
      </c>
      <c r="D6592" t="str">
        <f>"17"</f>
        <v>17</v>
      </c>
      <c r="E6592" t="str">
        <f>"1-356-17"</f>
        <v>1-356-17</v>
      </c>
      <c r="F6592" t="s">
        <v>15</v>
      </c>
      <c r="G6592" t="s">
        <v>16</v>
      </c>
      <c r="H6592" t="s">
        <v>17</v>
      </c>
      <c r="I6592">
        <v>1</v>
      </c>
      <c r="J6592">
        <v>0</v>
      </c>
      <c r="K6592">
        <v>0</v>
      </c>
    </row>
    <row r="6593" spans="1:11" x14ac:dyDescent="0.25">
      <c r="A6593" t="str">
        <f>"8251"</f>
        <v>8251</v>
      </c>
      <c r="B6593" t="str">
        <f t="shared" si="430"/>
        <v>1</v>
      </c>
      <c r="C6593" t="str">
        <f t="shared" si="432"/>
        <v>356</v>
      </c>
      <c r="D6593" t="str">
        <f>"15"</f>
        <v>15</v>
      </c>
      <c r="E6593" t="str">
        <f>"1-356-15"</f>
        <v>1-356-15</v>
      </c>
      <c r="F6593" t="s">
        <v>15</v>
      </c>
      <c r="G6593" t="s">
        <v>18</v>
      </c>
      <c r="H6593" t="s">
        <v>19</v>
      </c>
      <c r="I6593">
        <v>0</v>
      </c>
      <c r="J6593">
        <v>1</v>
      </c>
      <c r="K6593">
        <v>0</v>
      </c>
    </row>
    <row r="6594" spans="1:11" x14ac:dyDescent="0.25">
      <c r="A6594" t="str">
        <f>"8252"</f>
        <v>8252</v>
      </c>
      <c r="B6594" t="str">
        <f t="shared" si="430"/>
        <v>1</v>
      </c>
      <c r="C6594" t="str">
        <f t="shared" si="432"/>
        <v>356</v>
      </c>
      <c r="D6594" t="str">
        <f>"6"</f>
        <v>6</v>
      </c>
      <c r="E6594" t="str">
        <f>"1-356-6"</f>
        <v>1-356-6</v>
      </c>
      <c r="F6594" t="s">
        <v>15</v>
      </c>
      <c r="G6594" t="s">
        <v>16</v>
      </c>
      <c r="H6594" t="s">
        <v>17</v>
      </c>
      <c r="I6594">
        <v>0</v>
      </c>
      <c r="J6594">
        <v>1</v>
      </c>
      <c r="K6594">
        <v>0</v>
      </c>
    </row>
    <row r="6595" spans="1:11" x14ac:dyDescent="0.25">
      <c r="A6595" t="str">
        <f>"8253"</f>
        <v>8253</v>
      </c>
      <c r="B6595" t="str">
        <f t="shared" si="430"/>
        <v>1</v>
      </c>
      <c r="C6595" t="str">
        <f t="shared" si="432"/>
        <v>356</v>
      </c>
      <c r="D6595" t="str">
        <f>"18"</f>
        <v>18</v>
      </c>
      <c r="E6595" t="str">
        <f>"1-356-18"</f>
        <v>1-356-18</v>
      </c>
      <c r="F6595" t="s">
        <v>15</v>
      </c>
      <c r="G6595" t="s">
        <v>16</v>
      </c>
      <c r="H6595" t="s">
        <v>17</v>
      </c>
      <c r="I6595">
        <v>1</v>
      </c>
      <c r="J6595">
        <v>0</v>
      </c>
      <c r="K6595">
        <v>0</v>
      </c>
    </row>
    <row r="6596" spans="1:11" x14ac:dyDescent="0.25">
      <c r="A6596" t="str">
        <f>"8254"</f>
        <v>8254</v>
      </c>
      <c r="B6596" t="str">
        <f t="shared" si="430"/>
        <v>1</v>
      </c>
      <c r="C6596" t="str">
        <f t="shared" si="432"/>
        <v>356</v>
      </c>
      <c r="D6596" t="str">
        <f>"16"</f>
        <v>16</v>
      </c>
      <c r="E6596" t="str">
        <f>"1-356-16"</f>
        <v>1-356-16</v>
      </c>
      <c r="F6596" t="s">
        <v>15</v>
      </c>
      <c r="G6596" t="s">
        <v>16</v>
      </c>
      <c r="H6596" t="s">
        <v>17</v>
      </c>
      <c r="I6596">
        <v>1</v>
      </c>
      <c r="J6596">
        <v>0</v>
      </c>
      <c r="K6596">
        <v>0</v>
      </c>
    </row>
    <row r="6597" spans="1:11" x14ac:dyDescent="0.25">
      <c r="A6597" t="str">
        <f>"8255"</f>
        <v>8255</v>
      </c>
      <c r="B6597" t="str">
        <f t="shared" si="430"/>
        <v>1</v>
      </c>
      <c r="C6597" t="str">
        <f t="shared" si="432"/>
        <v>356</v>
      </c>
      <c r="D6597" t="str">
        <f>"1"</f>
        <v>1</v>
      </c>
      <c r="E6597" t="str">
        <f>"1-356-1"</f>
        <v>1-356-1</v>
      </c>
      <c r="F6597" t="s">
        <v>15</v>
      </c>
      <c r="G6597" t="s">
        <v>16</v>
      </c>
      <c r="H6597" t="s">
        <v>17</v>
      </c>
      <c r="I6597">
        <v>1</v>
      </c>
      <c r="J6597">
        <v>0</v>
      </c>
      <c r="K6597">
        <v>0</v>
      </c>
    </row>
    <row r="6598" spans="1:11" x14ac:dyDescent="0.25">
      <c r="A6598" t="str">
        <f>"8256"</f>
        <v>8256</v>
      </c>
      <c r="B6598" t="str">
        <f t="shared" si="430"/>
        <v>1</v>
      </c>
      <c r="C6598" t="str">
        <f t="shared" si="432"/>
        <v>356</v>
      </c>
      <c r="D6598" t="str">
        <f>"19"</f>
        <v>19</v>
      </c>
      <c r="E6598" t="str">
        <f>"1-356-19"</f>
        <v>1-356-19</v>
      </c>
      <c r="F6598" t="s">
        <v>15</v>
      </c>
      <c r="G6598" t="s">
        <v>16</v>
      </c>
      <c r="H6598" t="s">
        <v>17</v>
      </c>
      <c r="I6598">
        <v>1</v>
      </c>
      <c r="J6598">
        <v>0</v>
      </c>
      <c r="K6598">
        <v>0</v>
      </c>
    </row>
    <row r="6599" spans="1:11" x14ac:dyDescent="0.25">
      <c r="A6599" t="str">
        <f>"8257"</f>
        <v>8257</v>
      </c>
      <c r="B6599" t="str">
        <f t="shared" si="430"/>
        <v>1</v>
      </c>
      <c r="C6599" t="str">
        <f t="shared" si="432"/>
        <v>356</v>
      </c>
      <c r="D6599" t="str">
        <f>"11"</f>
        <v>11</v>
      </c>
      <c r="E6599" t="str">
        <f>"1-356-11"</f>
        <v>1-356-11</v>
      </c>
      <c r="F6599" t="s">
        <v>15</v>
      </c>
      <c r="G6599" t="s">
        <v>16</v>
      </c>
      <c r="H6599" t="s">
        <v>17</v>
      </c>
      <c r="I6599">
        <v>0</v>
      </c>
      <c r="J6599">
        <v>1</v>
      </c>
      <c r="K6599">
        <v>0</v>
      </c>
    </row>
    <row r="6600" spans="1:11" x14ac:dyDescent="0.25">
      <c r="A6600" t="str">
        <f>"8258"</f>
        <v>8258</v>
      </c>
      <c r="B6600" t="str">
        <f t="shared" si="430"/>
        <v>1</v>
      </c>
      <c r="C6600" t="str">
        <f t="shared" si="432"/>
        <v>356</v>
      </c>
      <c r="D6600" t="str">
        <f>"20"</f>
        <v>20</v>
      </c>
      <c r="E6600" t="str">
        <f>"1-356-20"</f>
        <v>1-356-20</v>
      </c>
      <c r="F6600" t="s">
        <v>15</v>
      </c>
      <c r="G6600" t="s">
        <v>20</v>
      </c>
      <c r="H6600" t="s">
        <v>21</v>
      </c>
      <c r="I6600">
        <v>1</v>
      </c>
      <c r="J6600">
        <v>0</v>
      </c>
      <c r="K6600">
        <v>0</v>
      </c>
    </row>
    <row r="6601" spans="1:11" x14ac:dyDescent="0.25">
      <c r="A6601" t="str">
        <f>"8259"</f>
        <v>8259</v>
      </c>
      <c r="B6601" t="str">
        <f t="shared" si="430"/>
        <v>1</v>
      </c>
      <c r="C6601" t="str">
        <f t="shared" si="432"/>
        <v>356</v>
      </c>
      <c r="D6601" t="str">
        <f>"21"</f>
        <v>21</v>
      </c>
      <c r="E6601" t="str">
        <f>"1-356-21"</f>
        <v>1-356-21</v>
      </c>
      <c r="F6601" t="s">
        <v>15</v>
      </c>
      <c r="G6601" t="s">
        <v>16</v>
      </c>
      <c r="H6601" t="s">
        <v>17</v>
      </c>
      <c r="I6601">
        <v>1</v>
      </c>
      <c r="J6601">
        <v>0</v>
      </c>
      <c r="K6601">
        <v>0</v>
      </c>
    </row>
    <row r="6602" spans="1:11" x14ac:dyDescent="0.25">
      <c r="A6602" t="str">
        <f>"8260"</f>
        <v>8260</v>
      </c>
      <c r="B6602" t="str">
        <f t="shared" si="430"/>
        <v>1</v>
      </c>
      <c r="C6602" t="str">
        <f t="shared" si="432"/>
        <v>356</v>
      </c>
      <c r="D6602" t="str">
        <f>"4"</f>
        <v>4</v>
      </c>
      <c r="E6602" t="str">
        <f>"1-356-4"</f>
        <v>1-356-4</v>
      </c>
      <c r="F6602" t="s">
        <v>15</v>
      </c>
      <c r="G6602" t="s">
        <v>16</v>
      </c>
      <c r="H6602" t="s">
        <v>17</v>
      </c>
      <c r="I6602">
        <v>0</v>
      </c>
      <c r="J6602">
        <v>0</v>
      </c>
      <c r="K6602">
        <v>1</v>
      </c>
    </row>
    <row r="6603" spans="1:11" x14ac:dyDescent="0.25">
      <c r="A6603" t="str">
        <f>"8261"</f>
        <v>8261</v>
      </c>
      <c r="B6603" t="str">
        <f t="shared" si="430"/>
        <v>1</v>
      </c>
      <c r="C6603" t="str">
        <f t="shared" si="432"/>
        <v>356</v>
      </c>
      <c r="D6603" t="str">
        <f>"24"</f>
        <v>24</v>
      </c>
      <c r="E6603" t="str">
        <f>"1-356-24"</f>
        <v>1-356-24</v>
      </c>
      <c r="F6603" t="s">
        <v>15</v>
      </c>
      <c r="G6603" t="s">
        <v>18</v>
      </c>
      <c r="H6603" t="s">
        <v>19</v>
      </c>
      <c r="I6603">
        <v>0</v>
      </c>
      <c r="J6603">
        <v>1</v>
      </c>
      <c r="K6603">
        <v>0</v>
      </c>
    </row>
    <row r="6604" spans="1:11" x14ac:dyDescent="0.25">
      <c r="A6604" t="str">
        <f>"8262"</f>
        <v>8262</v>
      </c>
      <c r="B6604" t="str">
        <f t="shared" si="430"/>
        <v>1</v>
      </c>
      <c r="C6604" t="str">
        <f t="shared" si="432"/>
        <v>356</v>
      </c>
      <c r="D6604" t="str">
        <f>"10"</f>
        <v>10</v>
      </c>
      <c r="E6604" t="str">
        <f>"1-356-10"</f>
        <v>1-356-10</v>
      </c>
      <c r="F6604" t="s">
        <v>15</v>
      </c>
      <c r="G6604" t="s">
        <v>20</v>
      </c>
      <c r="H6604" t="s">
        <v>21</v>
      </c>
      <c r="I6604">
        <v>1</v>
      </c>
      <c r="J6604">
        <v>0</v>
      </c>
      <c r="K6604">
        <v>0</v>
      </c>
    </row>
    <row r="6605" spans="1:11" x14ac:dyDescent="0.25">
      <c r="A6605" t="str">
        <f>"8263"</f>
        <v>8263</v>
      </c>
      <c r="B6605" t="str">
        <f t="shared" si="430"/>
        <v>1</v>
      </c>
      <c r="C6605" t="str">
        <f t="shared" si="432"/>
        <v>356</v>
      </c>
      <c r="D6605" t="str">
        <f>"25"</f>
        <v>25</v>
      </c>
      <c r="E6605" t="str">
        <f>"1-356-25"</f>
        <v>1-356-25</v>
      </c>
      <c r="F6605" t="s">
        <v>15</v>
      </c>
      <c r="G6605" t="s">
        <v>16</v>
      </c>
      <c r="H6605" t="s">
        <v>17</v>
      </c>
      <c r="I6605">
        <v>0</v>
      </c>
      <c r="J6605">
        <v>1</v>
      </c>
      <c r="K6605">
        <v>0</v>
      </c>
    </row>
    <row r="6606" spans="1:11" x14ac:dyDescent="0.25">
      <c r="A6606" t="str">
        <f>"8264"</f>
        <v>8264</v>
      </c>
      <c r="B6606" t="str">
        <f t="shared" si="430"/>
        <v>1</v>
      </c>
      <c r="C6606" t="str">
        <f t="shared" si="432"/>
        <v>356</v>
      </c>
      <c r="D6606" t="str">
        <f>"2"</f>
        <v>2</v>
      </c>
      <c r="E6606" t="str">
        <f>"1-356-2"</f>
        <v>1-356-2</v>
      </c>
      <c r="F6606" t="s">
        <v>15</v>
      </c>
      <c r="G6606" t="s">
        <v>18</v>
      </c>
      <c r="H6606" t="s">
        <v>19</v>
      </c>
      <c r="I6606">
        <v>1</v>
      </c>
      <c r="J6606">
        <v>0</v>
      </c>
      <c r="K6606">
        <v>0</v>
      </c>
    </row>
    <row r="6607" spans="1:11" x14ac:dyDescent="0.25">
      <c r="A6607" t="str">
        <f>"8265"</f>
        <v>8265</v>
      </c>
      <c r="B6607" t="str">
        <f t="shared" si="430"/>
        <v>1</v>
      </c>
      <c r="C6607" t="str">
        <f t="shared" si="432"/>
        <v>356</v>
      </c>
      <c r="D6607" t="str">
        <f>"13"</f>
        <v>13</v>
      </c>
      <c r="E6607" t="str">
        <f>"1-356-13"</f>
        <v>1-356-13</v>
      </c>
      <c r="F6607" t="s">
        <v>15</v>
      </c>
      <c r="G6607" t="s">
        <v>16</v>
      </c>
      <c r="H6607" t="s">
        <v>17</v>
      </c>
      <c r="I6607">
        <v>0</v>
      </c>
      <c r="J6607">
        <v>1</v>
      </c>
      <c r="K6607">
        <v>0</v>
      </c>
    </row>
    <row r="6608" spans="1:11" x14ac:dyDescent="0.25">
      <c r="A6608" t="str">
        <f>"8266"</f>
        <v>8266</v>
      </c>
      <c r="B6608" t="str">
        <f t="shared" si="430"/>
        <v>1</v>
      </c>
      <c r="C6608" t="str">
        <f t="shared" si="432"/>
        <v>356</v>
      </c>
      <c r="D6608" t="str">
        <f>"7"</f>
        <v>7</v>
      </c>
      <c r="E6608" t="str">
        <f>"1-356-7"</f>
        <v>1-356-7</v>
      </c>
      <c r="F6608" t="s">
        <v>15</v>
      </c>
      <c r="G6608" t="s">
        <v>16</v>
      </c>
      <c r="H6608" t="s">
        <v>17</v>
      </c>
      <c r="I6608">
        <v>0</v>
      </c>
      <c r="J6608">
        <v>1</v>
      </c>
      <c r="K6608">
        <v>0</v>
      </c>
    </row>
    <row r="6609" spans="1:11" x14ac:dyDescent="0.25">
      <c r="A6609" t="str">
        <f>"8267"</f>
        <v>8267</v>
      </c>
      <c r="B6609" t="str">
        <f t="shared" si="430"/>
        <v>1</v>
      </c>
      <c r="C6609" t="str">
        <f t="shared" si="432"/>
        <v>356</v>
      </c>
      <c r="D6609" t="str">
        <f>"5"</f>
        <v>5</v>
      </c>
      <c r="E6609" t="str">
        <f>"1-356-5"</f>
        <v>1-356-5</v>
      </c>
      <c r="F6609" t="s">
        <v>15</v>
      </c>
      <c r="G6609" t="s">
        <v>16</v>
      </c>
      <c r="H6609" t="s">
        <v>17</v>
      </c>
      <c r="I6609">
        <v>0</v>
      </c>
      <c r="J6609">
        <v>1</v>
      </c>
      <c r="K6609">
        <v>0</v>
      </c>
    </row>
    <row r="6610" spans="1:11" x14ac:dyDescent="0.25">
      <c r="A6610" t="str">
        <f>"8268"</f>
        <v>8268</v>
      </c>
      <c r="B6610" t="str">
        <f t="shared" si="430"/>
        <v>1</v>
      </c>
      <c r="C6610" t="str">
        <f t="shared" si="432"/>
        <v>356</v>
      </c>
      <c r="D6610" t="str">
        <f>"9"</f>
        <v>9</v>
      </c>
      <c r="E6610" t="str">
        <f>"1-356-9"</f>
        <v>1-356-9</v>
      </c>
      <c r="F6610" t="s">
        <v>15</v>
      </c>
      <c r="G6610" t="s">
        <v>16</v>
      </c>
      <c r="H6610" t="s">
        <v>17</v>
      </c>
      <c r="I6610">
        <v>0</v>
      </c>
      <c r="J6610">
        <v>0</v>
      </c>
      <c r="K6610">
        <v>1</v>
      </c>
    </row>
    <row r="6611" spans="1:11" x14ac:dyDescent="0.25">
      <c r="A6611" t="str">
        <f>"8269"</f>
        <v>8269</v>
      </c>
      <c r="B6611" t="str">
        <f t="shared" si="430"/>
        <v>1</v>
      </c>
      <c r="C6611" t="str">
        <f t="shared" si="432"/>
        <v>356</v>
      </c>
      <c r="D6611" t="str">
        <f>"3"</f>
        <v>3</v>
      </c>
      <c r="E6611" t="str">
        <f>"1-356-3"</f>
        <v>1-356-3</v>
      </c>
      <c r="F6611" t="s">
        <v>15</v>
      </c>
      <c r="G6611" t="s">
        <v>16</v>
      </c>
      <c r="H6611" t="s">
        <v>17</v>
      </c>
      <c r="I6611">
        <v>1</v>
      </c>
      <c r="J6611">
        <v>0</v>
      </c>
      <c r="K6611">
        <v>0</v>
      </c>
    </row>
    <row r="6612" spans="1:11" x14ac:dyDescent="0.25">
      <c r="A6612" t="str">
        <f>"8270"</f>
        <v>8270</v>
      </c>
      <c r="B6612" t="str">
        <f t="shared" si="430"/>
        <v>1</v>
      </c>
      <c r="C6612" t="str">
        <f t="shared" si="432"/>
        <v>356</v>
      </c>
      <c r="D6612" t="str">
        <f>"12"</f>
        <v>12</v>
      </c>
      <c r="E6612" t="str">
        <f>"1-356-12"</f>
        <v>1-356-12</v>
      </c>
      <c r="F6612" t="s">
        <v>15</v>
      </c>
      <c r="G6612" t="s">
        <v>16</v>
      </c>
      <c r="H6612" t="s">
        <v>17</v>
      </c>
      <c r="I6612">
        <v>0</v>
      </c>
      <c r="J6612">
        <v>1</v>
      </c>
      <c r="K6612">
        <v>0</v>
      </c>
    </row>
    <row r="6613" spans="1:11" x14ac:dyDescent="0.25">
      <c r="A6613" t="str">
        <f>"8271"</f>
        <v>8271</v>
      </c>
      <c r="B6613" t="str">
        <f t="shared" si="430"/>
        <v>1</v>
      </c>
      <c r="C6613" t="str">
        <f t="shared" si="432"/>
        <v>356</v>
      </c>
      <c r="D6613" t="str">
        <f>"14"</f>
        <v>14</v>
      </c>
      <c r="E6613" t="str">
        <f>"1-356-14"</f>
        <v>1-356-14</v>
      </c>
      <c r="F6613" t="s">
        <v>15</v>
      </c>
      <c r="G6613" t="s">
        <v>18</v>
      </c>
      <c r="H6613" t="s">
        <v>19</v>
      </c>
      <c r="I6613">
        <v>0</v>
      </c>
      <c r="J6613">
        <v>0</v>
      </c>
      <c r="K6613">
        <v>0</v>
      </c>
    </row>
    <row r="6614" spans="1:11" x14ac:dyDescent="0.25">
      <c r="A6614" t="str">
        <f>"8272"</f>
        <v>8272</v>
      </c>
      <c r="B6614" t="str">
        <f t="shared" si="430"/>
        <v>1</v>
      </c>
      <c r="C6614" t="str">
        <f t="shared" si="432"/>
        <v>356</v>
      </c>
      <c r="D6614" t="str">
        <f>"8"</f>
        <v>8</v>
      </c>
      <c r="E6614" t="str">
        <f>"1-356-8"</f>
        <v>1-356-8</v>
      </c>
      <c r="F6614" t="s">
        <v>15</v>
      </c>
      <c r="G6614" t="s">
        <v>16</v>
      </c>
      <c r="H6614" t="s">
        <v>17</v>
      </c>
      <c r="I6614">
        <v>0</v>
      </c>
      <c r="J6614">
        <v>0</v>
      </c>
      <c r="K6614">
        <v>0</v>
      </c>
    </row>
    <row r="6615" spans="1:11" x14ac:dyDescent="0.25">
      <c r="A6615" t="str">
        <f>"8273"</f>
        <v>8273</v>
      </c>
      <c r="B6615" t="str">
        <f t="shared" si="430"/>
        <v>1</v>
      </c>
      <c r="C6615" t="str">
        <f t="shared" ref="C6615:C6637" si="433">"357"</f>
        <v>357</v>
      </c>
      <c r="D6615" t="str">
        <f>"24"</f>
        <v>24</v>
      </c>
      <c r="E6615" t="str">
        <f>"1-357-24"</f>
        <v>1-357-24</v>
      </c>
      <c r="F6615" t="s">
        <v>15</v>
      </c>
      <c r="G6615" t="s">
        <v>16</v>
      </c>
      <c r="H6615" t="s">
        <v>17</v>
      </c>
      <c r="I6615">
        <v>1</v>
      </c>
      <c r="J6615">
        <v>0</v>
      </c>
      <c r="K6615">
        <v>0</v>
      </c>
    </row>
    <row r="6616" spans="1:11" x14ac:dyDescent="0.25">
      <c r="A6616" t="str">
        <f>"8274"</f>
        <v>8274</v>
      </c>
      <c r="B6616" t="str">
        <f t="shared" si="430"/>
        <v>1</v>
      </c>
      <c r="C6616" t="str">
        <f t="shared" si="433"/>
        <v>357</v>
      </c>
      <c r="D6616" t="str">
        <f>"15"</f>
        <v>15</v>
      </c>
      <c r="E6616" t="str">
        <f>"1-357-15"</f>
        <v>1-357-15</v>
      </c>
      <c r="F6616" t="s">
        <v>15</v>
      </c>
      <c r="G6616" t="s">
        <v>16</v>
      </c>
      <c r="H6616" t="s">
        <v>17</v>
      </c>
      <c r="I6616">
        <v>0</v>
      </c>
      <c r="J6616">
        <v>0</v>
      </c>
      <c r="K6616">
        <v>1</v>
      </c>
    </row>
    <row r="6617" spans="1:11" x14ac:dyDescent="0.25">
      <c r="A6617" t="str">
        <f>"8275"</f>
        <v>8275</v>
      </c>
      <c r="B6617" t="str">
        <f t="shared" si="430"/>
        <v>1</v>
      </c>
      <c r="C6617" t="str">
        <f t="shared" si="433"/>
        <v>357</v>
      </c>
      <c r="D6617" t="str">
        <f>"8"</f>
        <v>8</v>
      </c>
      <c r="E6617" t="str">
        <f>"1-357-8"</f>
        <v>1-357-8</v>
      </c>
      <c r="F6617" t="s">
        <v>15</v>
      </c>
      <c r="G6617" t="s">
        <v>16</v>
      </c>
      <c r="H6617" t="s">
        <v>17</v>
      </c>
      <c r="I6617">
        <v>0</v>
      </c>
      <c r="J6617">
        <v>0</v>
      </c>
      <c r="K6617">
        <v>1</v>
      </c>
    </row>
    <row r="6618" spans="1:11" x14ac:dyDescent="0.25">
      <c r="A6618" t="str">
        <f>"8276"</f>
        <v>8276</v>
      </c>
      <c r="B6618" t="str">
        <f t="shared" si="430"/>
        <v>1</v>
      </c>
      <c r="C6618" t="str">
        <f t="shared" si="433"/>
        <v>357</v>
      </c>
      <c r="D6618" t="str">
        <f>"16"</f>
        <v>16</v>
      </c>
      <c r="E6618" t="str">
        <f>"1-357-16"</f>
        <v>1-357-16</v>
      </c>
      <c r="F6618" t="s">
        <v>15</v>
      </c>
      <c r="G6618" t="s">
        <v>16</v>
      </c>
      <c r="H6618" t="s">
        <v>17</v>
      </c>
      <c r="I6618">
        <v>0</v>
      </c>
      <c r="J6618">
        <v>0</v>
      </c>
      <c r="K6618">
        <v>1</v>
      </c>
    </row>
    <row r="6619" spans="1:11" x14ac:dyDescent="0.25">
      <c r="A6619" t="str">
        <f>"8277"</f>
        <v>8277</v>
      </c>
      <c r="B6619" t="str">
        <f t="shared" si="430"/>
        <v>1</v>
      </c>
      <c r="C6619" t="str">
        <f t="shared" si="433"/>
        <v>357</v>
      </c>
      <c r="D6619" t="str">
        <f>"2"</f>
        <v>2</v>
      </c>
      <c r="E6619" t="str">
        <f>"1-357-2"</f>
        <v>1-357-2</v>
      </c>
      <c r="F6619" t="s">
        <v>15</v>
      </c>
      <c r="G6619" t="s">
        <v>18</v>
      </c>
      <c r="H6619" t="s">
        <v>19</v>
      </c>
      <c r="I6619">
        <v>1</v>
      </c>
      <c r="J6619">
        <v>0</v>
      </c>
      <c r="K6619">
        <v>0</v>
      </c>
    </row>
    <row r="6620" spans="1:11" x14ac:dyDescent="0.25">
      <c r="A6620" t="str">
        <f>"8278"</f>
        <v>8278</v>
      </c>
      <c r="B6620" t="str">
        <f t="shared" si="430"/>
        <v>1</v>
      </c>
      <c r="C6620" t="str">
        <f t="shared" si="433"/>
        <v>357</v>
      </c>
      <c r="D6620" t="str">
        <f>"17"</f>
        <v>17</v>
      </c>
      <c r="E6620" t="str">
        <f>"1-357-17"</f>
        <v>1-357-17</v>
      </c>
      <c r="F6620" t="s">
        <v>15</v>
      </c>
      <c r="G6620" t="s">
        <v>16</v>
      </c>
      <c r="H6620" t="s">
        <v>17</v>
      </c>
      <c r="I6620">
        <v>0</v>
      </c>
      <c r="J6620">
        <v>1</v>
      </c>
      <c r="K6620">
        <v>0</v>
      </c>
    </row>
    <row r="6621" spans="1:11" x14ac:dyDescent="0.25">
      <c r="A6621" t="str">
        <f>"8280"</f>
        <v>8280</v>
      </c>
      <c r="B6621" t="str">
        <f t="shared" si="430"/>
        <v>1</v>
      </c>
      <c r="C6621" t="str">
        <f t="shared" si="433"/>
        <v>357</v>
      </c>
      <c r="D6621" t="str">
        <f>"18"</f>
        <v>18</v>
      </c>
      <c r="E6621" t="str">
        <f>"1-357-18"</f>
        <v>1-357-18</v>
      </c>
      <c r="F6621" t="s">
        <v>15</v>
      </c>
      <c r="G6621" t="s">
        <v>16</v>
      </c>
      <c r="H6621" t="s">
        <v>17</v>
      </c>
      <c r="I6621">
        <v>1</v>
      </c>
      <c r="J6621">
        <v>0</v>
      </c>
      <c r="K6621">
        <v>0</v>
      </c>
    </row>
    <row r="6622" spans="1:11" x14ac:dyDescent="0.25">
      <c r="A6622" t="str">
        <f>"8281"</f>
        <v>8281</v>
      </c>
      <c r="B6622" t="str">
        <f t="shared" si="430"/>
        <v>1</v>
      </c>
      <c r="C6622" t="str">
        <f t="shared" si="433"/>
        <v>357</v>
      </c>
      <c r="D6622" t="str">
        <f>"1"</f>
        <v>1</v>
      </c>
      <c r="E6622" t="str">
        <f>"1-357-1"</f>
        <v>1-357-1</v>
      </c>
      <c r="F6622" t="s">
        <v>15</v>
      </c>
      <c r="G6622" t="s">
        <v>16</v>
      </c>
      <c r="H6622" t="s">
        <v>17</v>
      </c>
      <c r="I6622">
        <v>0</v>
      </c>
      <c r="J6622">
        <v>1</v>
      </c>
      <c r="K6622">
        <v>0</v>
      </c>
    </row>
    <row r="6623" spans="1:11" x14ac:dyDescent="0.25">
      <c r="A6623" t="str">
        <f>"8282"</f>
        <v>8282</v>
      </c>
      <c r="B6623" t="str">
        <f t="shared" ref="B6623:B6679" si="434">"1"</f>
        <v>1</v>
      </c>
      <c r="C6623" t="str">
        <f t="shared" si="433"/>
        <v>357</v>
      </c>
      <c r="D6623" t="str">
        <f>"19"</f>
        <v>19</v>
      </c>
      <c r="E6623" t="str">
        <f>"1-357-19"</f>
        <v>1-357-19</v>
      </c>
      <c r="F6623" t="s">
        <v>15</v>
      </c>
      <c r="G6623" t="s">
        <v>16</v>
      </c>
      <c r="H6623" t="s">
        <v>17</v>
      </c>
      <c r="I6623">
        <v>1</v>
      </c>
      <c r="J6623">
        <v>0</v>
      </c>
      <c r="K6623">
        <v>0</v>
      </c>
    </row>
    <row r="6624" spans="1:11" x14ac:dyDescent="0.25">
      <c r="A6624" t="str">
        <f>"8283"</f>
        <v>8283</v>
      </c>
      <c r="B6624" t="str">
        <f t="shared" si="434"/>
        <v>1</v>
      </c>
      <c r="C6624" t="str">
        <f t="shared" si="433"/>
        <v>357</v>
      </c>
      <c r="D6624" t="str">
        <f>"3"</f>
        <v>3</v>
      </c>
      <c r="E6624" t="str">
        <f>"1-357-3"</f>
        <v>1-357-3</v>
      </c>
      <c r="F6624" t="s">
        <v>15</v>
      </c>
      <c r="G6624" t="s">
        <v>20</v>
      </c>
      <c r="H6624" t="s">
        <v>21</v>
      </c>
      <c r="I6624">
        <v>0</v>
      </c>
      <c r="J6624">
        <v>0</v>
      </c>
      <c r="K6624">
        <v>1</v>
      </c>
    </row>
    <row r="6625" spans="1:11" x14ac:dyDescent="0.25">
      <c r="A6625" t="str">
        <f>"8284"</f>
        <v>8284</v>
      </c>
      <c r="B6625" t="str">
        <f t="shared" si="434"/>
        <v>1</v>
      </c>
      <c r="C6625" t="str">
        <f t="shared" si="433"/>
        <v>357</v>
      </c>
      <c r="D6625" t="str">
        <f>"20"</f>
        <v>20</v>
      </c>
      <c r="E6625" t="str">
        <f>"1-357-20"</f>
        <v>1-357-20</v>
      </c>
      <c r="F6625" t="s">
        <v>15</v>
      </c>
      <c r="G6625" t="s">
        <v>16</v>
      </c>
      <c r="H6625" t="s">
        <v>17</v>
      </c>
      <c r="I6625">
        <v>0</v>
      </c>
      <c r="J6625">
        <v>0</v>
      </c>
      <c r="K6625">
        <v>1</v>
      </c>
    </row>
    <row r="6626" spans="1:11" x14ac:dyDescent="0.25">
      <c r="A6626" t="str">
        <f>"8285"</f>
        <v>8285</v>
      </c>
      <c r="B6626" t="str">
        <f t="shared" si="434"/>
        <v>1</v>
      </c>
      <c r="C6626" t="str">
        <f t="shared" si="433"/>
        <v>357</v>
      </c>
      <c r="D6626" t="str">
        <f>"12"</f>
        <v>12</v>
      </c>
      <c r="E6626" t="str">
        <f>"1-357-12"</f>
        <v>1-357-12</v>
      </c>
      <c r="F6626" t="s">
        <v>15</v>
      </c>
      <c r="G6626" t="s">
        <v>20</v>
      </c>
      <c r="H6626" t="s">
        <v>21</v>
      </c>
      <c r="I6626">
        <v>0</v>
      </c>
      <c r="J6626">
        <v>0</v>
      </c>
      <c r="K6626">
        <v>1</v>
      </c>
    </row>
    <row r="6627" spans="1:11" x14ac:dyDescent="0.25">
      <c r="A6627" t="str">
        <f>"8286"</f>
        <v>8286</v>
      </c>
      <c r="B6627" t="str">
        <f t="shared" si="434"/>
        <v>1</v>
      </c>
      <c r="C6627" t="str">
        <f t="shared" si="433"/>
        <v>357</v>
      </c>
      <c r="D6627" t="str">
        <f>"21"</f>
        <v>21</v>
      </c>
      <c r="E6627" t="str">
        <f>"1-357-21"</f>
        <v>1-357-21</v>
      </c>
      <c r="F6627" t="s">
        <v>15</v>
      </c>
      <c r="G6627" t="s">
        <v>20</v>
      </c>
      <c r="H6627" t="s">
        <v>21</v>
      </c>
      <c r="I6627">
        <v>0</v>
      </c>
      <c r="J6627">
        <v>0</v>
      </c>
      <c r="K6627">
        <v>1</v>
      </c>
    </row>
    <row r="6628" spans="1:11" x14ac:dyDescent="0.25">
      <c r="A6628" t="str">
        <f>"8287"</f>
        <v>8287</v>
      </c>
      <c r="B6628" t="str">
        <f t="shared" si="434"/>
        <v>1</v>
      </c>
      <c r="C6628" t="str">
        <f t="shared" si="433"/>
        <v>357</v>
      </c>
      <c r="D6628" t="str">
        <f>"6"</f>
        <v>6</v>
      </c>
      <c r="E6628" t="str">
        <f>"1-357-6"</f>
        <v>1-357-6</v>
      </c>
      <c r="F6628" t="s">
        <v>15</v>
      </c>
      <c r="G6628" t="s">
        <v>16</v>
      </c>
      <c r="H6628" t="s">
        <v>17</v>
      </c>
      <c r="I6628">
        <v>0</v>
      </c>
      <c r="J6628">
        <v>1</v>
      </c>
      <c r="K6628">
        <v>0</v>
      </c>
    </row>
    <row r="6629" spans="1:11" x14ac:dyDescent="0.25">
      <c r="A6629" t="str">
        <f>"8288"</f>
        <v>8288</v>
      </c>
      <c r="B6629" t="str">
        <f t="shared" si="434"/>
        <v>1</v>
      </c>
      <c r="C6629" t="str">
        <f t="shared" si="433"/>
        <v>357</v>
      </c>
      <c r="D6629" t="str">
        <f>"22"</f>
        <v>22</v>
      </c>
      <c r="E6629" t="str">
        <f>"1-357-22"</f>
        <v>1-357-22</v>
      </c>
      <c r="F6629" t="s">
        <v>15</v>
      </c>
      <c r="G6629" t="s">
        <v>18</v>
      </c>
      <c r="H6629" t="s">
        <v>19</v>
      </c>
      <c r="I6629">
        <v>1</v>
      </c>
      <c r="J6629">
        <v>0</v>
      </c>
      <c r="K6629">
        <v>0</v>
      </c>
    </row>
    <row r="6630" spans="1:11" x14ac:dyDescent="0.25">
      <c r="A6630" t="str">
        <f>"8289"</f>
        <v>8289</v>
      </c>
      <c r="B6630" t="str">
        <f t="shared" si="434"/>
        <v>1</v>
      </c>
      <c r="C6630" t="str">
        <f t="shared" si="433"/>
        <v>357</v>
      </c>
      <c r="D6630" t="str">
        <f>"10"</f>
        <v>10</v>
      </c>
      <c r="E6630" t="str">
        <f>"1-357-10"</f>
        <v>1-357-10</v>
      </c>
      <c r="F6630" t="s">
        <v>15</v>
      </c>
      <c r="G6630" t="s">
        <v>16</v>
      </c>
      <c r="H6630" t="s">
        <v>17</v>
      </c>
      <c r="I6630">
        <v>0</v>
      </c>
      <c r="J6630">
        <v>1</v>
      </c>
      <c r="K6630">
        <v>0</v>
      </c>
    </row>
    <row r="6631" spans="1:11" x14ac:dyDescent="0.25">
      <c r="A6631" t="str">
        <f>"8290"</f>
        <v>8290</v>
      </c>
      <c r="B6631" t="str">
        <f t="shared" si="434"/>
        <v>1</v>
      </c>
      <c r="C6631" t="str">
        <f t="shared" si="433"/>
        <v>357</v>
      </c>
      <c r="D6631" t="str">
        <f>"23"</f>
        <v>23</v>
      </c>
      <c r="E6631" t="str">
        <f>"1-357-23"</f>
        <v>1-357-23</v>
      </c>
      <c r="F6631" t="s">
        <v>15</v>
      </c>
      <c r="G6631" t="s">
        <v>16</v>
      </c>
      <c r="H6631" t="s">
        <v>17</v>
      </c>
      <c r="I6631">
        <v>0</v>
      </c>
      <c r="J6631">
        <v>1</v>
      </c>
      <c r="K6631">
        <v>0</v>
      </c>
    </row>
    <row r="6632" spans="1:11" x14ac:dyDescent="0.25">
      <c r="A6632" t="str">
        <f>"8291"</f>
        <v>8291</v>
      </c>
      <c r="B6632" t="str">
        <f t="shared" si="434"/>
        <v>1</v>
      </c>
      <c r="C6632" t="str">
        <f t="shared" si="433"/>
        <v>357</v>
      </c>
      <c r="D6632" t="str">
        <f>"13"</f>
        <v>13</v>
      </c>
      <c r="E6632" t="str">
        <f>"1-357-13"</f>
        <v>1-357-13</v>
      </c>
      <c r="F6632" t="s">
        <v>15</v>
      </c>
      <c r="G6632" t="s">
        <v>16</v>
      </c>
      <c r="H6632" t="s">
        <v>17</v>
      </c>
      <c r="I6632">
        <v>1</v>
      </c>
      <c r="J6632">
        <v>0</v>
      </c>
      <c r="K6632">
        <v>0</v>
      </c>
    </row>
    <row r="6633" spans="1:11" x14ac:dyDescent="0.25">
      <c r="A6633" t="str">
        <f>"8292"</f>
        <v>8292</v>
      </c>
      <c r="B6633" t="str">
        <f t="shared" si="434"/>
        <v>1</v>
      </c>
      <c r="C6633" t="str">
        <f t="shared" si="433"/>
        <v>357</v>
      </c>
      <c r="D6633" t="str">
        <f>"7"</f>
        <v>7</v>
      </c>
      <c r="E6633" t="str">
        <f>"1-357-7"</f>
        <v>1-357-7</v>
      </c>
      <c r="F6633" t="s">
        <v>15</v>
      </c>
      <c r="G6633" t="s">
        <v>16</v>
      </c>
      <c r="H6633" t="s">
        <v>17</v>
      </c>
      <c r="I6633">
        <v>0</v>
      </c>
      <c r="J6633">
        <v>0</v>
      </c>
      <c r="K6633">
        <v>1</v>
      </c>
    </row>
    <row r="6634" spans="1:11" x14ac:dyDescent="0.25">
      <c r="A6634" t="str">
        <f>"8293"</f>
        <v>8293</v>
      </c>
      <c r="B6634" t="str">
        <f t="shared" si="434"/>
        <v>1</v>
      </c>
      <c r="C6634" t="str">
        <f t="shared" si="433"/>
        <v>357</v>
      </c>
      <c r="D6634" t="str">
        <f>"9"</f>
        <v>9</v>
      </c>
      <c r="E6634" t="str">
        <f>"1-357-9"</f>
        <v>1-357-9</v>
      </c>
      <c r="F6634" t="s">
        <v>15</v>
      </c>
      <c r="G6634" t="s">
        <v>16</v>
      </c>
      <c r="H6634" t="s">
        <v>17</v>
      </c>
      <c r="I6634">
        <v>1</v>
      </c>
      <c r="J6634">
        <v>0</v>
      </c>
      <c r="K6634">
        <v>0</v>
      </c>
    </row>
    <row r="6635" spans="1:11" x14ac:dyDescent="0.25">
      <c r="A6635" t="str">
        <f>"8294"</f>
        <v>8294</v>
      </c>
      <c r="B6635" t="str">
        <f t="shared" si="434"/>
        <v>1</v>
      </c>
      <c r="C6635" t="str">
        <f t="shared" si="433"/>
        <v>357</v>
      </c>
      <c r="D6635" t="str">
        <f>"11"</f>
        <v>11</v>
      </c>
      <c r="E6635" t="str">
        <f>"1-357-11"</f>
        <v>1-357-11</v>
      </c>
      <c r="F6635" t="s">
        <v>15</v>
      </c>
      <c r="G6635" t="s">
        <v>16</v>
      </c>
      <c r="H6635" t="s">
        <v>17</v>
      </c>
      <c r="I6635">
        <v>1</v>
      </c>
      <c r="J6635">
        <v>0</v>
      </c>
      <c r="K6635">
        <v>0</v>
      </c>
    </row>
    <row r="6636" spans="1:11" x14ac:dyDescent="0.25">
      <c r="A6636" t="str">
        <f>"8295"</f>
        <v>8295</v>
      </c>
      <c r="B6636" t="str">
        <f t="shared" si="434"/>
        <v>1</v>
      </c>
      <c r="C6636" t="str">
        <f t="shared" si="433"/>
        <v>357</v>
      </c>
      <c r="D6636" t="str">
        <f>"14"</f>
        <v>14</v>
      </c>
      <c r="E6636" t="str">
        <f>"1-357-14"</f>
        <v>1-357-14</v>
      </c>
      <c r="F6636" t="s">
        <v>15</v>
      </c>
      <c r="G6636" t="s">
        <v>16</v>
      </c>
      <c r="H6636" t="s">
        <v>17</v>
      </c>
      <c r="I6636">
        <v>0</v>
      </c>
      <c r="J6636">
        <v>1</v>
      </c>
      <c r="K6636">
        <v>0</v>
      </c>
    </row>
    <row r="6637" spans="1:11" x14ac:dyDescent="0.25">
      <c r="A6637" t="str">
        <f>"8296"</f>
        <v>8296</v>
      </c>
      <c r="B6637" t="str">
        <f t="shared" si="434"/>
        <v>1</v>
      </c>
      <c r="C6637" t="str">
        <f t="shared" si="433"/>
        <v>357</v>
      </c>
      <c r="D6637" t="str">
        <f>"4"</f>
        <v>4</v>
      </c>
      <c r="E6637" t="str">
        <f>"1-357-4"</f>
        <v>1-357-4</v>
      </c>
      <c r="F6637" t="s">
        <v>15</v>
      </c>
      <c r="G6637" t="s">
        <v>18</v>
      </c>
      <c r="H6637" t="s">
        <v>19</v>
      </c>
      <c r="I6637">
        <v>1</v>
      </c>
      <c r="J6637">
        <v>0</v>
      </c>
      <c r="K6637">
        <v>0</v>
      </c>
    </row>
    <row r="6638" spans="1:11" x14ac:dyDescent="0.25">
      <c r="A6638" t="str">
        <f>"8297"</f>
        <v>8297</v>
      </c>
      <c r="B6638" t="str">
        <f t="shared" si="434"/>
        <v>1</v>
      </c>
      <c r="C6638" t="str">
        <f t="shared" ref="C6638:C6662" si="435">"358"</f>
        <v>358</v>
      </c>
      <c r="D6638" t="str">
        <f>"18"</f>
        <v>18</v>
      </c>
      <c r="E6638" t="str">
        <f>"1-358-18"</f>
        <v>1-358-18</v>
      </c>
      <c r="F6638" t="s">
        <v>15</v>
      </c>
      <c r="G6638" t="s">
        <v>16</v>
      </c>
      <c r="H6638" t="s">
        <v>17</v>
      </c>
      <c r="I6638">
        <v>0</v>
      </c>
      <c r="J6638">
        <v>1</v>
      </c>
      <c r="K6638">
        <v>0</v>
      </c>
    </row>
    <row r="6639" spans="1:11" x14ac:dyDescent="0.25">
      <c r="A6639" t="str">
        <f>"8298"</f>
        <v>8298</v>
      </c>
      <c r="B6639" t="str">
        <f t="shared" si="434"/>
        <v>1</v>
      </c>
      <c r="C6639" t="str">
        <f t="shared" si="435"/>
        <v>358</v>
      </c>
      <c r="D6639" t="str">
        <f>"17"</f>
        <v>17</v>
      </c>
      <c r="E6639" t="str">
        <f>"1-358-17"</f>
        <v>1-358-17</v>
      </c>
      <c r="F6639" t="s">
        <v>15</v>
      </c>
      <c r="G6639" t="s">
        <v>16</v>
      </c>
      <c r="H6639" t="s">
        <v>17</v>
      </c>
      <c r="I6639">
        <v>0</v>
      </c>
      <c r="J6639">
        <v>0</v>
      </c>
      <c r="K6639">
        <v>1</v>
      </c>
    </row>
    <row r="6640" spans="1:11" x14ac:dyDescent="0.25">
      <c r="A6640" t="str">
        <f>"8299"</f>
        <v>8299</v>
      </c>
      <c r="B6640" t="str">
        <f t="shared" si="434"/>
        <v>1</v>
      </c>
      <c r="C6640" t="str">
        <f t="shared" si="435"/>
        <v>358</v>
      </c>
      <c r="D6640" t="str">
        <f>"15"</f>
        <v>15</v>
      </c>
      <c r="E6640" t="str">
        <f>"1-358-15"</f>
        <v>1-358-15</v>
      </c>
      <c r="F6640" t="s">
        <v>15</v>
      </c>
      <c r="G6640" t="s">
        <v>16</v>
      </c>
      <c r="H6640" t="s">
        <v>17</v>
      </c>
      <c r="I6640">
        <v>1</v>
      </c>
      <c r="J6640">
        <v>0</v>
      </c>
      <c r="K6640">
        <v>0</v>
      </c>
    </row>
    <row r="6641" spans="1:11" x14ac:dyDescent="0.25">
      <c r="A6641" t="str">
        <f>"8300"</f>
        <v>8300</v>
      </c>
      <c r="B6641" t="str">
        <f t="shared" si="434"/>
        <v>1</v>
      </c>
      <c r="C6641" t="str">
        <f t="shared" si="435"/>
        <v>358</v>
      </c>
      <c r="D6641" t="str">
        <f>"2"</f>
        <v>2</v>
      </c>
      <c r="E6641" t="str">
        <f>"1-358-2"</f>
        <v>1-358-2</v>
      </c>
      <c r="F6641" t="s">
        <v>15</v>
      </c>
      <c r="G6641" t="s">
        <v>20</v>
      </c>
      <c r="H6641" t="s">
        <v>21</v>
      </c>
      <c r="I6641">
        <v>1</v>
      </c>
      <c r="J6641">
        <v>0</v>
      </c>
      <c r="K6641">
        <v>0</v>
      </c>
    </row>
    <row r="6642" spans="1:11" x14ac:dyDescent="0.25">
      <c r="A6642" t="str">
        <f>"8301"</f>
        <v>8301</v>
      </c>
      <c r="B6642" t="str">
        <f t="shared" si="434"/>
        <v>1</v>
      </c>
      <c r="C6642" t="str">
        <f t="shared" si="435"/>
        <v>358</v>
      </c>
      <c r="D6642" t="str">
        <f>"20"</f>
        <v>20</v>
      </c>
      <c r="E6642" t="str">
        <f>"1-358-20"</f>
        <v>1-358-20</v>
      </c>
      <c r="F6642" t="s">
        <v>15</v>
      </c>
      <c r="G6642" t="s">
        <v>16</v>
      </c>
      <c r="H6642" t="s">
        <v>17</v>
      </c>
      <c r="I6642">
        <v>0</v>
      </c>
      <c r="J6642">
        <v>1</v>
      </c>
      <c r="K6642">
        <v>0</v>
      </c>
    </row>
    <row r="6643" spans="1:11" x14ac:dyDescent="0.25">
      <c r="A6643" t="str">
        <f>"8302"</f>
        <v>8302</v>
      </c>
      <c r="B6643" t="str">
        <f t="shared" si="434"/>
        <v>1</v>
      </c>
      <c r="C6643" t="str">
        <f t="shared" si="435"/>
        <v>358</v>
      </c>
      <c r="D6643" t="str">
        <f>"16"</f>
        <v>16</v>
      </c>
      <c r="E6643" t="str">
        <f>"1-358-16"</f>
        <v>1-358-16</v>
      </c>
      <c r="F6643" t="s">
        <v>15</v>
      </c>
      <c r="G6643" t="s">
        <v>16</v>
      </c>
      <c r="H6643" t="s">
        <v>17</v>
      </c>
      <c r="I6643">
        <v>0</v>
      </c>
      <c r="J6643">
        <v>1</v>
      </c>
      <c r="K6643">
        <v>0</v>
      </c>
    </row>
    <row r="6644" spans="1:11" x14ac:dyDescent="0.25">
      <c r="A6644" t="str">
        <f>"8303"</f>
        <v>8303</v>
      </c>
      <c r="B6644" t="str">
        <f t="shared" si="434"/>
        <v>1</v>
      </c>
      <c r="C6644" t="str">
        <f t="shared" si="435"/>
        <v>358</v>
      </c>
      <c r="D6644" t="str">
        <f>"3"</f>
        <v>3</v>
      </c>
      <c r="E6644" t="str">
        <f>"1-358-3"</f>
        <v>1-358-3</v>
      </c>
      <c r="F6644" t="s">
        <v>15</v>
      </c>
      <c r="G6644" t="s">
        <v>16</v>
      </c>
      <c r="H6644" t="s">
        <v>17</v>
      </c>
      <c r="I6644">
        <v>1</v>
      </c>
      <c r="J6644">
        <v>0</v>
      </c>
      <c r="K6644">
        <v>0</v>
      </c>
    </row>
    <row r="6645" spans="1:11" x14ac:dyDescent="0.25">
      <c r="A6645" t="str">
        <f>"8304"</f>
        <v>8304</v>
      </c>
      <c r="B6645" t="str">
        <f t="shared" si="434"/>
        <v>1</v>
      </c>
      <c r="C6645" t="str">
        <f t="shared" si="435"/>
        <v>358</v>
      </c>
      <c r="D6645" t="str">
        <f>"21"</f>
        <v>21</v>
      </c>
      <c r="E6645" t="str">
        <f>"1-358-21"</f>
        <v>1-358-21</v>
      </c>
      <c r="F6645" t="s">
        <v>15</v>
      </c>
      <c r="G6645" t="s">
        <v>16</v>
      </c>
      <c r="H6645" t="s">
        <v>17</v>
      </c>
      <c r="I6645">
        <v>0</v>
      </c>
      <c r="J6645">
        <v>1</v>
      </c>
      <c r="K6645">
        <v>0</v>
      </c>
    </row>
    <row r="6646" spans="1:11" x14ac:dyDescent="0.25">
      <c r="A6646" t="str">
        <f>"8305"</f>
        <v>8305</v>
      </c>
      <c r="B6646" t="str">
        <f t="shared" si="434"/>
        <v>1</v>
      </c>
      <c r="C6646" t="str">
        <f t="shared" si="435"/>
        <v>358</v>
      </c>
      <c r="D6646" t="str">
        <f>"6"</f>
        <v>6</v>
      </c>
      <c r="E6646" t="str">
        <f>"1-358-6"</f>
        <v>1-358-6</v>
      </c>
      <c r="F6646" t="s">
        <v>15</v>
      </c>
      <c r="G6646" t="s">
        <v>16</v>
      </c>
      <c r="H6646" t="s">
        <v>17</v>
      </c>
      <c r="I6646">
        <v>1</v>
      </c>
      <c r="J6646">
        <v>0</v>
      </c>
      <c r="K6646">
        <v>0</v>
      </c>
    </row>
    <row r="6647" spans="1:11" x14ac:dyDescent="0.25">
      <c r="A6647" t="str">
        <f>"8306"</f>
        <v>8306</v>
      </c>
      <c r="B6647" t="str">
        <f t="shared" si="434"/>
        <v>1</v>
      </c>
      <c r="C6647" t="str">
        <f t="shared" si="435"/>
        <v>358</v>
      </c>
      <c r="D6647" t="str">
        <f>"22"</f>
        <v>22</v>
      </c>
      <c r="E6647" t="str">
        <f>"1-358-22"</f>
        <v>1-358-22</v>
      </c>
      <c r="F6647" t="s">
        <v>15</v>
      </c>
      <c r="G6647" t="s">
        <v>16</v>
      </c>
      <c r="H6647" t="s">
        <v>17</v>
      </c>
      <c r="I6647">
        <v>1</v>
      </c>
      <c r="J6647">
        <v>0</v>
      </c>
      <c r="K6647">
        <v>0</v>
      </c>
    </row>
    <row r="6648" spans="1:11" x14ac:dyDescent="0.25">
      <c r="A6648" t="str">
        <f>"8307"</f>
        <v>8307</v>
      </c>
      <c r="B6648" t="str">
        <f t="shared" si="434"/>
        <v>1</v>
      </c>
      <c r="C6648" t="str">
        <f t="shared" si="435"/>
        <v>358</v>
      </c>
      <c r="D6648" t="str">
        <f>"5"</f>
        <v>5</v>
      </c>
      <c r="E6648" t="str">
        <f>"1-358-5"</f>
        <v>1-358-5</v>
      </c>
      <c r="F6648" t="s">
        <v>15</v>
      </c>
      <c r="G6648" t="s">
        <v>18</v>
      </c>
      <c r="H6648" t="s">
        <v>19</v>
      </c>
      <c r="I6648">
        <v>1</v>
      </c>
      <c r="J6648">
        <v>0</v>
      </c>
      <c r="K6648">
        <v>0</v>
      </c>
    </row>
    <row r="6649" spans="1:11" x14ac:dyDescent="0.25">
      <c r="A6649" t="str">
        <f>"8308"</f>
        <v>8308</v>
      </c>
      <c r="B6649" t="str">
        <f t="shared" si="434"/>
        <v>1</v>
      </c>
      <c r="C6649" t="str">
        <f t="shared" si="435"/>
        <v>358</v>
      </c>
      <c r="D6649" t="str">
        <f>"23"</f>
        <v>23</v>
      </c>
      <c r="E6649" t="str">
        <f>"1-358-23"</f>
        <v>1-358-23</v>
      </c>
      <c r="F6649" t="s">
        <v>15</v>
      </c>
      <c r="G6649" t="s">
        <v>16</v>
      </c>
      <c r="H6649" t="s">
        <v>17</v>
      </c>
      <c r="I6649">
        <v>1</v>
      </c>
      <c r="J6649">
        <v>0</v>
      </c>
      <c r="K6649">
        <v>0</v>
      </c>
    </row>
    <row r="6650" spans="1:11" x14ac:dyDescent="0.25">
      <c r="A6650" t="str">
        <f>"8309"</f>
        <v>8309</v>
      </c>
      <c r="B6650" t="str">
        <f t="shared" si="434"/>
        <v>1</v>
      </c>
      <c r="C6650" t="str">
        <f t="shared" si="435"/>
        <v>358</v>
      </c>
      <c r="D6650" t="str">
        <f>"14"</f>
        <v>14</v>
      </c>
      <c r="E6650" t="str">
        <f>"1-358-14"</f>
        <v>1-358-14</v>
      </c>
      <c r="F6650" t="s">
        <v>15</v>
      </c>
      <c r="G6650" t="s">
        <v>16</v>
      </c>
      <c r="H6650" t="s">
        <v>17</v>
      </c>
      <c r="I6650">
        <v>1</v>
      </c>
      <c r="J6650">
        <v>0</v>
      </c>
      <c r="K6650">
        <v>0</v>
      </c>
    </row>
    <row r="6651" spans="1:11" x14ac:dyDescent="0.25">
      <c r="A6651" t="str">
        <f>"8310"</f>
        <v>8310</v>
      </c>
      <c r="B6651" t="str">
        <f t="shared" si="434"/>
        <v>1</v>
      </c>
      <c r="C6651" t="str">
        <f t="shared" si="435"/>
        <v>358</v>
      </c>
      <c r="D6651" t="str">
        <f>"24"</f>
        <v>24</v>
      </c>
      <c r="E6651" t="str">
        <f>"1-358-24"</f>
        <v>1-358-24</v>
      </c>
      <c r="F6651" t="s">
        <v>15</v>
      </c>
      <c r="G6651" t="s">
        <v>20</v>
      </c>
      <c r="H6651" t="s">
        <v>21</v>
      </c>
      <c r="I6651">
        <v>1</v>
      </c>
      <c r="J6651">
        <v>0</v>
      </c>
      <c r="K6651">
        <v>0</v>
      </c>
    </row>
    <row r="6652" spans="1:11" x14ac:dyDescent="0.25">
      <c r="A6652" t="str">
        <f>"8311"</f>
        <v>8311</v>
      </c>
      <c r="B6652" t="str">
        <f t="shared" si="434"/>
        <v>1</v>
      </c>
      <c r="C6652" t="str">
        <f t="shared" si="435"/>
        <v>358</v>
      </c>
      <c r="D6652" t="str">
        <f>"13"</f>
        <v>13</v>
      </c>
      <c r="E6652" t="str">
        <f>"1-358-13"</f>
        <v>1-358-13</v>
      </c>
      <c r="F6652" t="s">
        <v>15</v>
      </c>
      <c r="G6652" t="s">
        <v>16</v>
      </c>
      <c r="H6652" t="s">
        <v>17</v>
      </c>
      <c r="I6652">
        <v>0</v>
      </c>
      <c r="J6652">
        <v>1</v>
      </c>
      <c r="K6652">
        <v>0</v>
      </c>
    </row>
    <row r="6653" spans="1:11" x14ac:dyDescent="0.25">
      <c r="A6653" t="str">
        <f>"8312"</f>
        <v>8312</v>
      </c>
      <c r="B6653" t="str">
        <f t="shared" si="434"/>
        <v>1</v>
      </c>
      <c r="C6653" t="str">
        <f t="shared" si="435"/>
        <v>358</v>
      </c>
      <c r="D6653" t="str">
        <f>"25"</f>
        <v>25</v>
      </c>
      <c r="E6653" t="str">
        <f>"1-358-25"</f>
        <v>1-358-25</v>
      </c>
      <c r="F6653" t="s">
        <v>15</v>
      </c>
      <c r="G6653" t="s">
        <v>20</v>
      </c>
      <c r="H6653" t="s">
        <v>21</v>
      </c>
      <c r="I6653">
        <v>1</v>
      </c>
      <c r="J6653">
        <v>0</v>
      </c>
      <c r="K6653">
        <v>0</v>
      </c>
    </row>
    <row r="6654" spans="1:11" x14ac:dyDescent="0.25">
      <c r="A6654" t="str">
        <f>"8313"</f>
        <v>8313</v>
      </c>
      <c r="B6654" t="str">
        <f t="shared" si="434"/>
        <v>1</v>
      </c>
      <c r="C6654" t="str">
        <f t="shared" si="435"/>
        <v>358</v>
      </c>
      <c r="D6654" t="str">
        <f>"8"</f>
        <v>8</v>
      </c>
      <c r="E6654" t="str">
        <f>"1-358-8"</f>
        <v>1-358-8</v>
      </c>
      <c r="F6654" t="s">
        <v>15</v>
      </c>
      <c r="G6654" t="s">
        <v>16</v>
      </c>
      <c r="H6654" t="s">
        <v>17</v>
      </c>
      <c r="I6654">
        <v>1</v>
      </c>
      <c r="J6654">
        <v>0</v>
      </c>
      <c r="K6654">
        <v>0</v>
      </c>
    </row>
    <row r="6655" spans="1:11" x14ac:dyDescent="0.25">
      <c r="A6655" t="str">
        <f>"8314"</f>
        <v>8314</v>
      </c>
      <c r="B6655" t="str">
        <f t="shared" si="434"/>
        <v>1</v>
      </c>
      <c r="C6655" t="str">
        <f t="shared" si="435"/>
        <v>358</v>
      </c>
      <c r="D6655" t="str">
        <f>"1"</f>
        <v>1</v>
      </c>
      <c r="E6655" t="str">
        <f>"1-358-1"</f>
        <v>1-358-1</v>
      </c>
      <c r="F6655" t="s">
        <v>15</v>
      </c>
      <c r="G6655" t="s">
        <v>18</v>
      </c>
      <c r="H6655" t="s">
        <v>19</v>
      </c>
      <c r="I6655">
        <v>1</v>
      </c>
      <c r="J6655">
        <v>0</v>
      </c>
      <c r="K6655">
        <v>0</v>
      </c>
    </row>
    <row r="6656" spans="1:11" x14ac:dyDescent="0.25">
      <c r="A6656" t="str">
        <f>"8315"</f>
        <v>8315</v>
      </c>
      <c r="B6656" t="str">
        <f t="shared" si="434"/>
        <v>1</v>
      </c>
      <c r="C6656" t="str">
        <f t="shared" si="435"/>
        <v>358</v>
      </c>
      <c r="D6656" t="str">
        <f>"11"</f>
        <v>11</v>
      </c>
      <c r="E6656" t="str">
        <f>"1-358-11"</f>
        <v>1-358-11</v>
      </c>
      <c r="F6656" t="s">
        <v>15</v>
      </c>
      <c r="G6656" t="s">
        <v>16</v>
      </c>
      <c r="H6656" t="s">
        <v>17</v>
      </c>
      <c r="I6656">
        <v>0</v>
      </c>
      <c r="J6656">
        <v>1</v>
      </c>
      <c r="K6656">
        <v>0</v>
      </c>
    </row>
    <row r="6657" spans="1:11" x14ac:dyDescent="0.25">
      <c r="A6657" t="str">
        <f>"8316"</f>
        <v>8316</v>
      </c>
      <c r="B6657" t="str">
        <f t="shared" si="434"/>
        <v>1</v>
      </c>
      <c r="C6657" t="str">
        <f t="shared" si="435"/>
        <v>358</v>
      </c>
      <c r="D6657" t="str">
        <f>"4"</f>
        <v>4</v>
      </c>
      <c r="E6657" t="str">
        <f>"1-358-4"</f>
        <v>1-358-4</v>
      </c>
      <c r="F6657" t="s">
        <v>15</v>
      </c>
      <c r="G6657" t="s">
        <v>16</v>
      </c>
      <c r="H6657" t="s">
        <v>17</v>
      </c>
      <c r="I6657">
        <v>1</v>
      </c>
      <c r="J6657">
        <v>0</v>
      </c>
      <c r="K6657">
        <v>0</v>
      </c>
    </row>
    <row r="6658" spans="1:11" x14ac:dyDescent="0.25">
      <c r="A6658" t="str">
        <f>"8317"</f>
        <v>8317</v>
      </c>
      <c r="B6658" t="str">
        <f t="shared" si="434"/>
        <v>1</v>
      </c>
      <c r="C6658" t="str">
        <f t="shared" si="435"/>
        <v>358</v>
      </c>
      <c r="D6658" t="str">
        <f>"7"</f>
        <v>7</v>
      </c>
      <c r="E6658" t="str">
        <f>"1-358-7"</f>
        <v>1-358-7</v>
      </c>
      <c r="F6658" t="s">
        <v>15</v>
      </c>
      <c r="G6658" t="s">
        <v>16</v>
      </c>
      <c r="H6658" t="s">
        <v>17</v>
      </c>
      <c r="I6658">
        <v>1</v>
      </c>
      <c r="J6658">
        <v>0</v>
      </c>
      <c r="K6658">
        <v>0</v>
      </c>
    </row>
    <row r="6659" spans="1:11" x14ac:dyDescent="0.25">
      <c r="A6659" t="str">
        <f>"8318"</f>
        <v>8318</v>
      </c>
      <c r="B6659" t="str">
        <f t="shared" si="434"/>
        <v>1</v>
      </c>
      <c r="C6659" t="str">
        <f t="shared" si="435"/>
        <v>358</v>
      </c>
      <c r="D6659" t="str">
        <f>"12"</f>
        <v>12</v>
      </c>
      <c r="E6659" t="str">
        <f>"1-358-12"</f>
        <v>1-358-12</v>
      </c>
      <c r="F6659" t="s">
        <v>15</v>
      </c>
      <c r="G6659" t="s">
        <v>16</v>
      </c>
      <c r="H6659" t="s">
        <v>17</v>
      </c>
      <c r="I6659">
        <v>1</v>
      </c>
      <c r="J6659">
        <v>0</v>
      </c>
      <c r="K6659">
        <v>0</v>
      </c>
    </row>
    <row r="6660" spans="1:11" x14ac:dyDescent="0.25">
      <c r="A6660" t="str">
        <f>"8319"</f>
        <v>8319</v>
      </c>
      <c r="B6660" t="str">
        <f t="shared" si="434"/>
        <v>1</v>
      </c>
      <c r="C6660" t="str">
        <f t="shared" si="435"/>
        <v>358</v>
      </c>
      <c r="D6660" t="str">
        <f>"9"</f>
        <v>9</v>
      </c>
      <c r="E6660" t="str">
        <f>"1-358-9"</f>
        <v>1-358-9</v>
      </c>
      <c r="F6660" t="s">
        <v>15</v>
      </c>
      <c r="G6660" t="s">
        <v>16</v>
      </c>
      <c r="H6660" t="s">
        <v>17</v>
      </c>
      <c r="I6660">
        <v>0</v>
      </c>
      <c r="J6660">
        <v>0</v>
      </c>
      <c r="K6660">
        <v>0</v>
      </c>
    </row>
    <row r="6661" spans="1:11" x14ac:dyDescent="0.25">
      <c r="A6661" t="str">
        <f>"8320"</f>
        <v>8320</v>
      </c>
      <c r="B6661" t="str">
        <f t="shared" si="434"/>
        <v>1</v>
      </c>
      <c r="C6661" t="str">
        <f t="shared" si="435"/>
        <v>358</v>
      </c>
      <c r="D6661" t="str">
        <f>"10"</f>
        <v>10</v>
      </c>
      <c r="E6661" t="str">
        <f>"1-358-10"</f>
        <v>1-358-10</v>
      </c>
      <c r="F6661" t="s">
        <v>15</v>
      </c>
      <c r="G6661" t="s">
        <v>16</v>
      </c>
      <c r="H6661" t="s">
        <v>17</v>
      </c>
      <c r="I6661">
        <v>0</v>
      </c>
      <c r="J6661">
        <v>0</v>
      </c>
      <c r="K6661">
        <v>0</v>
      </c>
    </row>
    <row r="6662" spans="1:11" x14ac:dyDescent="0.25">
      <c r="A6662" t="str">
        <f>"8321"</f>
        <v>8321</v>
      </c>
      <c r="B6662" t="str">
        <f t="shared" si="434"/>
        <v>1</v>
      </c>
      <c r="C6662" t="str">
        <f t="shared" si="435"/>
        <v>358</v>
      </c>
      <c r="D6662" t="str">
        <f>"19"</f>
        <v>19</v>
      </c>
      <c r="E6662" t="str">
        <f>"1-358-19"</f>
        <v>1-358-19</v>
      </c>
      <c r="F6662" t="s">
        <v>15</v>
      </c>
      <c r="G6662" t="s">
        <v>20</v>
      </c>
      <c r="H6662" t="s">
        <v>21</v>
      </c>
      <c r="I6662">
        <v>0</v>
      </c>
      <c r="J6662">
        <v>0</v>
      </c>
      <c r="K6662">
        <v>0</v>
      </c>
    </row>
    <row r="6663" spans="1:11" x14ac:dyDescent="0.25">
      <c r="A6663" t="str">
        <f>"8323"</f>
        <v>8323</v>
      </c>
      <c r="B6663" t="str">
        <f t="shared" si="434"/>
        <v>1</v>
      </c>
      <c r="C6663" t="str">
        <f t="shared" ref="C6663:C6675" si="436">"359"</f>
        <v>359</v>
      </c>
      <c r="D6663" t="str">
        <f>"7"</f>
        <v>7</v>
      </c>
      <c r="E6663" t="str">
        <f>"1-359-7"</f>
        <v>1-359-7</v>
      </c>
      <c r="F6663" t="s">
        <v>15</v>
      </c>
      <c r="G6663" t="s">
        <v>16</v>
      </c>
      <c r="H6663" t="s">
        <v>17</v>
      </c>
      <c r="I6663">
        <v>0</v>
      </c>
      <c r="J6663">
        <v>0</v>
      </c>
      <c r="K6663">
        <v>1</v>
      </c>
    </row>
    <row r="6664" spans="1:11" x14ac:dyDescent="0.25">
      <c r="A6664" t="str">
        <f>"8326"</f>
        <v>8326</v>
      </c>
      <c r="B6664" t="str">
        <f t="shared" si="434"/>
        <v>1</v>
      </c>
      <c r="C6664" t="str">
        <f t="shared" si="436"/>
        <v>359</v>
      </c>
      <c r="D6664" t="str">
        <f>"12"</f>
        <v>12</v>
      </c>
      <c r="E6664" t="str">
        <f>"1-359-12"</f>
        <v>1-359-12</v>
      </c>
      <c r="F6664" t="s">
        <v>15</v>
      </c>
      <c r="G6664" t="s">
        <v>16</v>
      </c>
      <c r="H6664" t="s">
        <v>17</v>
      </c>
      <c r="I6664">
        <v>1</v>
      </c>
      <c r="J6664">
        <v>0</v>
      </c>
      <c r="K6664">
        <v>0</v>
      </c>
    </row>
    <row r="6665" spans="1:11" x14ac:dyDescent="0.25">
      <c r="A6665" t="str">
        <f>"8331"</f>
        <v>8331</v>
      </c>
      <c r="B6665" t="str">
        <f t="shared" si="434"/>
        <v>1</v>
      </c>
      <c r="C6665" t="str">
        <f t="shared" si="436"/>
        <v>359</v>
      </c>
      <c r="D6665" t="str">
        <f>"11"</f>
        <v>11</v>
      </c>
      <c r="E6665" t="str">
        <f>"1-359-11"</f>
        <v>1-359-11</v>
      </c>
      <c r="F6665" t="s">
        <v>15</v>
      </c>
      <c r="G6665" t="s">
        <v>16</v>
      </c>
      <c r="H6665" t="s">
        <v>17</v>
      </c>
      <c r="I6665">
        <v>0</v>
      </c>
      <c r="J6665">
        <v>1</v>
      </c>
      <c r="K6665">
        <v>0</v>
      </c>
    </row>
    <row r="6666" spans="1:11" x14ac:dyDescent="0.25">
      <c r="A6666" t="str">
        <f>"8332"</f>
        <v>8332</v>
      </c>
      <c r="B6666" t="str">
        <f t="shared" si="434"/>
        <v>1</v>
      </c>
      <c r="C6666" t="str">
        <f t="shared" si="436"/>
        <v>359</v>
      </c>
      <c r="D6666" t="str">
        <f>"13"</f>
        <v>13</v>
      </c>
      <c r="E6666" t="str">
        <f>"1-359-13"</f>
        <v>1-359-13</v>
      </c>
      <c r="F6666" t="s">
        <v>15</v>
      </c>
      <c r="G6666" t="s">
        <v>16</v>
      </c>
      <c r="H6666" t="s">
        <v>17</v>
      </c>
      <c r="I6666">
        <v>1</v>
      </c>
      <c r="J6666">
        <v>0</v>
      </c>
      <c r="K6666">
        <v>0</v>
      </c>
    </row>
    <row r="6667" spans="1:11" x14ac:dyDescent="0.25">
      <c r="A6667" t="str">
        <f>"8333"</f>
        <v>8333</v>
      </c>
      <c r="B6667" t="str">
        <f t="shared" si="434"/>
        <v>1</v>
      </c>
      <c r="C6667" t="str">
        <f t="shared" si="436"/>
        <v>359</v>
      </c>
      <c r="D6667" t="str">
        <f>"10"</f>
        <v>10</v>
      </c>
      <c r="E6667" t="str">
        <f>"1-359-10"</f>
        <v>1-359-10</v>
      </c>
      <c r="F6667" t="s">
        <v>15</v>
      </c>
      <c r="G6667" t="s">
        <v>16</v>
      </c>
      <c r="H6667" t="s">
        <v>17</v>
      </c>
      <c r="I6667">
        <v>0</v>
      </c>
      <c r="J6667">
        <v>1</v>
      </c>
      <c r="K6667">
        <v>0</v>
      </c>
    </row>
    <row r="6668" spans="1:11" x14ac:dyDescent="0.25">
      <c r="A6668" t="str">
        <f>"8334"</f>
        <v>8334</v>
      </c>
      <c r="B6668" t="str">
        <f t="shared" si="434"/>
        <v>1</v>
      </c>
      <c r="C6668" t="str">
        <f t="shared" si="436"/>
        <v>359</v>
      </c>
      <c r="D6668" t="str">
        <f>"8"</f>
        <v>8</v>
      </c>
      <c r="E6668" t="str">
        <f>"1-359-8"</f>
        <v>1-359-8</v>
      </c>
      <c r="F6668" t="s">
        <v>15</v>
      </c>
      <c r="G6668" t="s">
        <v>16</v>
      </c>
      <c r="H6668" t="s">
        <v>17</v>
      </c>
      <c r="I6668">
        <v>1</v>
      </c>
      <c r="J6668">
        <v>0</v>
      </c>
      <c r="K6668">
        <v>0</v>
      </c>
    </row>
    <row r="6669" spans="1:11" x14ac:dyDescent="0.25">
      <c r="A6669" t="str">
        <f>"8335"</f>
        <v>8335</v>
      </c>
      <c r="B6669" t="str">
        <f t="shared" si="434"/>
        <v>1</v>
      </c>
      <c r="C6669" t="str">
        <f t="shared" si="436"/>
        <v>359</v>
      </c>
      <c r="D6669" t="str">
        <f>"2"</f>
        <v>2</v>
      </c>
      <c r="E6669" t="str">
        <f>"1-359-2"</f>
        <v>1-359-2</v>
      </c>
      <c r="F6669" t="s">
        <v>15</v>
      </c>
      <c r="G6669" t="s">
        <v>18</v>
      </c>
      <c r="H6669" t="s">
        <v>19</v>
      </c>
      <c r="I6669">
        <v>0</v>
      </c>
      <c r="J6669">
        <v>1</v>
      </c>
      <c r="K6669">
        <v>0</v>
      </c>
    </row>
    <row r="6670" spans="1:11" x14ac:dyDescent="0.25">
      <c r="A6670" t="str">
        <f>"8336"</f>
        <v>8336</v>
      </c>
      <c r="B6670" t="str">
        <f t="shared" si="434"/>
        <v>1</v>
      </c>
      <c r="C6670" t="str">
        <f t="shared" si="436"/>
        <v>359</v>
      </c>
      <c r="D6670" t="str">
        <f>"1"</f>
        <v>1</v>
      </c>
      <c r="E6670" t="str">
        <f>"1-359-1"</f>
        <v>1-359-1</v>
      </c>
      <c r="F6670" t="s">
        <v>15</v>
      </c>
      <c r="G6670" t="s">
        <v>18</v>
      </c>
      <c r="H6670" t="s">
        <v>19</v>
      </c>
      <c r="I6670">
        <v>0</v>
      </c>
      <c r="J6670">
        <v>1</v>
      </c>
      <c r="K6670">
        <v>0</v>
      </c>
    </row>
    <row r="6671" spans="1:11" x14ac:dyDescent="0.25">
      <c r="A6671" t="str">
        <f>"8337"</f>
        <v>8337</v>
      </c>
      <c r="B6671" t="str">
        <f t="shared" si="434"/>
        <v>1</v>
      </c>
      <c r="C6671" t="str">
        <f t="shared" si="436"/>
        <v>359</v>
      </c>
      <c r="D6671" t="str">
        <f>"9"</f>
        <v>9</v>
      </c>
      <c r="E6671" t="str">
        <f>"1-359-9"</f>
        <v>1-359-9</v>
      </c>
      <c r="F6671" t="s">
        <v>15</v>
      </c>
      <c r="G6671" t="s">
        <v>20</v>
      </c>
      <c r="H6671" t="s">
        <v>21</v>
      </c>
      <c r="I6671">
        <v>1</v>
      </c>
      <c r="J6671">
        <v>0</v>
      </c>
      <c r="K6671">
        <v>0</v>
      </c>
    </row>
    <row r="6672" spans="1:11" x14ac:dyDescent="0.25">
      <c r="A6672" t="str">
        <f>"8338"</f>
        <v>8338</v>
      </c>
      <c r="B6672" t="str">
        <f t="shared" si="434"/>
        <v>1</v>
      </c>
      <c r="C6672" t="str">
        <f t="shared" si="436"/>
        <v>359</v>
      </c>
      <c r="D6672" t="str">
        <f>"5"</f>
        <v>5</v>
      </c>
      <c r="E6672" t="str">
        <f>"1-359-5"</f>
        <v>1-359-5</v>
      </c>
      <c r="F6672" t="s">
        <v>15</v>
      </c>
      <c r="G6672" t="s">
        <v>20</v>
      </c>
      <c r="H6672" t="s">
        <v>21</v>
      </c>
      <c r="I6672">
        <v>1</v>
      </c>
      <c r="J6672">
        <v>0</v>
      </c>
      <c r="K6672">
        <v>0</v>
      </c>
    </row>
    <row r="6673" spans="1:11" x14ac:dyDescent="0.25">
      <c r="A6673" t="str">
        <f>"8339"</f>
        <v>8339</v>
      </c>
      <c r="B6673" t="str">
        <f t="shared" si="434"/>
        <v>1</v>
      </c>
      <c r="C6673" t="str">
        <f t="shared" si="436"/>
        <v>359</v>
      </c>
      <c r="D6673" t="str">
        <f>"3"</f>
        <v>3</v>
      </c>
      <c r="E6673" t="str">
        <f>"1-359-3"</f>
        <v>1-359-3</v>
      </c>
      <c r="F6673" t="s">
        <v>15</v>
      </c>
      <c r="G6673" t="s">
        <v>16</v>
      </c>
      <c r="H6673" t="s">
        <v>17</v>
      </c>
      <c r="I6673">
        <v>1</v>
      </c>
      <c r="J6673">
        <v>0</v>
      </c>
      <c r="K6673">
        <v>0</v>
      </c>
    </row>
    <row r="6674" spans="1:11" x14ac:dyDescent="0.25">
      <c r="A6674" t="str">
        <f>"8340"</f>
        <v>8340</v>
      </c>
      <c r="B6674" t="str">
        <f t="shared" si="434"/>
        <v>1</v>
      </c>
      <c r="C6674" t="str">
        <f t="shared" si="436"/>
        <v>359</v>
      </c>
      <c r="D6674" t="str">
        <f>"4"</f>
        <v>4</v>
      </c>
      <c r="E6674" t="str">
        <f>"1-359-4"</f>
        <v>1-359-4</v>
      </c>
      <c r="F6674" t="s">
        <v>15</v>
      </c>
      <c r="G6674" t="s">
        <v>18</v>
      </c>
      <c r="H6674" t="s">
        <v>19</v>
      </c>
      <c r="I6674">
        <v>0</v>
      </c>
      <c r="J6674">
        <v>0</v>
      </c>
      <c r="K6674">
        <v>0</v>
      </c>
    </row>
    <row r="6675" spans="1:11" x14ac:dyDescent="0.25">
      <c r="A6675" t="str">
        <f>"8341"</f>
        <v>8341</v>
      </c>
      <c r="B6675" t="str">
        <f t="shared" si="434"/>
        <v>1</v>
      </c>
      <c r="C6675" t="str">
        <f t="shared" si="436"/>
        <v>359</v>
      </c>
      <c r="D6675" t="str">
        <f>"6"</f>
        <v>6</v>
      </c>
      <c r="E6675" t="str">
        <f>"1-359-6"</f>
        <v>1-359-6</v>
      </c>
      <c r="F6675" t="s">
        <v>15</v>
      </c>
      <c r="G6675" t="s">
        <v>18</v>
      </c>
      <c r="H6675" t="s">
        <v>19</v>
      </c>
      <c r="I6675">
        <v>0</v>
      </c>
      <c r="J6675">
        <v>0</v>
      </c>
      <c r="K6675">
        <v>0</v>
      </c>
    </row>
    <row r="6676" spans="1:11" x14ac:dyDescent="0.25">
      <c r="A6676" t="str">
        <f>"8342"</f>
        <v>8342</v>
      </c>
      <c r="B6676" t="str">
        <f t="shared" si="434"/>
        <v>1</v>
      </c>
      <c r="C6676" t="str">
        <f t="shared" ref="C6676:C6700" si="437">"360"</f>
        <v>360</v>
      </c>
      <c r="D6676" t="str">
        <f>"22"</f>
        <v>22</v>
      </c>
      <c r="E6676" t="str">
        <f>"1-360-22"</f>
        <v>1-360-22</v>
      </c>
      <c r="F6676" t="s">
        <v>15</v>
      </c>
      <c r="G6676" t="s">
        <v>18</v>
      </c>
      <c r="H6676" t="s">
        <v>19</v>
      </c>
      <c r="I6676">
        <v>1</v>
      </c>
      <c r="J6676">
        <v>0</v>
      </c>
      <c r="K6676">
        <v>0</v>
      </c>
    </row>
    <row r="6677" spans="1:11" x14ac:dyDescent="0.25">
      <c r="A6677" t="str">
        <f>"8343"</f>
        <v>8343</v>
      </c>
      <c r="B6677" t="str">
        <f t="shared" si="434"/>
        <v>1</v>
      </c>
      <c r="C6677" t="str">
        <f t="shared" si="437"/>
        <v>360</v>
      </c>
      <c r="D6677" t="str">
        <f>"15"</f>
        <v>15</v>
      </c>
      <c r="E6677" t="str">
        <f>"1-360-15"</f>
        <v>1-360-15</v>
      </c>
      <c r="F6677" t="s">
        <v>15</v>
      </c>
      <c r="G6677" t="s">
        <v>16</v>
      </c>
      <c r="H6677" t="s">
        <v>17</v>
      </c>
      <c r="I6677">
        <v>1</v>
      </c>
      <c r="J6677">
        <v>0</v>
      </c>
      <c r="K6677">
        <v>0</v>
      </c>
    </row>
    <row r="6678" spans="1:11" x14ac:dyDescent="0.25">
      <c r="A6678" t="str">
        <f>"8344"</f>
        <v>8344</v>
      </c>
      <c r="B6678" t="str">
        <f t="shared" si="434"/>
        <v>1</v>
      </c>
      <c r="C6678" t="str">
        <f t="shared" si="437"/>
        <v>360</v>
      </c>
      <c r="D6678" t="str">
        <f>"3"</f>
        <v>3</v>
      </c>
      <c r="E6678" t="str">
        <f>"1-360-3"</f>
        <v>1-360-3</v>
      </c>
      <c r="F6678" t="s">
        <v>15</v>
      </c>
      <c r="G6678" t="s">
        <v>20</v>
      </c>
      <c r="H6678" t="s">
        <v>21</v>
      </c>
      <c r="I6678">
        <v>0</v>
      </c>
      <c r="J6678">
        <v>0</v>
      </c>
      <c r="K6678">
        <v>1</v>
      </c>
    </row>
    <row r="6679" spans="1:11" x14ac:dyDescent="0.25">
      <c r="A6679" t="str">
        <f>"8345"</f>
        <v>8345</v>
      </c>
      <c r="B6679" t="str">
        <f t="shared" si="434"/>
        <v>1</v>
      </c>
      <c r="C6679" t="str">
        <f t="shared" si="437"/>
        <v>360</v>
      </c>
      <c r="D6679" t="str">
        <f>"20"</f>
        <v>20</v>
      </c>
      <c r="E6679" t="str">
        <f>"1-360-20"</f>
        <v>1-360-20</v>
      </c>
      <c r="F6679" t="s">
        <v>15</v>
      </c>
      <c r="G6679" t="s">
        <v>18</v>
      </c>
      <c r="H6679" t="s">
        <v>19</v>
      </c>
      <c r="I6679">
        <v>1</v>
      </c>
      <c r="J6679">
        <v>0</v>
      </c>
      <c r="K6679">
        <v>0</v>
      </c>
    </row>
    <row r="6680" spans="1:11" x14ac:dyDescent="0.25">
      <c r="A6680" t="str">
        <f>"8346"</f>
        <v>8346</v>
      </c>
      <c r="B6680" t="str">
        <f t="shared" ref="B6680:B6743" si="438">"1"</f>
        <v>1</v>
      </c>
      <c r="C6680" t="str">
        <f t="shared" si="437"/>
        <v>360</v>
      </c>
      <c r="D6680" t="str">
        <f>"16"</f>
        <v>16</v>
      </c>
      <c r="E6680" t="str">
        <f>"1-360-16"</f>
        <v>1-360-16</v>
      </c>
      <c r="F6680" t="s">
        <v>15</v>
      </c>
      <c r="G6680" t="s">
        <v>16</v>
      </c>
      <c r="H6680" t="s">
        <v>17</v>
      </c>
      <c r="I6680">
        <v>1</v>
      </c>
      <c r="J6680">
        <v>0</v>
      </c>
      <c r="K6680">
        <v>0</v>
      </c>
    </row>
    <row r="6681" spans="1:11" x14ac:dyDescent="0.25">
      <c r="A6681" t="str">
        <f>"8347"</f>
        <v>8347</v>
      </c>
      <c r="B6681" t="str">
        <f t="shared" si="438"/>
        <v>1</v>
      </c>
      <c r="C6681" t="str">
        <f t="shared" si="437"/>
        <v>360</v>
      </c>
      <c r="D6681" t="str">
        <f>"2"</f>
        <v>2</v>
      </c>
      <c r="E6681" t="str">
        <f>"1-360-2"</f>
        <v>1-360-2</v>
      </c>
      <c r="F6681" t="s">
        <v>15</v>
      </c>
      <c r="G6681" t="s">
        <v>16</v>
      </c>
      <c r="H6681" t="s">
        <v>17</v>
      </c>
      <c r="I6681">
        <v>1</v>
      </c>
      <c r="J6681">
        <v>0</v>
      </c>
      <c r="K6681">
        <v>0</v>
      </c>
    </row>
    <row r="6682" spans="1:11" x14ac:dyDescent="0.25">
      <c r="A6682" t="str">
        <f>"8348"</f>
        <v>8348</v>
      </c>
      <c r="B6682" t="str">
        <f t="shared" si="438"/>
        <v>1</v>
      </c>
      <c r="C6682" t="str">
        <f t="shared" si="437"/>
        <v>360</v>
      </c>
      <c r="D6682" t="str">
        <f>"17"</f>
        <v>17</v>
      </c>
      <c r="E6682" t="str">
        <f>"1-360-17"</f>
        <v>1-360-17</v>
      </c>
      <c r="F6682" t="s">
        <v>15</v>
      </c>
      <c r="G6682" t="s">
        <v>16</v>
      </c>
      <c r="H6682" t="s">
        <v>17</v>
      </c>
      <c r="I6682">
        <v>1</v>
      </c>
      <c r="J6682">
        <v>0</v>
      </c>
      <c r="K6682">
        <v>0</v>
      </c>
    </row>
    <row r="6683" spans="1:11" x14ac:dyDescent="0.25">
      <c r="A6683" t="str">
        <f>"8349"</f>
        <v>8349</v>
      </c>
      <c r="B6683" t="str">
        <f t="shared" si="438"/>
        <v>1</v>
      </c>
      <c r="C6683" t="str">
        <f t="shared" si="437"/>
        <v>360</v>
      </c>
      <c r="D6683" t="str">
        <f>"7"</f>
        <v>7</v>
      </c>
      <c r="E6683" t="str">
        <f>"1-360-7"</f>
        <v>1-360-7</v>
      </c>
      <c r="F6683" t="s">
        <v>15</v>
      </c>
      <c r="G6683" t="s">
        <v>16</v>
      </c>
      <c r="H6683" t="s">
        <v>17</v>
      </c>
      <c r="I6683">
        <v>0</v>
      </c>
      <c r="J6683">
        <v>1</v>
      </c>
      <c r="K6683">
        <v>0</v>
      </c>
    </row>
    <row r="6684" spans="1:11" x14ac:dyDescent="0.25">
      <c r="A6684" t="str">
        <f>"8350"</f>
        <v>8350</v>
      </c>
      <c r="B6684" t="str">
        <f t="shared" si="438"/>
        <v>1</v>
      </c>
      <c r="C6684" t="str">
        <f t="shared" si="437"/>
        <v>360</v>
      </c>
      <c r="D6684" t="str">
        <f>"18"</f>
        <v>18</v>
      </c>
      <c r="E6684" t="str">
        <f>"1-360-18"</f>
        <v>1-360-18</v>
      </c>
      <c r="F6684" t="s">
        <v>15</v>
      </c>
      <c r="G6684" t="s">
        <v>16</v>
      </c>
      <c r="H6684" t="s">
        <v>17</v>
      </c>
      <c r="I6684">
        <v>0</v>
      </c>
      <c r="J6684">
        <v>0</v>
      </c>
      <c r="K6684">
        <v>1</v>
      </c>
    </row>
    <row r="6685" spans="1:11" x14ac:dyDescent="0.25">
      <c r="A6685" t="str">
        <f>"8351"</f>
        <v>8351</v>
      </c>
      <c r="B6685" t="str">
        <f t="shared" si="438"/>
        <v>1</v>
      </c>
      <c r="C6685" t="str">
        <f t="shared" si="437"/>
        <v>360</v>
      </c>
      <c r="D6685" t="str">
        <f>"13"</f>
        <v>13</v>
      </c>
      <c r="E6685" t="str">
        <f>"1-360-13"</f>
        <v>1-360-13</v>
      </c>
      <c r="F6685" t="s">
        <v>15</v>
      </c>
      <c r="G6685" t="s">
        <v>20</v>
      </c>
      <c r="H6685" t="s">
        <v>21</v>
      </c>
      <c r="I6685">
        <v>0</v>
      </c>
      <c r="J6685">
        <v>1</v>
      </c>
      <c r="K6685">
        <v>0</v>
      </c>
    </row>
    <row r="6686" spans="1:11" x14ac:dyDescent="0.25">
      <c r="A6686" t="str">
        <f>"8352"</f>
        <v>8352</v>
      </c>
      <c r="B6686" t="str">
        <f t="shared" si="438"/>
        <v>1</v>
      </c>
      <c r="C6686" t="str">
        <f t="shared" si="437"/>
        <v>360</v>
      </c>
      <c r="D6686" t="str">
        <f>"19"</f>
        <v>19</v>
      </c>
      <c r="E6686" t="str">
        <f>"1-360-19"</f>
        <v>1-360-19</v>
      </c>
      <c r="F6686" t="s">
        <v>15</v>
      </c>
      <c r="G6686" t="s">
        <v>16</v>
      </c>
      <c r="H6686" t="s">
        <v>17</v>
      </c>
      <c r="I6686">
        <v>0</v>
      </c>
      <c r="J6686">
        <v>0</v>
      </c>
      <c r="K6686">
        <v>1</v>
      </c>
    </row>
    <row r="6687" spans="1:11" x14ac:dyDescent="0.25">
      <c r="A6687" t="str">
        <f>"8353"</f>
        <v>8353</v>
      </c>
      <c r="B6687" t="str">
        <f t="shared" si="438"/>
        <v>1</v>
      </c>
      <c r="C6687" t="str">
        <f t="shared" si="437"/>
        <v>360</v>
      </c>
      <c r="D6687" t="str">
        <f>"1"</f>
        <v>1</v>
      </c>
      <c r="E6687" t="str">
        <f>"1-360-1"</f>
        <v>1-360-1</v>
      </c>
      <c r="F6687" t="s">
        <v>15</v>
      </c>
      <c r="G6687" t="s">
        <v>20</v>
      </c>
      <c r="H6687" t="s">
        <v>21</v>
      </c>
      <c r="I6687">
        <v>1</v>
      </c>
      <c r="J6687">
        <v>0</v>
      </c>
      <c r="K6687">
        <v>0</v>
      </c>
    </row>
    <row r="6688" spans="1:11" x14ac:dyDescent="0.25">
      <c r="A6688" t="str">
        <f>"8354"</f>
        <v>8354</v>
      </c>
      <c r="B6688" t="str">
        <f t="shared" si="438"/>
        <v>1</v>
      </c>
      <c r="C6688" t="str">
        <f t="shared" si="437"/>
        <v>360</v>
      </c>
      <c r="D6688" t="str">
        <f>"21"</f>
        <v>21</v>
      </c>
      <c r="E6688" t="str">
        <f>"1-360-21"</f>
        <v>1-360-21</v>
      </c>
      <c r="F6688" t="s">
        <v>15</v>
      </c>
      <c r="G6688" t="s">
        <v>18</v>
      </c>
      <c r="H6688" t="s">
        <v>19</v>
      </c>
      <c r="I6688">
        <v>1</v>
      </c>
      <c r="J6688">
        <v>0</v>
      </c>
      <c r="K6688">
        <v>0</v>
      </c>
    </row>
    <row r="6689" spans="1:11" x14ac:dyDescent="0.25">
      <c r="A6689" t="str">
        <f>"8355"</f>
        <v>8355</v>
      </c>
      <c r="B6689" t="str">
        <f t="shared" si="438"/>
        <v>1</v>
      </c>
      <c r="C6689" t="str">
        <f t="shared" si="437"/>
        <v>360</v>
      </c>
      <c r="D6689" t="str">
        <f>"5"</f>
        <v>5</v>
      </c>
      <c r="E6689" t="str">
        <f>"1-360-5"</f>
        <v>1-360-5</v>
      </c>
      <c r="F6689" t="s">
        <v>15</v>
      </c>
      <c r="G6689" t="s">
        <v>16</v>
      </c>
      <c r="H6689" t="s">
        <v>17</v>
      </c>
      <c r="I6689">
        <v>1</v>
      </c>
      <c r="J6689">
        <v>0</v>
      </c>
      <c r="K6689">
        <v>0</v>
      </c>
    </row>
    <row r="6690" spans="1:11" x14ac:dyDescent="0.25">
      <c r="A6690" t="str">
        <f>"8356"</f>
        <v>8356</v>
      </c>
      <c r="B6690" t="str">
        <f t="shared" si="438"/>
        <v>1</v>
      </c>
      <c r="C6690" t="str">
        <f t="shared" si="437"/>
        <v>360</v>
      </c>
      <c r="D6690" t="str">
        <f>"23"</f>
        <v>23</v>
      </c>
      <c r="E6690" t="str">
        <f>"1-360-23"</f>
        <v>1-360-23</v>
      </c>
      <c r="F6690" t="s">
        <v>15</v>
      </c>
      <c r="G6690" t="s">
        <v>16</v>
      </c>
      <c r="H6690" t="s">
        <v>17</v>
      </c>
      <c r="I6690">
        <v>1</v>
      </c>
      <c r="J6690">
        <v>0</v>
      </c>
      <c r="K6690">
        <v>0</v>
      </c>
    </row>
    <row r="6691" spans="1:11" x14ac:dyDescent="0.25">
      <c r="A6691" t="str">
        <f>"8357"</f>
        <v>8357</v>
      </c>
      <c r="B6691" t="str">
        <f t="shared" si="438"/>
        <v>1</v>
      </c>
      <c r="C6691" t="str">
        <f t="shared" si="437"/>
        <v>360</v>
      </c>
      <c r="D6691" t="str">
        <f>"12"</f>
        <v>12</v>
      </c>
      <c r="E6691" t="str">
        <f>"1-360-12"</f>
        <v>1-360-12</v>
      </c>
      <c r="F6691" t="s">
        <v>15</v>
      </c>
      <c r="G6691" t="s">
        <v>20</v>
      </c>
      <c r="H6691" t="s">
        <v>21</v>
      </c>
      <c r="I6691">
        <v>0</v>
      </c>
      <c r="J6691">
        <v>1</v>
      </c>
      <c r="K6691">
        <v>0</v>
      </c>
    </row>
    <row r="6692" spans="1:11" x14ac:dyDescent="0.25">
      <c r="A6692" t="str">
        <f>"8358"</f>
        <v>8358</v>
      </c>
      <c r="B6692" t="str">
        <f t="shared" si="438"/>
        <v>1</v>
      </c>
      <c r="C6692" t="str">
        <f t="shared" si="437"/>
        <v>360</v>
      </c>
      <c r="D6692" t="str">
        <f>"24"</f>
        <v>24</v>
      </c>
      <c r="E6692" t="str">
        <f>"1-360-24"</f>
        <v>1-360-24</v>
      </c>
      <c r="F6692" t="s">
        <v>15</v>
      </c>
      <c r="G6692" t="s">
        <v>16</v>
      </c>
      <c r="H6692" t="s">
        <v>17</v>
      </c>
      <c r="I6692">
        <v>1</v>
      </c>
      <c r="J6692">
        <v>0</v>
      </c>
      <c r="K6692">
        <v>0</v>
      </c>
    </row>
    <row r="6693" spans="1:11" x14ac:dyDescent="0.25">
      <c r="A6693" t="str">
        <f>"8359"</f>
        <v>8359</v>
      </c>
      <c r="B6693" t="str">
        <f t="shared" si="438"/>
        <v>1</v>
      </c>
      <c r="C6693" t="str">
        <f t="shared" si="437"/>
        <v>360</v>
      </c>
      <c r="D6693" t="str">
        <f>"14"</f>
        <v>14</v>
      </c>
      <c r="E6693" t="str">
        <f>"1-360-14"</f>
        <v>1-360-14</v>
      </c>
      <c r="F6693" t="s">
        <v>15</v>
      </c>
      <c r="G6693" t="s">
        <v>16</v>
      </c>
      <c r="H6693" t="s">
        <v>17</v>
      </c>
      <c r="I6693">
        <v>1</v>
      </c>
      <c r="J6693">
        <v>0</v>
      </c>
      <c r="K6693">
        <v>0</v>
      </c>
    </row>
    <row r="6694" spans="1:11" x14ac:dyDescent="0.25">
      <c r="A6694" t="str">
        <f>"8360"</f>
        <v>8360</v>
      </c>
      <c r="B6694" t="str">
        <f t="shared" si="438"/>
        <v>1</v>
      </c>
      <c r="C6694" t="str">
        <f t="shared" si="437"/>
        <v>360</v>
      </c>
      <c r="D6694" t="str">
        <f>"25"</f>
        <v>25</v>
      </c>
      <c r="E6694" t="str">
        <f>"1-360-25"</f>
        <v>1-360-25</v>
      </c>
      <c r="F6694" t="s">
        <v>15</v>
      </c>
      <c r="G6694" t="s">
        <v>16</v>
      </c>
      <c r="H6694" t="s">
        <v>17</v>
      </c>
      <c r="I6694">
        <v>1</v>
      </c>
      <c r="J6694">
        <v>0</v>
      </c>
      <c r="K6694">
        <v>0</v>
      </c>
    </row>
    <row r="6695" spans="1:11" x14ac:dyDescent="0.25">
      <c r="A6695" t="str">
        <f>"8361"</f>
        <v>8361</v>
      </c>
      <c r="B6695" t="str">
        <f t="shared" si="438"/>
        <v>1</v>
      </c>
      <c r="C6695" t="str">
        <f t="shared" si="437"/>
        <v>360</v>
      </c>
      <c r="D6695" t="str">
        <f>"11"</f>
        <v>11</v>
      </c>
      <c r="E6695" t="str">
        <f>"1-360-11"</f>
        <v>1-360-11</v>
      </c>
      <c r="F6695" t="s">
        <v>15</v>
      </c>
      <c r="G6695" t="s">
        <v>16</v>
      </c>
      <c r="H6695" t="s">
        <v>17</v>
      </c>
      <c r="I6695">
        <v>0</v>
      </c>
      <c r="J6695">
        <v>0</v>
      </c>
      <c r="K6695">
        <v>1</v>
      </c>
    </row>
    <row r="6696" spans="1:11" x14ac:dyDescent="0.25">
      <c r="A6696" t="str">
        <f>"8362"</f>
        <v>8362</v>
      </c>
      <c r="B6696" t="str">
        <f t="shared" si="438"/>
        <v>1</v>
      </c>
      <c r="C6696" t="str">
        <f t="shared" si="437"/>
        <v>360</v>
      </c>
      <c r="D6696" t="str">
        <f>"9"</f>
        <v>9</v>
      </c>
      <c r="E6696" t="str">
        <f>"1-360-9"</f>
        <v>1-360-9</v>
      </c>
      <c r="F6696" t="s">
        <v>15</v>
      </c>
      <c r="G6696" t="s">
        <v>18</v>
      </c>
      <c r="H6696" t="s">
        <v>19</v>
      </c>
      <c r="I6696">
        <v>1</v>
      </c>
      <c r="J6696">
        <v>0</v>
      </c>
      <c r="K6696">
        <v>0</v>
      </c>
    </row>
    <row r="6697" spans="1:11" x14ac:dyDescent="0.25">
      <c r="A6697" t="str">
        <f>"8363"</f>
        <v>8363</v>
      </c>
      <c r="B6697" t="str">
        <f t="shared" si="438"/>
        <v>1</v>
      </c>
      <c r="C6697" t="str">
        <f t="shared" si="437"/>
        <v>360</v>
      </c>
      <c r="D6697" t="str">
        <f>"8"</f>
        <v>8</v>
      </c>
      <c r="E6697" t="str">
        <f>"1-360-8"</f>
        <v>1-360-8</v>
      </c>
      <c r="F6697" t="s">
        <v>15</v>
      </c>
      <c r="G6697" t="s">
        <v>16</v>
      </c>
      <c r="H6697" t="s">
        <v>17</v>
      </c>
      <c r="I6697">
        <v>0</v>
      </c>
      <c r="J6697">
        <v>0</v>
      </c>
      <c r="K6697">
        <v>1</v>
      </c>
    </row>
    <row r="6698" spans="1:11" x14ac:dyDescent="0.25">
      <c r="A6698" t="str">
        <f>"8364"</f>
        <v>8364</v>
      </c>
      <c r="B6698" t="str">
        <f t="shared" si="438"/>
        <v>1</v>
      </c>
      <c r="C6698" t="str">
        <f t="shared" si="437"/>
        <v>360</v>
      </c>
      <c r="D6698" t="str">
        <f>"6"</f>
        <v>6</v>
      </c>
      <c r="E6698" t="str">
        <f>"1-360-6"</f>
        <v>1-360-6</v>
      </c>
      <c r="F6698" t="s">
        <v>15</v>
      </c>
      <c r="G6698" t="s">
        <v>16</v>
      </c>
      <c r="H6698" t="s">
        <v>17</v>
      </c>
      <c r="I6698">
        <v>0</v>
      </c>
      <c r="J6698">
        <v>0</v>
      </c>
      <c r="K6698">
        <v>1</v>
      </c>
    </row>
    <row r="6699" spans="1:11" x14ac:dyDescent="0.25">
      <c r="A6699" t="str">
        <f>"8365"</f>
        <v>8365</v>
      </c>
      <c r="B6699" t="str">
        <f t="shared" si="438"/>
        <v>1</v>
      </c>
      <c r="C6699" t="str">
        <f t="shared" si="437"/>
        <v>360</v>
      </c>
      <c r="D6699" t="str">
        <f>"10"</f>
        <v>10</v>
      </c>
      <c r="E6699" t="str">
        <f>"1-360-10"</f>
        <v>1-360-10</v>
      </c>
      <c r="F6699" t="s">
        <v>15</v>
      </c>
      <c r="G6699" t="s">
        <v>16</v>
      </c>
      <c r="H6699" t="s">
        <v>17</v>
      </c>
      <c r="I6699">
        <v>0</v>
      </c>
      <c r="J6699">
        <v>1</v>
      </c>
      <c r="K6699">
        <v>0</v>
      </c>
    </row>
    <row r="6700" spans="1:11" x14ac:dyDescent="0.25">
      <c r="A6700" t="str">
        <f>"8366"</f>
        <v>8366</v>
      </c>
      <c r="B6700" t="str">
        <f t="shared" si="438"/>
        <v>1</v>
      </c>
      <c r="C6700" t="str">
        <f t="shared" si="437"/>
        <v>360</v>
      </c>
      <c r="D6700" t="str">
        <f>"4"</f>
        <v>4</v>
      </c>
      <c r="E6700" t="str">
        <f>"1-360-4"</f>
        <v>1-360-4</v>
      </c>
      <c r="F6700" t="s">
        <v>15</v>
      </c>
      <c r="G6700" t="s">
        <v>16</v>
      </c>
      <c r="H6700" t="s">
        <v>17</v>
      </c>
      <c r="I6700">
        <v>1</v>
      </c>
      <c r="J6700">
        <v>0</v>
      </c>
      <c r="K6700">
        <v>0</v>
      </c>
    </row>
    <row r="6701" spans="1:11" x14ac:dyDescent="0.25">
      <c r="A6701" t="str">
        <f>"8367"</f>
        <v>8367</v>
      </c>
      <c r="B6701" t="str">
        <f t="shared" si="438"/>
        <v>1</v>
      </c>
      <c r="C6701" t="str">
        <f t="shared" ref="C6701:C6724" si="439">"361"</f>
        <v>361</v>
      </c>
      <c r="D6701" t="str">
        <f>"22"</f>
        <v>22</v>
      </c>
      <c r="E6701" t="str">
        <f>"1-361-22"</f>
        <v>1-361-22</v>
      </c>
      <c r="F6701" t="s">
        <v>15</v>
      </c>
      <c r="G6701" t="s">
        <v>16</v>
      </c>
      <c r="H6701" t="s">
        <v>17</v>
      </c>
      <c r="I6701">
        <v>1</v>
      </c>
      <c r="J6701">
        <v>0</v>
      </c>
      <c r="K6701">
        <v>0</v>
      </c>
    </row>
    <row r="6702" spans="1:11" x14ac:dyDescent="0.25">
      <c r="A6702" t="str">
        <f>"8368"</f>
        <v>8368</v>
      </c>
      <c r="B6702" t="str">
        <f t="shared" si="438"/>
        <v>1</v>
      </c>
      <c r="C6702" t="str">
        <f t="shared" si="439"/>
        <v>361</v>
      </c>
      <c r="D6702" t="str">
        <f>"15"</f>
        <v>15</v>
      </c>
      <c r="E6702" t="str">
        <f>"1-361-15"</f>
        <v>1-361-15</v>
      </c>
      <c r="F6702" t="s">
        <v>15</v>
      </c>
      <c r="G6702" t="s">
        <v>16</v>
      </c>
      <c r="H6702" t="s">
        <v>17</v>
      </c>
      <c r="I6702">
        <v>0</v>
      </c>
      <c r="J6702">
        <v>0</v>
      </c>
      <c r="K6702">
        <v>1</v>
      </c>
    </row>
    <row r="6703" spans="1:11" x14ac:dyDescent="0.25">
      <c r="A6703" t="str">
        <f>"8369"</f>
        <v>8369</v>
      </c>
      <c r="B6703" t="str">
        <f t="shared" si="438"/>
        <v>1</v>
      </c>
      <c r="C6703" t="str">
        <f t="shared" si="439"/>
        <v>361</v>
      </c>
      <c r="D6703" t="str">
        <f>"5"</f>
        <v>5</v>
      </c>
      <c r="E6703" t="str">
        <f>"1-361-5"</f>
        <v>1-361-5</v>
      </c>
      <c r="F6703" t="s">
        <v>15</v>
      </c>
      <c r="G6703" t="s">
        <v>16</v>
      </c>
      <c r="H6703" t="s">
        <v>17</v>
      </c>
      <c r="I6703">
        <v>1</v>
      </c>
      <c r="J6703">
        <v>0</v>
      </c>
      <c r="K6703">
        <v>0</v>
      </c>
    </row>
    <row r="6704" spans="1:11" x14ac:dyDescent="0.25">
      <c r="A6704" t="str">
        <f>"8370"</f>
        <v>8370</v>
      </c>
      <c r="B6704" t="str">
        <f t="shared" si="438"/>
        <v>1</v>
      </c>
      <c r="C6704" t="str">
        <f t="shared" si="439"/>
        <v>361</v>
      </c>
      <c r="D6704" t="str">
        <f>"16"</f>
        <v>16</v>
      </c>
      <c r="E6704" t="str">
        <f>"1-361-16"</f>
        <v>1-361-16</v>
      </c>
      <c r="F6704" t="s">
        <v>15</v>
      </c>
      <c r="G6704" t="s">
        <v>16</v>
      </c>
      <c r="H6704" t="s">
        <v>17</v>
      </c>
      <c r="I6704">
        <v>0</v>
      </c>
      <c r="J6704">
        <v>1</v>
      </c>
      <c r="K6704">
        <v>0</v>
      </c>
    </row>
    <row r="6705" spans="1:11" x14ac:dyDescent="0.25">
      <c r="A6705" t="str">
        <f>"8371"</f>
        <v>8371</v>
      </c>
      <c r="B6705" t="str">
        <f t="shared" si="438"/>
        <v>1</v>
      </c>
      <c r="C6705" t="str">
        <f t="shared" si="439"/>
        <v>361</v>
      </c>
      <c r="D6705" t="str">
        <f>"1"</f>
        <v>1</v>
      </c>
      <c r="E6705" t="str">
        <f>"1-361-1"</f>
        <v>1-361-1</v>
      </c>
      <c r="F6705" t="s">
        <v>15</v>
      </c>
      <c r="G6705" t="s">
        <v>16</v>
      </c>
      <c r="H6705" t="s">
        <v>17</v>
      </c>
      <c r="I6705">
        <v>0</v>
      </c>
      <c r="J6705">
        <v>0</v>
      </c>
      <c r="K6705">
        <v>1</v>
      </c>
    </row>
    <row r="6706" spans="1:11" x14ac:dyDescent="0.25">
      <c r="A6706" t="str">
        <f>"8372"</f>
        <v>8372</v>
      </c>
      <c r="B6706" t="str">
        <f t="shared" si="438"/>
        <v>1</v>
      </c>
      <c r="C6706" t="str">
        <f t="shared" si="439"/>
        <v>361</v>
      </c>
      <c r="D6706" t="str">
        <f>"17"</f>
        <v>17</v>
      </c>
      <c r="E6706" t="str">
        <f>"1-361-17"</f>
        <v>1-361-17</v>
      </c>
      <c r="F6706" t="s">
        <v>15</v>
      </c>
      <c r="G6706" t="s">
        <v>16</v>
      </c>
      <c r="H6706" t="s">
        <v>17</v>
      </c>
      <c r="I6706">
        <v>1</v>
      </c>
      <c r="J6706">
        <v>0</v>
      </c>
      <c r="K6706">
        <v>0</v>
      </c>
    </row>
    <row r="6707" spans="1:11" x14ac:dyDescent="0.25">
      <c r="A6707" t="str">
        <f>"8373"</f>
        <v>8373</v>
      </c>
      <c r="B6707" t="str">
        <f t="shared" si="438"/>
        <v>1</v>
      </c>
      <c r="C6707" t="str">
        <f t="shared" si="439"/>
        <v>361</v>
      </c>
      <c r="D6707" t="str">
        <f>"6"</f>
        <v>6</v>
      </c>
      <c r="E6707" t="str">
        <f>"1-361-6"</f>
        <v>1-361-6</v>
      </c>
      <c r="F6707" t="s">
        <v>15</v>
      </c>
      <c r="G6707" t="s">
        <v>16</v>
      </c>
      <c r="H6707" t="s">
        <v>17</v>
      </c>
      <c r="I6707">
        <v>1</v>
      </c>
      <c r="J6707">
        <v>0</v>
      </c>
      <c r="K6707">
        <v>0</v>
      </c>
    </row>
    <row r="6708" spans="1:11" x14ac:dyDescent="0.25">
      <c r="A6708" t="str">
        <f>"8374"</f>
        <v>8374</v>
      </c>
      <c r="B6708" t="str">
        <f t="shared" si="438"/>
        <v>1</v>
      </c>
      <c r="C6708" t="str">
        <f t="shared" si="439"/>
        <v>361</v>
      </c>
      <c r="D6708" t="str">
        <f>"18"</f>
        <v>18</v>
      </c>
      <c r="E6708" t="str">
        <f>"1-361-18"</f>
        <v>1-361-18</v>
      </c>
      <c r="F6708" t="s">
        <v>15</v>
      </c>
      <c r="G6708" t="s">
        <v>16</v>
      </c>
      <c r="H6708" t="s">
        <v>17</v>
      </c>
      <c r="I6708">
        <v>1</v>
      </c>
      <c r="J6708">
        <v>0</v>
      </c>
      <c r="K6708">
        <v>0</v>
      </c>
    </row>
    <row r="6709" spans="1:11" x14ac:dyDescent="0.25">
      <c r="A6709" t="str">
        <f>"8375"</f>
        <v>8375</v>
      </c>
      <c r="B6709" t="str">
        <f t="shared" si="438"/>
        <v>1</v>
      </c>
      <c r="C6709" t="str">
        <f t="shared" si="439"/>
        <v>361</v>
      </c>
      <c r="D6709" t="str">
        <f>"8"</f>
        <v>8</v>
      </c>
      <c r="E6709" t="str">
        <f>"1-361-8"</f>
        <v>1-361-8</v>
      </c>
      <c r="F6709" t="s">
        <v>15</v>
      </c>
      <c r="G6709" t="s">
        <v>16</v>
      </c>
      <c r="H6709" t="s">
        <v>17</v>
      </c>
      <c r="I6709">
        <v>1</v>
      </c>
      <c r="J6709">
        <v>0</v>
      </c>
      <c r="K6709">
        <v>0</v>
      </c>
    </row>
    <row r="6710" spans="1:11" x14ac:dyDescent="0.25">
      <c r="A6710" t="str">
        <f>"8376"</f>
        <v>8376</v>
      </c>
      <c r="B6710" t="str">
        <f t="shared" si="438"/>
        <v>1</v>
      </c>
      <c r="C6710" t="str">
        <f t="shared" si="439"/>
        <v>361</v>
      </c>
      <c r="D6710" t="str">
        <f>"19"</f>
        <v>19</v>
      </c>
      <c r="E6710" t="str">
        <f>"1-361-19"</f>
        <v>1-361-19</v>
      </c>
      <c r="F6710" t="s">
        <v>15</v>
      </c>
      <c r="G6710" t="s">
        <v>16</v>
      </c>
      <c r="H6710" t="s">
        <v>17</v>
      </c>
      <c r="I6710">
        <v>0</v>
      </c>
      <c r="J6710">
        <v>0</v>
      </c>
      <c r="K6710">
        <v>1</v>
      </c>
    </row>
    <row r="6711" spans="1:11" x14ac:dyDescent="0.25">
      <c r="A6711" t="str">
        <f>"8377"</f>
        <v>8377</v>
      </c>
      <c r="B6711" t="str">
        <f t="shared" si="438"/>
        <v>1</v>
      </c>
      <c r="C6711" t="str">
        <f t="shared" si="439"/>
        <v>361</v>
      </c>
      <c r="D6711" t="str">
        <f>"3"</f>
        <v>3</v>
      </c>
      <c r="E6711" t="str">
        <f>"1-361-3"</f>
        <v>1-361-3</v>
      </c>
      <c r="F6711" t="s">
        <v>15</v>
      </c>
      <c r="G6711" t="s">
        <v>16</v>
      </c>
      <c r="H6711" t="s">
        <v>17</v>
      </c>
      <c r="I6711">
        <v>1</v>
      </c>
      <c r="J6711">
        <v>0</v>
      </c>
      <c r="K6711">
        <v>0</v>
      </c>
    </row>
    <row r="6712" spans="1:11" x14ac:dyDescent="0.25">
      <c r="A6712" t="str">
        <f>"8378"</f>
        <v>8378</v>
      </c>
      <c r="B6712" t="str">
        <f t="shared" si="438"/>
        <v>1</v>
      </c>
      <c r="C6712" t="str">
        <f t="shared" si="439"/>
        <v>361</v>
      </c>
      <c r="D6712" t="str">
        <f>"20"</f>
        <v>20</v>
      </c>
      <c r="E6712" t="str">
        <f>"1-361-20"</f>
        <v>1-361-20</v>
      </c>
      <c r="F6712" t="s">
        <v>15</v>
      </c>
      <c r="G6712" t="s">
        <v>16</v>
      </c>
      <c r="H6712" t="s">
        <v>17</v>
      </c>
      <c r="I6712">
        <v>0</v>
      </c>
      <c r="J6712">
        <v>0</v>
      </c>
      <c r="K6712">
        <v>1</v>
      </c>
    </row>
    <row r="6713" spans="1:11" x14ac:dyDescent="0.25">
      <c r="A6713" t="str">
        <f>"8379"</f>
        <v>8379</v>
      </c>
      <c r="B6713" t="str">
        <f t="shared" si="438"/>
        <v>1</v>
      </c>
      <c r="C6713" t="str">
        <f t="shared" si="439"/>
        <v>361</v>
      </c>
      <c r="D6713" t="str">
        <f>"2"</f>
        <v>2</v>
      </c>
      <c r="E6713" t="str">
        <f>"1-361-2"</f>
        <v>1-361-2</v>
      </c>
      <c r="F6713" t="s">
        <v>15</v>
      </c>
      <c r="G6713" t="s">
        <v>16</v>
      </c>
      <c r="H6713" t="s">
        <v>17</v>
      </c>
      <c r="I6713">
        <v>0</v>
      </c>
      <c r="J6713">
        <v>0</v>
      </c>
      <c r="K6713">
        <v>1</v>
      </c>
    </row>
    <row r="6714" spans="1:11" x14ac:dyDescent="0.25">
      <c r="A6714" t="str">
        <f>"8380"</f>
        <v>8380</v>
      </c>
      <c r="B6714" t="str">
        <f t="shared" si="438"/>
        <v>1</v>
      </c>
      <c r="C6714" t="str">
        <f t="shared" si="439"/>
        <v>361</v>
      </c>
      <c r="D6714" t="str">
        <f>"21"</f>
        <v>21</v>
      </c>
      <c r="E6714" t="str">
        <f>"1-361-21"</f>
        <v>1-361-21</v>
      </c>
      <c r="F6714" t="s">
        <v>15</v>
      </c>
      <c r="G6714" t="s">
        <v>16</v>
      </c>
      <c r="H6714" t="s">
        <v>17</v>
      </c>
      <c r="I6714">
        <v>1</v>
      </c>
      <c r="J6714">
        <v>0</v>
      </c>
      <c r="K6714">
        <v>0</v>
      </c>
    </row>
    <row r="6715" spans="1:11" x14ac:dyDescent="0.25">
      <c r="A6715" t="str">
        <f>"8381"</f>
        <v>8381</v>
      </c>
      <c r="B6715" t="str">
        <f t="shared" si="438"/>
        <v>1</v>
      </c>
      <c r="C6715" t="str">
        <f t="shared" si="439"/>
        <v>361</v>
      </c>
      <c r="D6715" t="str">
        <f>"11"</f>
        <v>11</v>
      </c>
      <c r="E6715" t="str">
        <f>"1-361-11"</f>
        <v>1-361-11</v>
      </c>
      <c r="F6715" t="s">
        <v>15</v>
      </c>
      <c r="G6715" t="s">
        <v>16</v>
      </c>
      <c r="H6715" t="s">
        <v>17</v>
      </c>
      <c r="I6715">
        <v>0</v>
      </c>
      <c r="J6715">
        <v>1</v>
      </c>
      <c r="K6715">
        <v>0</v>
      </c>
    </row>
    <row r="6716" spans="1:11" x14ac:dyDescent="0.25">
      <c r="A6716" t="str">
        <f>"8382"</f>
        <v>8382</v>
      </c>
      <c r="B6716" t="str">
        <f t="shared" si="438"/>
        <v>1</v>
      </c>
      <c r="C6716" t="str">
        <f t="shared" si="439"/>
        <v>361</v>
      </c>
      <c r="D6716" t="str">
        <f>"23"</f>
        <v>23</v>
      </c>
      <c r="E6716" t="str">
        <f>"1-361-23"</f>
        <v>1-361-23</v>
      </c>
      <c r="F6716" t="s">
        <v>15</v>
      </c>
      <c r="G6716" t="s">
        <v>16</v>
      </c>
      <c r="H6716" t="s">
        <v>17</v>
      </c>
      <c r="I6716">
        <v>0</v>
      </c>
      <c r="J6716">
        <v>0</v>
      </c>
      <c r="K6716">
        <v>1</v>
      </c>
    </row>
    <row r="6717" spans="1:11" x14ac:dyDescent="0.25">
      <c r="A6717" t="str">
        <f>"8383"</f>
        <v>8383</v>
      </c>
      <c r="B6717" t="str">
        <f t="shared" si="438"/>
        <v>1</v>
      </c>
      <c r="C6717" t="str">
        <f t="shared" si="439"/>
        <v>361</v>
      </c>
      <c r="D6717" t="str">
        <f>"13"</f>
        <v>13</v>
      </c>
      <c r="E6717" t="str">
        <f>"1-361-13"</f>
        <v>1-361-13</v>
      </c>
      <c r="F6717" t="s">
        <v>15</v>
      </c>
      <c r="G6717" t="s">
        <v>16</v>
      </c>
      <c r="H6717" t="s">
        <v>17</v>
      </c>
      <c r="I6717">
        <v>1</v>
      </c>
      <c r="J6717">
        <v>0</v>
      </c>
      <c r="K6717">
        <v>0</v>
      </c>
    </row>
    <row r="6718" spans="1:11" x14ac:dyDescent="0.25">
      <c r="A6718" t="str">
        <f>"8384"</f>
        <v>8384</v>
      </c>
      <c r="B6718" t="str">
        <f t="shared" si="438"/>
        <v>1</v>
      </c>
      <c r="C6718" t="str">
        <f t="shared" si="439"/>
        <v>361</v>
      </c>
      <c r="D6718" t="str">
        <f>"10"</f>
        <v>10</v>
      </c>
      <c r="E6718" t="str">
        <f>"1-361-10"</f>
        <v>1-361-10</v>
      </c>
      <c r="F6718" t="s">
        <v>15</v>
      </c>
      <c r="G6718" t="s">
        <v>16</v>
      </c>
      <c r="H6718" t="s">
        <v>17</v>
      </c>
      <c r="I6718">
        <v>0</v>
      </c>
      <c r="J6718">
        <v>1</v>
      </c>
      <c r="K6718">
        <v>0</v>
      </c>
    </row>
    <row r="6719" spans="1:11" x14ac:dyDescent="0.25">
      <c r="A6719" t="str">
        <f>"8385"</f>
        <v>8385</v>
      </c>
      <c r="B6719" t="str">
        <f t="shared" si="438"/>
        <v>1</v>
      </c>
      <c r="C6719" t="str">
        <f t="shared" si="439"/>
        <v>361</v>
      </c>
      <c r="D6719" t="str">
        <f>"9"</f>
        <v>9</v>
      </c>
      <c r="E6719" t="str">
        <f>"1-361-9"</f>
        <v>1-361-9</v>
      </c>
      <c r="F6719" t="s">
        <v>15</v>
      </c>
      <c r="G6719" t="s">
        <v>16</v>
      </c>
      <c r="H6719" t="s">
        <v>17</v>
      </c>
      <c r="I6719">
        <v>1</v>
      </c>
      <c r="J6719">
        <v>0</v>
      </c>
      <c r="K6719">
        <v>0</v>
      </c>
    </row>
    <row r="6720" spans="1:11" x14ac:dyDescent="0.25">
      <c r="A6720" t="str">
        <f>"8386"</f>
        <v>8386</v>
      </c>
      <c r="B6720" t="str">
        <f t="shared" si="438"/>
        <v>1</v>
      </c>
      <c r="C6720" t="str">
        <f t="shared" si="439"/>
        <v>361</v>
      </c>
      <c r="D6720" t="str">
        <f>"4"</f>
        <v>4</v>
      </c>
      <c r="E6720" t="str">
        <f>"1-361-4"</f>
        <v>1-361-4</v>
      </c>
      <c r="F6720" t="s">
        <v>15</v>
      </c>
      <c r="G6720" t="s">
        <v>16</v>
      </c>
      <c r="H6720" t="s">
        <v>17</v>
      </c>
      <c r="I6720">
        <v>1</v>
      </c>
      <c r="J6720">
        <v>0</v>
      </c>
      <c r="K6720">
        <v>0</v>
      </c>
    </row>
    <row r="6721" spans="1:11" x14ac:dyDescent="0.25">
      <c r="A6721" t="str">
        <f>"8387"</f>
        <v>8387</v>
      </c>
      <c r="B6721" t="str">
        <f t="shared" si="438"/>
        <v>1</v>
      </c>
      <c r="C6721" t="str">
        <f t="shared" si="439"/>
        <v>361</v>
      </c>
      <c r="D6721" t="str">
        <f>"12"</f>
        <v>12</v>
      </c>
      <c r="E6721" t="str">
        <f>"1-361-12"</f>
        <v>1-361-12</v>
      </c>
      <c r="F6721" t="s">
        <v>15</v>
      </c>
      <c r="G6721" t="s">
        <v>16</v>
      </c>
      <c r="H6721" t="s">
        <v>17</v>
      </c>
      <c r="I6721">
        <v>0</v>
      </c>
      <c r="J6721">
        <v>1</v>
      </c>
      <c r="K6721">
        <v>0</v>
      </c>
    </row>
    <row r="6722" spans="1:11" x14ac:dyDescent="0.25">
      <c r="A6722" t="str">
        <f>"8388"</f>
        <v>8388</v>
      </c>
      <c r="B6722" t="str">
        <f t="shared" si="438"/>
        <v>1</v>
      </c>
      <c r="C6722" t="str">
        <f t="shared" si="439"/>
        <v>361</v>
      </c>
      <c r="D6722" t="str">
        <f>"14"</f>
        <v>14</v>
      </c>
      <c r="E6722" t="str">
        <f>"1-361-14"</f>
        <v>1-361-14</v>
      </c>
      <c r="F6722" t="s">
        <v>15</v>
      </c>
      <c r="G6722" t="s">
        <v>16</v>
      </c>
      <c r="H6722" t="s">
        <v>17</v>
      </c>
      <c r="I6722">
        <v>0</v>
      </c>
      <c r="J6722">
        <v>0</v>
      </c>
      <c r="K6722">
        <v>1</v>
      </c>
    </row>
    <row r="6723" spans="1:11" x14ac:dyDescent="0.25">
      <c r="A6723" t="str">
        <f>"8389"</f>
        <v>8389</v>
      </c>
      <c r="B6723" t="str">
        <f t="shared" si="438"/>
        <v>1</v>
      </c>
      <c r="C6723" t="str">
        <f t="shared" si="439"/>
        <v>361</v>
      </c>
      <c r="D6723" t="str">
        <f>"7"</f>
        <v>7</v>
      </c>
      <c r="E6723" t="str">
        <f>"1-361-7"</f>
        <v>1-361-7</v>
      </c>
      <c r="F6723" t="s">
        <v>15</v>
      </c>
      <c r="G6723" t="s">
        <v>16</v>
      </c>
      <c r="H6723" t="s">
        <v>17</v>
      </c>
      <c r="I6723">
        <v>0</v>
      </c>
      <c r="J6723">
        <v>0</v>
      </c>
      <c r="K6723">
        <v>1</v>
      </c>
    </row>
    <row r="6724" spans="1:11" x14ac:dyDescent="0.25">
      <c r="A6724" t="str">
        <f>"8390"</f>
        <v>8390</v>
      </c>
      <c r="B6724" t="str">
        <f t="shared" si="438"/>
        <v>1</v>
      </c>
      <c r="C6724" t="str">
        <f t="shared" si="439"/>
        <v>361</v>
      </c>
      <c r="D6724" t="str">
        <f>"24"</f>
        <v>24</v>
      </c>
      <c r="E6724" t="str">
        <f>"1-361-24"</f>
        <v>1-361-24</v>
      </c>
      <c r="F6724" t="s">
        <v>15</v>
      </c>
      <c r="G6724" t="s">
        <v>16</v>
      </c>
      <c r="H6724" t="s">
        <v>17</v>
      </c>
      <c r="I6724">
        <v>0</v>
      </c>
      <c r="J6724">
        <v>0</v>
      </c>
      <c r="K6724">
        <v>0</v>
      </c>
    </row>
    <row r="6725" spans="1:11" x14ac:dyDescent="0.25">
      <c r="A6725" t="str">
        <f>"8391"</f>
        <v>8391</v>
      </c>
      <c r="B6725" t="str">
        <f t="shared" si="438"/>
        <v>1</v>
      </c>
      <c r="C6725" t="str">
        <f t="shared" ref="C6725:C6749" si="440">"362"</f>
        <v>362</v>
      </c>
      <c r="D6725" t="str">
        <f>"15"</f>
        <v>15</v>
      </c>
      <c r="E6725" t="str">
        <f>"1-362-15"</f>
        <v>1-362-15</v>
      </c>
      <c r="F6725" t="s">
        <v>15</v>
      </c>
      <c r="G6725" t="s">
        <v>16</v>
      </c>
      <c r="H6725" t="s">
        <v>17</v>
      </c>
      <c r="I6725">
        <v>1</v>
      </c>
      <c r="J6725">
        <v>0</v>
      </c>
      <c r="K6725">
        <v>0</v>
      </c>
    </row>
    <row r="6726" spans="1:11" x14ac:dyDescent="0.25">
      <c r="A6726" t="str">
        <f>"8392"</f>
        <v>8392</v>
      </c>
      <c r="B6726" t="str">
        <f t="shared" si="438"/>
        <v>1</v>
      </c>
      <c r="C6726" t="str">
        <f t="shared" si="440"/>
        <v>362</v>
      </c>
      <c r="D6726" t="str">
        <f>"2"</f>
        <v>2</v>
      </c>
      <c r="E6726" t="str">
        <f>"1-362-2"</f>
        <v>1-362-2</v>
      </c>
      <c r="F6726" t="s">
        <v>15</v>
      </c>
      <c r="G6726" t="s">
        <v>16</v>
      </c>
      <c r="H6726" t="s">
        <v>17</v>
      </c>
      <c r="I6726">
        <v>0</v>
      </c>
      <c r="J6726">
        <v>1</v>
      </c>
      <c r="K6726">
        <v>0</v>
      </c>
    </row>
    <row r="6727" spans="1:11" x14ac:dyDescent="0.25">
      <c r="A6727" t="str">
        <f>"8393"</f>
        <v>8393</v>
      </c>
      <c r="B6727" t="str">
        <f t="shared" si="438"/>
        <v>1</v>
      </c>
      <c r="C6727" t="str">
        <f t="shared" si="440"/>
        <v>362</v>
      </c>
      <c r="D6727" t="str">
        <f>"25"</f>
        <v>25</v>
      </c>
      <c r="E6727" t="str">
        <f>"1-362-25"</f>
        <v>1-362-25</v>
      </c>
      <c r="F6727" t="s">
        <v>15</v>
      </c>
      <c r="G6727" t="s">
        <v>16</v>
      </c>
      <c r="H6727" t="s">
        <v>17</v>
      </c>
      <c r="I6727">
        <v>1</v>
      </c>
      <c r="J6727">
        <v>0</v>
      </c>
      <c r="K6727">
        <v>0</v>
      </c>
    </row>
    <row r="6728" spans="1:11" x14ac:dyDescent="0.25">
      <c r="A6728" t="str">
        <f>"8394"</f>
        <v>8394</v>
      </c>
      <c r="B6728" t="str">
        <f t="shared" si="438"/>
        <v>1</v>
      </c>
      <c r="C6728" t="str">
        <f t="shared" si="440"/>
        <v>362</v>
      </c>
      <c r="D6728" t="str">
        <f>"16"</f>
        <v>16</v>
      </c>
      <c r="E6728" t="str">
        <f>"1-362-16"</f>
        <v>1-362-16</v>
      </c>
      <c r="F6728" t="s">
        <v>15</v>
      </c>
      <c r="G6728" t="s">
        <v>18</v>
      </c>
      <c r="H6728" t="s">
        <v>19</v>
      </c>
      <c r="I6728">
        <v>1</v>
      </c>
      <c r="J6728">
        <v>0</v>
      </c>
      <c r="K6728">
        <v>0</v>
      </c>
    </row>
    <row r="6729" spans="1:11" x14ac:dyDescent="0.25">
      <c r="A6729" t="str">
        <f>"8395"</f>
        <v>8395</v>
      </c>
      <c r="B6729" t="str">
        <f t="shared" si="438"/>
        <v>1</v>
      </c>
      <c r="C6729" t="str">
        <f t="shared" si="440"/>
        <v>362</v>
      </c>
      <c r="D6729" t="str">
        <f>"7"</f>
        <v>7</v>
      </c>
      <c r="E6729" t="str">
        <f>"1-362-7"</f>
        <v>1-362-7</v>
      </c>
      <c r="F6729" t="s">
        <v>15</v>
      </c>
      <c r="G6729" t="s">
        <v>16</v>
      </c>
      <c r="H6729" t="s">
        <v>17</v>
      </c>
      <c r="I6729">
        <v>1</v>
      </c>
      <c r="J6729">
        <v>0</v>
      </c>
      <c r="K6729">
        <v>0</v>
      </c>
    </row>
    <row r="6730" spans="1:11" x14ac:dyDescent="0.25">
      <c r="A6730" t="str">
        <f>"8396"</f>
        <v>8396</v>
      </c>
      <c r="B6730" t="str">
        <f t="shared" si="438"/>
        <v>1</v>
      </c>
      <c r="C6730" t="str">
        <f t="shared" si="440"/>
        <v>362</v>
      </c>
      <c r="D6730" t="str">
        <f>"17"</f>
        <v>17</v>
      </c>
      <c r="E6730" t="str">
        <f>"1-362-17"</f>
        <v>1-362-17</v>
      </c>
      <c r="F6730" t="s">
        <v>15</v>
      </c>
      <c r="G6730" t="s">
        <v>16</v>
      </c>
      <c r="H6730" t="s">
        <v>17</v>
      </c>
      <c r="I6730">
        <v>1</v>
      </c>
      <c r="J6730">
        <v>0</v>
      </c>
      <c r="K6730">
        <v>0</v>
      </c>
    </row>
    <row r="6731" spans="1:11" x14ac:dyDescent="0.25">
      <c r="A6731" t="str">
        <f>"8397"</f>
        <v>8397</v>
      </c>
      <c r="B6731" t="str">
        <f t="shared" si="438"/>
        <v>1</v>
      </c>
      <c r="C6731" t="str">
        <f t="shared" si="440"/>
        <v>362</v>
      </c>
      <c r="D6731" t="str">
        <f>"14"</f>
        <v>14</v>
      </c>
      <c r="E6731" t="str">
        <f>"1-362-14"</f>
        <v>1-362-14</v>
      </c>
      <c r="F6731" t="s">
        <v>15</v>
      </c>
      <c r="G6731" t="s">
        <v>16</v>
      </c>
      <c r="H6731" t="s">
        <v>17</v>
      </c>
      <c r="I6731">
        <v>1</v>
      </c>
      <c r="J6731">
        <v>0</v>
      </c>
      <c r="K6731">
        <v>0</v>
      </c>
    </row>
    <row r="6732" spans="1:11" x14ac:dyDescent="0.25">
      <c r="A6732" t="str">
        <f>"8398"</f>
        <v>8398</v>
      </c>
      <c r="B6732" t="str">
        <f t="shared" si="438"/>
        <v>1</v>
      </c>
      <c r="C6732" t="str">
        <f t="shared" si="440"/>
        <v>362</v>
      </c>
      <c r="D6732" t="str">
        <f>"18"</f>
        <v>18</v>
      </c>
      <c r="E6732" t="str">
        <f>"1-362-18"</f>
        <v>1-362-18</v>
      </c>
      <c r="F6732" t="s">
        <v>15</v>
      </c>
      <c r="G6732" t="s">
        <v>16</v>
      </c>
      <c r="H6732" t="s">
        <v>17</v>
      </c>
      <c r="I6732">
        <v>1</v>
      </c>
      <c r="J6732">
        <v>0</v>
      </c>
      <c r="K6732">
        <v>0</v>
      </c>
    </row>
    <row r="6733" spans="1:11" x14ac:dyDescent="0.25">
      <c r="A6733" t="str">
        <f>"8399"</f>
        <v>8399</v>
      </c>
      <c r="B6733" t="str">
        <f t="shared" si="438"/>
        <v>1</v>
      </c>
      <c r="C6733" t="str">
        <f t="shared" si="440"/>
        <v>362</v>
      </c>
      <c r="D6733" t="str">
        <f>"3"</f>
        <v>3</v>
      </c>
      <c r="E6733" t="str">
        <f>"1-362-3"</f>
        <v>1-362-3</v>
      </c>
      <c r="F6733" t="s">
        <v>15</v>
      </c>
      <c r="G6733" t="s">
        <v>16</v>
      </c>
      <c r="H6733" t="s">
        <v>17</v>
      </c>
      <c r="I6733">
        <v>1</v>
      </c>
      <c r="J6733">
        <v>0</v>
      </c>
      <c r="K6733">
        <v>0</v>
      </c>
    </row>
    <row r="6734" spans="1:11" x14ac:dyDescent="0.25">
      <c r="A6734" t="str">
        <f>"8400"</f>
        <v>8400</v>
      </c>
      <c r="B6734" t="str">
        <f t="shared" si="438"/>
        <v>1</v>
      </c>
      <c r="C6734" t="str">
        <f t="shared" si="440"/>
        <v>362</v>
      </c>
      <c r="D6734" t="str">
        <f>"8"</f>
        <v>8</v>
      </c>
      <c r="E6734" t="str">
        <f>"1-362-8"</f>
        <v>1-362-8</v>
      </c>
      <c r="F6734" t="s">
        <v>15</v>
      </c>
      <c r="G6734" t="s">
        <v>16</v>
      </c>
      <c r="H6734" t="s">
        <v>17</v>
      </c>
      <c r="I6734">
        <v>1</v>
      </c>
      <c r="J6734">
        <v>0</v>
      </c>
      <c r="K6734">
        <v>0</v>
      </c>
    </row>
    <row r="6735" spans="1:11" x14ac:dyDescent="0.25">
      <c r="A6735" t="str">
        <f>"8401"</f>
        <v>8401</v>
      </c>
      <c r="B6735" t="str">
        <f t="shared" si="438"/>
        <v>1</v>
      </c>
      <c r="C6735" t="str">
        <f t="shared" si="440"/>
        <v>362</v>
      </c>
      <c r="D6735" t="str">
        <f>"5"</f>
        <v>5</v>
      </c>
      <c r="E6735" t="str">
        <f>"1-362-5"</f>
        <v>1-362-5</v>
      </c>
      <c r="F6735" t="s">
        <v>15</v>
      </c>
      <c r="G6735" t="s">
        <v>20</v>
      </c>
      <c r="H6735" t="s">
        <v>21</v>
      </c>
      <c r="I6735">
        <v>0</v>
      </c>
      <c r="J6735">
        <v>0</v>
      </c>
      <c r="K6735">
        <v>1</v>
      </c>
    </row>
    <row r="6736" spans="1:11" x14ac:dyDescent="0.25">
      <c r="A6736" t="str">
        <f>"8402"</f>
        <v>8402</v>
      </c>
      <c r="B6736" t="str">
        <f t="shared" si="438"/>
        <v>1</v>
      </c>
      <c r="C6736" t="str">
        <f t="shared" si="440"/>
        <v>362</v>
      </c>
      <c r="D6736" t="str">
        <f>"21"</f>
        <v>21</v>
      </c>
      <c r="E6736" t="str">
        <f>"1-362-21"</f>
        <v>1-362-21</v>
      </c>
      <c r="F6736" t="s">
        <v>15</v>
      </c>
      <c r="G6736" t="s">
        <v>16</v>
      </c>
      <c r="H6736" t="s">
        <v>17</v>
      </c>
      <c r="I6736">
        <v>1</v>
      </c>
      <c r="J6736">
        <v>0</v>
      </c>
      <c r="K6736">
        <v>0</v>
      </c>
    </row>
    <row r="6737" spans="1:11" x14ac:dyDescent="0.25">
      <c r="A6737" t="str">
        <f>"8403"</f>
        <v>8403</v>
      </c>
      <c r="B6737" t="str">
        <f t="shared" si="438"/>
        <v>1</v>
      </c>
      <c r="C6737" t="str">
        <f t="shared" si="440"/>
        <v>362</v>
      </c>
      <c r="D6737" t="str">
        <f>"10"</f>
        <v>10</v>
      </c>
      <c r="E6737" t="str">
        <f>"1-362-10"</f>
        <v>1-362-10</v>
      </c>
      <c r="F6737" t="s">
        <v>15</v>
      </c>
      <c r="G6737" t="s">
        <v>16</v>
      </c>
      <c r="H6737" t="s">
        <v>17</v>
      </c>
      <c r="I6737">
        <v>0</v>
      </c>
      <c r="J6737">
        <v>1</v>
      </c>
      <c r="K6737">
        <v>0</v>
      </c>
    </row>
    <row r="6738" spans="1:11" x14ac:dyDescent="0.25">
      <c r="A6738" t="str">
        <f>"8404"</f>
        <v>8404</v>
      </c>
      <c r="B6738" t="str">
        <f t="shared" si="438"/>
        <v>1</v>
      </c>
      <c r="C6738" t="str">
        <f t="shared" si="440"/>
        <v>362</v>
      </c>
      <c r="D6738" t="str">
        <f>"22"</f>
        <v>22</v>
      </c>
      <c r="E6738" t="str">
        <f>"1-362-22"</f>
        <v>1-362-22</v>
      </c>
      <c r="F6738" t="s">
        <v>15</v>
      </c>
      <c r="G6738" t="s">
        <v>18</v>
      </c>
      <c r="H6738" t="s">
        <v>19</v>
      </c>
      <c r="I6738">
        <v>0</v>
      </c>
      <c r="J6738">
        <v>0</v>
      </c>
      <c r="K6738">
        <v>1</v>
      </c>
    </row>
    <row r="6739" spans="1:11" x14ac:dyDescent="0.25">
      <c r="A6739" t="str">
        <f>"8405"</f>
        <v>8405</v>
      </c>
      <c r="B6739" t="str">
        <f t="shared" si="438"/>
        <v>1</v>
      </c>
      <c r="C6739" t="str">
        <f t="shared" si="440"/>
        <v>362</v>
      </c>
      <c r="D6739" t="str">
        <f>"13"</f>
        <v>13</v>
      </c>
      <c r="E6739" t="str">
        <f>"1-362-13"</f>
        <v>1-362-13</v>
      </c>
      <c r="F6739" t="s">
        <v>15</v>
      </c>
      <c r="G6739" t="s">
        <v>16</v>
      </c>
      <c r="H6739" t="s">
        <v>17</v>
      </c>
      <c r="I6739">
        <v>0</v>
      </c>
      <c r="J6739">
        <v>1</v>
      </c>
      <c r="K6739">
        <v>0</v>
      </c>
    </row>
    <row r="6740" spans="1:11" x14ac:dyDescent="0.25">
      <c r="A6740" t="str">
        <f>"8406"</f>
        <v>8406</v>
      </c>
      <c r="B6740" t="str">
        <f t="shared" si="438"/>
        <v>1</v>
      </c>
      <c r="C6740" t="str">
        <f t="shared" si="440"/>
        <v>362</v>
      </c>
      <c r="D6740" t="str">
        <f>"23"</f>
        <v>23</v>
      </c>
      <c r="E6740" t="str">
        <f>"1-362-23"</f>
        <v>1-362-23</v>
      </c>
      <c r="F6740" t="s">
        <v>15</v>
      </c>
      <c r="G6740" t="s">
        <v>18</v>
      </c>
      <c r="H6740" t="s">
        <v>19</v>
      </c>
      <c r="I6740">
        <v>0</v>
      </c>
      <c r="J6740">
        <v>0</v>
      </c>
      <c r="K6740">
        <v>1</v>
      </c>
    </row>
    <row r="6741" spans="1:11" x14ac:dyDescent="0.25">
      <c r="A6741" t="str">
        <f>"8407"</f>
        <v>8407</v>
      </c>
      <c r="B6741" t="str">
        <f t="shared" si="438"/>
        <v>1</v>
      </c>
      <c r="C6741" t="str">
        <f t="shared" si="440"/>
        <v>362</v>
      </c>
      <c r="D6741" t="str">
        <f>"6"</f>
        <v>6</v>
      </c>
      <c r="E6741" t="str">
        <f>"1-362-6"</f>
        <v>1-362-6</v>
      </c>
      <c r="F6741" t="s">
        <v>15</v>
      </c>
      <c r="G6741" t="s">
        <v>16</v>
      </c>
      <c r="H6741" t="s">
        <v>17</v>
      </c>
      <c r="I6741">
        <v>1</v>
      </c>
      <c r="J6741">
        <v>0</v>
      </c>
      <c r="K6741">
        <v>0</v>
      </c>
    </row>
    <row r="6742" spans="1:11" x14ac:dyDescent="0.25">
      <c r="A6742" t="str">
        <f>"8408"</f>
        <v>8408</v>
      </c>
      <c r="B6742" t="str">
        <f t="shared" si="438"/>
        <v>1</v>
      </c>
      <c r="C6742" t="str">
        <f t="shared" si="440"/>
        <v>362</v>
      </c>
      <c r="D6742" t="str">
        <f>"24"</f>
        <v>24</v>
      </c>
      <c r="E6742" t="str">
        <f>"1-362-24"</f>
        <v>1-362-24</v>
      </c>
      <c r="F6742" t="s">
        <v>15</v>
      </c>
      <c r="G6742" t="s">
        <v>16</v>
      </c>
      <c r="H6742" t="s">
        <v>17</v>
      </c>
      <c r="I6742">
        <v>1</v>
      </c>
      <c r="J6742">
        <v>0</v>
      </c>
      <c r="K6742">
        <v>0</v>
      </c>
    </row>
    <row r="6743" spans="1:11" x14ac:dyDescent="0.25">
      <c r="A6743" t="str">
        <f>"8409"</f>
        <v>8409</v>
      </c>
      <c r="B6743" t="str">
        <f t="shared" si="438"/>
        <v>1</v>
      </c>
      <c r="C6743" t="str">
        <f t="shared" si="440"/>
        <v>362</v>
      </c>
      <c r="D6743" t="str">
        <f>"12"</f>
        <v>12</v>
      </c>
      <c r="E6743" t="str">
        <f>"1-362-12"</f>
        <v>1-362-12</v>
      </c>
      <c r="F6743" t="s">
        <v>15</v>
      </c>
      <c r="G6743" t="s">
        <v>18</v>
      </c>
      <c r="H6743" t="s">
        <v>19</v>
      </c>
      <c r="I6743">
        <v>1</v>
      </c>
      <c r="J6743">
        <v>0</v>
      </c>
      <c r="K6743">
        <v>0</v>
      </c>
    </row>
    <row r="6744" spans="1:11" x14ac:dyDescent="0.25">
      <c r="A6744" t="str">
        <f>"8410"</f>
        <v>8410</v>
      </c>
      <c r="B6744" t="str">
        <f t="shared" ref="B6744:B6791" si="441">"1"</f>
        <v>1</v>
      </c>
      <c r="C6744" t="str">
        <f t="shared" si="440"/>
        <v>362</v>
      </c>
      <c r="D6744" t="str">
        <f>"9"</f>
        <v>9</v>
      </c>
      <c r="E6744" t="str">
        <f>"1-362-9"</f>
        <v>1-362-9</v>
      </c>
      <c r="F6744" t="s">
        <v>15</v>
      </c>
      <c r="G6744" t="s">
        <v>16</v>
      </c>
      <c r="H6744" t="s">
        <v>17</v>
      </c>
      <c r="I6744">
        <v>1</v>
      </c>
      <c r="J6744">
        <v>0</v>
      </c>
      <c r="K6744">
        <v>0</v>
      </c>
    </row>
    <row r="6745" spans="1:11" x14ac:dyDescent="0.25">
      <c r="A6745" t="str">
        <f>"8411"</f>
        <v>8411</v>
      </c>
      <c r="B6745" t="str">
        <f t="shared" si="441"/>
        <v>1</v>
      </c>
      <c r="C6745" t="str">
        <f t="shared" si="440"/>
        <v>362</v>
      </c>
      <c r="D6745" t="str">
        <f>"11"</f>
        <v>11</v>
      </c>
      <c r="E6745" t="str">
        <f>"1-362-11"</f>
        <v>1-362-11</v>
      </c>
      <c r="F6745" t="s">
        <v>15</v>
      </c>
      <c r="G6745" t="s">
        <v>18</v>
      </c>
      <c r="H6745" t="s">
        <v>19</v>
      </c>
      <c r="I6745">
        <v>1</v>
      </c>
      <c r="J6745">
        <v>0</v>
      </c>
      <c r="K6745">
        <v>0</v>
      </c>
    </row>
    <row r="6746" spans="1:11" x14ac:dyDescent="0.25">
      <c r="A6746" t="str">
        <f>"8412"</f>
        <v>8412</v>
      </c>
      <c r="B6746" t="str">
        <f t="shared" si="441"/>
        <v>1</v>
      </c>
      <c r="C6746" t="str">
        <f t="shared" si="440"/>
        <v>362</v>
      </c>
      <c r="D6746" t="str">
        <f>"1"</f>
        <v>1</v>
      </c>
      <c r="E6746" t="str">
        <f>"1-362-1"</f>
        <v>1-362-1</v>
      </c>
      <c r="F6746" t="s">
        <v>15</v>
      </c>
      <c r="G6746" t="s">
        <v>16</v>
      </c>
      <c r="H6746" t="s">
        <v>17</v>
      </c>
      <c r="I6746">
        <v>1</v>
      </c>
      <c r="J6746">
        <v>0</v>
      </c>
      <c r="K6746">
        <v>0</v>
      </c>
    </row>
    <row r="6747" spans="1:11" x14ac:dyDescent="0.25">
      <c r="A6747" t="str">
        <f>"8413"</f>
        <v>8413</v>
      </c>
      <c r="B6747" t="str">
        <f t="shared" si="441"/>
        <v>1</v>
      </c>
      <c r="C6747" t="str">
        <f t="shared" si="440"/>
        <v>362</v>
      </c>
      <c r="D6747" t="str">
        <f>"19"</f>
        <v>19</v>
      </c>
      <c r="E6747" t="str">
        <f>"1-362-19"</f>
        <v>1-362-19</v>
      </c>
      <c r="F6747" t="s">
        <v>15</v>
      </c>
      <c r="G6747" t="s">
        <v>16</v>
      </c>
      <c r="H6747" t="s">
        <v>17</v>
      </c>
      <c r="I6747">
        <v>0</v>
      </c>
      <c r="J6747">
        <v>0</v>
      </c>
      <c r="K6747">
        <v>0</v>
      </c>
    </row>
    <row r="6748" spans="1:11" x14ac:dyDescent="0.25">
      <c r="A6748" t="str">
        <f>"8414"</f>
        <v>8414</v>
      </c>
      <c r="B6748" t="str">
        <f t="shared" si="441"/>
        <v>1</v>
      </c>
      <c r="C6748" t="str">
        <f t="shared" si="440"/>
        <v>362</v>
      </c>
      <c r="D6748" t="str">
        <f>"20"</f>
        <v>20</v>
      </c>
      <c r="E6748" t="str">
        <f>"1-362-20"</f>
        <v>1-362-20</v>
      </c>
      <c r="F6748" t="s">
        <v>15</v>
      </c>
      <c r="G6748" t="s">
        <v>16</v>
      </c>
      <c r="H6748" t="s">
        <v>17</v>
      </c>
      <c r="I6748">
        <v>0</v>
      </c>
      <c r="J6748">
        <v>0</v>
      </c>
      <c r="K6748">
        <v>0</v>
      </c>
    </row>
    <row r="6749" spans="1:11" x14ac:dyDescent="0.25">
      <c r="A6749" t="str">
        <f>"8415"</f>
        <v>8415</v>
      </c>
      <c r="B6749" t="str">
        <f t="shared" si="441"/>
        <v>1</v>
      </c>
      <c r="C6749" t="str">
        <f t="shared" si="440"/>
        <v>362</v>
      </c>
      <c r="D6749" t="str">
        <f>"4"</f>
        <v>4</v>
      </c>
      <c r="E6749" t="str">
        <f>"1-362-4"</f>
        <v>1-362-4</v>
      </c>
      <c r="F6749" t="s">
        <v>15</v>
      </c>
      <c r="G6749" t="s">
        <v>18</v>
      </c>
      <c r="H6749" t="s">
        <v>19</v>
      </c>
      <c r="I6749">
        <v>0</v>
      </c>
      <c r="J6749">
        <v>0</v>
      </c>
      <c r="K6749">
        <v>0</v>
      </c>
    </row>
    <row r="6750" spans="1:11" x14ac:dyDescent="0.25">
      <c r="A6750" t="str">
        <f>"8416"</f>
        <v>8416</v>
      </c>
      <c r="B6750" t="str">
        <f t="shared" si="441"/>
        <v>1</v>
      </c>
      <c r="C6750" t="str">
        <f t="shared" ref="C6750:C6773" si="442">"363"</f>
        <v>363</v>
      </c>
      <c r="D6750" t="str">
        <f>"21"</f>
        <v>21</v>
      </c>
      <c r="E6750" t="str">
        <f>"1-363-21"</f>
        <v>1-363-21</v>
      </c>
      <c r="F6750" t="s">
        <v>15</v>
      </c>
      <c r="G6750" t="s">
        <v>16</v>
      </c>
      <c r="H6750" t="s">
        <v>17</v>
      </c>
      <c r="I6750">
        <v>0</v>
      </c>
      <c r="J6750">
        <v>0</v>
      </c>
      <c r="K6750">
        <v>1</v>
      </c>
    </row>
    <row r="6751" spans="1:11" x14ac:dyDescent="0.25">
      <c r="A6751" t="str">
        <f>"8417"</f>
        <v>8417</v>
      </c>
      <c r="B6751" t="str">
        <f t="shared" si="441"/>
        <v>1</v>
      </c>
      <c r="C6751" t="str">
        <f t="shared" si="442"/>
        <v>363</v>
      </c>
      <c r="D6751" t="str">
        <f>"15"</f>
        <v>15</v>
      </c>
      <c r="E6751" t="str">
        <f>"1-363-15"</f>
        <v>1-363-15</v>
      </c>
      <c r="F6751" t="s">
        <v>15</v>
      </c>
      <c r="G6751" t="s">
        <v>16</v>
      </c>
      <c r="H6751" t="s">
        <v>17</v>
      </c>
      <c r="I6751">
        <v>1</v>
      </c>
      <c r="J6751">
        <v>0</v>
      </c>
      <c r="K6751">
        <v>0</v>
      </c>
    </row>
    <row r="6752" spans="1:11" x14ac:dyDescent="0.25">
      <c r="A6752" t="str">
        <f>"8418"</f>
        <v>8418</v>
      </c>
      <c r="B6752" t="str">
        <f t="shared" si="441"/>
        <v>1</v>
      </c>
      <c r="C6752" t="str">
        <f t="shared" si="442"/>
        <v>363</v>
      </c>
      <c r="D6752" t="str">
        <f>"4"</f>
        <v>4</v>
      </c>
      <c r="E6752" t="str">
        <f>"1-363-4"</f>
        <v>1-363-4</v>
      </c>
      <c r="F6752" t="s">
        <v>15</v>
      </c>
      <c r="G6752" t="s">
        <v>16</v>
      </c>
      <c r="H6752" t="s">
        <v>17</v>
      </c>
      <c r="I6752">
        <v>0</v>
      </c>
      <c r="J6752">
        <v>1</v>
      </c>
      <c r="K6752">
        <v>0</v>
      </c>
    </row>
    <row r="6753" spans="1:11" x14ac:dyDescent="0.25">
      <c r="A6753" t="str">
        <f>"8419"</f>
        <v>8419</v>
      </c>
      <c r="B6753" t="str">
        <f t="shared" si="441"/>
        <v>1</v>
      </c>
      <c r="C6753" t="str">
        <f t="shared" si="442"/>
        <v>363</v>
      </c>
      <c r="D6753" t="str">
        <f>"16"</f>
        <v>16</v>
      </c>
      <c r="E6753" t="str">
        <f>"1-363-16"</f>
        <v>1-363-16</v>
      </c>
      <c r="F6753" t="s">
        <v>15</v>
      </c>
      <c r="G6753" t="s">
        <v>16</v>
      </c>
      <c r="H6753" t="s">
        <v>17</v>
      </c>
      <c r="I6753">
        <v>0</v>
      </c>
      <c r="J6753">
        <v>1</v>
      </c>
      <c r="K6753">
        <v>0</v>
      </c>
    </row>
    <row r="6754" spans="1:11" x14ac:dyDescent="0.25">
      <c r="A6754" t="str">
        <f>"8420"</f>
        <v>8420</v>
      </c>
      <c r="B6754" t="str">
        <f t="shared" si="441"/>
        <v>1</v>
      </c>
      <c r="C6754" t="str">
        <f t="shared" si="442"/>
        <v>363</v>
      </c>
      <c r="D6754" t="str">
        <f>"6"</f>
        <v>6</v>
      </c>
      <c r="E6754" t="str">
        <f>"1-363-6"</f>
        <v>1-363-6</v>
      </c>
      <c r="F6754" t="s">
        <v>15</v>
      </c>
      <c r="G6754" t="s">
        <v>16</v>
      </c>
      <c r="H6754" t="s">
        <v>17</v>
      </c>
      <c r="I6754">
        <v>0</v>
      </c>
      <c r="J6754">
        <v>1</v>
      </c>
      <c r="K6754">
        <v>0</v>
      </c>
    </row>
    <row r="6755" spans="1:11" x14ac:dyDescent="0.25">
      <c r="A6755" t="str">
        <f>"8421"</f>
        <v>8421</v>
      </c>
      <c r="B6755" t="str">
        <f t="shared" si="441"/>
        <v>1</v>
      </c>
      <c r="C6755" t="str">
        <f t="shared" si="442"/>
        <v>363</v>
      </c>
      <c r="D6755" t="str">
        <f>"17"</f>
        <v>17</v>
      </c>
      <c r="E6755" t="str">
        <f>"1-363-17"</f>
        <v>1-363-17</v>
      </c>
      <c r="F6755" t="s">
        <v>15</v>
      </c>
      <c r="G6755" t="s">
        <v>16</v>
      </c>
      <c r="H6755" t="s">
        <v>17</v>
      </c>
      <c r="I6755">
        <v>0</v>
      </c>
      <c r="J6755">
        <v>1</v>
      </c>
      <c r="K6755">
        <v>0</v>
      </c>
    </row>
    <row r="6756" spans="1:11" x14ac:dyDescent="0.25">
      <c r="A6756" t="str">
        <f>"8422"</f>
        <v>8422</v>
      </c>
      <c r="B6756" t="str">
        <f t="shared" si="441"/>
        <v>1</v>
      </c>
      <c r="C6756" t="str">
        <f t="shared" si="442"/>
        <v>363</v>
      </c>
      <c r="D6756" t="str">
        <f>"14"</f>
        <v>14</v>
      </c>
      <c r="E6756" t="str">
        <f>"1-363-14"</f>
        <v>1-363-14</v>
      </c>
      <c r="F6756" t="s">
        <v>15</v>
      </c>
      <c r="G6756" t="s">
        <v>16</v>
      </c>
      <c r="H6756" t="s">
        <v>17</v>
      </c>
      <c r="I6756">
        <v>1</v>
      </c>
      <c r="J6756">
        <v>0</v>
      </c>
      <c r="K6756">
        <v>0</v>
      </c>
    </row>
    <row r="6757" spans="1:11" x14ac:dyDescent="0.25">
      <c r="A6757" t="str">
        <f>"8423"</f>
        <v>8423</v>
      </c>
      <c r="B6757" t="str">
        <f t="shared" si="441"/>
        <v>1</v>
      </c>
      <c r="C6757" t="str">
        <f t="shared" si="442"/>
        <v>363</v>
      </c>
      <c r="D6757" t="str">
        <f>"18"</f>
        <v>18</v>
      </c>
      <c r="E6757" t="str">
        <f>"1-363-18"</f>
        <v>1-363-18</v>
      </c>
      <c r="F6757" t="s">
        <v>15</v>
      </c>
      <c r="G6757" t="s">
        <v>16</v>
      </c>
      <c r="H6757" t="s">
        <v>17</v>
      </c>
      <c r="I6757">
        <v>1</v>
      </c>
      <c r="J6757">
        <v>0</v>
      </c>
      <c r="K6757">
        <v>0</v>
      </c>
    </row>
    <row r="6758" spans="1:11" x14ac:dyDescent="0.25">
      <c r="A6758" t="str">
        <f>"8424"</f>
        <v>8424</v>
      </c>
      <c r="B6758" t="str">
        <f t="shared" si="441"/>
        <v>1</v>
      </c>
      <c r="C6758" t="str">
        <f t="shared" si="442"/>
        <v>363</v>
      </c>
      <c r="D6758" t="str">
        <f>"3"</f>
        <v>3</v>
      </c>
      <c r="E6758" t="str">
        <f>"1-363-3"</f>
        <v>1-363-3</v>
      </c>
      <c r="F6758" t="s">
        <v>15</v>
      </c>
      <c r="G6758" t="s">
        <v>16</v>
      </c>
      <c r="H6758" t="s">
        <v>17</v>
      </c>
      <c r="I6758">
        <v>1</v>
      </c>
      <c r="J6758">
        <v>0</v>
      </c>
      <c r="K6758">
        <v>0</v>
      </c>
    </row>
    <row r="6759" spans="1:11" x14ac:dyDescent="0.25">
      <c r="A6759" t="str">
        <f>"8425"</f>
        <v>8425</v>
      </c>
      <c r="B6759" t="str">
        <f t="shared" si="441"/>
        <v>1</v>
      </c>
      <c r="C6759" t="str">
        <f t="shared" si="442"/>
        <v>363</v>
      </c>
      <c r="D6759" t="str">
        <f>"19"</f>
        <v>19</v>
      </c>
      <c r="E6759" t="str">
        <f>"1-363-19"</f>
        <v>1-363-19</v>
      </c>
      <c r="F6759" t="s">
        <v>15</v>
      </c>
      <c r="G6759" t="s">
        <v>16</v>
      </c>
      <c r="H6759" t="s">
        <v>17</v>
      </c>
      <c r="I6759">
        <v>1</v>
      </c>
      <c r="J6759">
        <v>0</v>
      </c>
      <c r="K6759">
        <v>0</v>
      </c>
    </row>
    <row r="6760" spans="1:11" x14ac:dyDescent="0.25">
      <c r="A6760" t="str">
        <f>"8426"</f>
        <v>8426</v>
      </c>
      <c r="B6760" t="str">
        <f t="shared" si="441"/>
        <v>1</v>
      </c>
      <c r="C6760" t="str">
        <f t="shared" si="442"/>
        <v>363</v>
      </c>
      <c r="D6760" t="str">
        <f>"7"</f>
        <v>7</v>
      </c>
      <c r="E6760" t="str">
        <f>"1-363-7"</f>
        <v>1-363-7</v>
      </c>
      <c r="F6760" t="s">
        <v>15</v>
      </c>
      <c r="G6760" t="s">
        <v>16</v>
      </c>
      <c r="H6760" t="s">
        <v>17</v>
      </c>
      <c r="I6760">
        <v>0</v>
      </c>
      <c r="J6760">
        <v>0</v>
      </c>
      <c r="K6760">
        <v>1</v>
      </c>
    </row>
    <row r="6761" spans="1:11" x14ac:dyDescent="0.25">
      <c r="A6761" t="str">
        <f>"8427"</f>
        <v>8427</v>
      </c>
      <c r="B6761" t="str">
        <f t="shared" si="441"/>
        <v>1</v>
      </c>
      <c r="C6761" t="str">
        <f t="shared" si="442"/>
        <v>363</v>
      </c>
      <c r="D6761" t="str">
        <f>"20"</f>
        <v>20</v>
      </c>
      <c r="E6761" t="str">
        <f>"1-363-20"</f>
        <v>1-363-20</v>
      </c>
      <c r="F6761" t="s">
        <v>15</v>
      </c>
      <c r="G6761" t="s">
        <v>16</v>
      </c>
      <c r="H6761" t="s">
        <v>17</v>
      </c>
      <c r="I6761">
        <v>1</v>
      </c>
      <c r="J6761">
        <v>0</v>
      </c>
      <c r="K6761">
        <v>0</v>
      </c>
    </row>
    <row r="6762" spans="1:11" x14ac:dyDescent="0.25">
      <c r="A6762" t="str">
        <f>"8428"</f>
        <v>8428</v>
      </c>
      <c r="B6762" t="str">
        <f t="shared" si="441"/>
        <v>1</v>
      </c>
      <c r="C6762" t="str">
        <f t="shared" si="442"/>
        <v>363</v>
      </c>
      <c r="D6762" t="str">
        <f>"23"</f>
        <v>23</v>
      </c>
      <c r="E6762" t="str">
        <f>"1-363-23"</f>
        <v>1-363-23</v>
      </c>
      <c r="F6762" t="s">
        <v>15</v>
      </c>
      <c r="G6762" t="s">
        <v>16</v>
      </c>
      <c r="H6762" t="s">
        <v>17</v>
      </c>
      <c r="I6762">
        <v>1</v>
      </c>
      <c r="J6762">
        <v>0</v>
      </c>
      <c r="K6762">
        <v>0</v>
      </c>
    </row>
    <row r="6763" spans="1:11" x14ac:dyDescent="0.25">
      <c r="A6763" t="str">
        <f>"8429"</f>
        <v>8429</v>
      </c>
      <c r="B6763" t="str">
        <f t="shared" si="441"/>
        <v>1</v>
      </c>
      <c r="C6763" t="str">
        <f t="shared" si="442"/>
        <v>363</v>
      </c>
      <c r="D6763" t="str">
        <f>"24"</f>
        <v>24</v>
      </c>
      <c r="E6763" t="str">
        <f>"1-363-24"</f>
        <v>1-363-24</v>
      </c>
      <c r="F6763" t="s">
        <v>15</v>
      </c>
      <c r="G6763" t="s">
        <v>18</v>
      </c>
      <c r="H6763" t="s">
        <v>19</v>
      </c>
      <c r="I6763">
        <v>1</v>
      </c>
      <c r="J6763">
        <v>0</v>
      </c>
      <c r="K6763">
        <v>0</v>
      </c>
    </row>
    <row r="6764" spans="1:11" x14ac:dyDescent="0.25">
      <c r="A6764" t="str">
        <f>"8430"</f>
        <v>8430</v>
      </c>
      <c r="B6764" t="str">
        <f t="shared" si="441"/>
        <v>1</v>
      </c>
      <c r="C6764" t="str">
        <f t="shared" si="442"/>
        <v>363</v>
      </c>
      <c r="D6764" t="str">
        <f>"13"</f>
        <v>13</v>
      </c>
      <c r="E6764" t="str">
        <f>"1-363-13"</f>
        <v>1-363-13</v>
      </c>
      <c r="F6764" t="s">
        <v>15</v>
      </c>
      <c r="G6764" t="s">
        <v>16</v>
      </c>
      <c r="H6764" t="s">
        <v>17</v>
      </c>
      <c r="I6764">
        <v>1</v>
      </c>
      <c r="J6764">
        <v>0</v>
      </c>
      <c r="K6764">
        <v>0</v>
      </c>
    </row>
    <row r="6765" spans="1:11" x14ac:dyDescent="0.25">
      <c r="A6765" t="str">
        <f>"8431"</f>
        <v>8431</v>
      </c>
      <c r="B6765" t="str">
        <f t="shared" si="441"/>
        <v>1</v>
      </c>
      <c r="C6765" t="str">
        <f t="shared" si="442"/>
        <v>363</v>
      </c>
      <c r="D6765" t="str">
        <f>"2"</f>
        <v>2</v>
      </c>
      <c r="E6765" t="str">
        <f>"1-363-2"</f>
        <v>1-363-2</v>
      </c>
      <c r="F6765" t="s">
        <v>15</v>
      </c>
      <c r="G6765" t="s">
        <v>16</v>
      </c>
      <c r="H6765" t="s">
        <v>17</v>
      </c>
      <c r="I6765">
        <v>1</v>
      </c>
      <c r="J6765">
        <v>0</v>
      </c>
      <c r="K6765">
        <v>0</v>
      </c>
    </row>
    <row r="6766" spans="1:11" x14ac:dyDescent="0.25">
      <c r="A6766" t="str">
        <f>"8432"</f>
        <v>8432</v>
      </c>
      <c r="B6766" t="str">
        <f t="shared" si="441"/>
        <v>1</v>
      </c>
      <c r="C6766" t="str">
        <f t="shared" si="442"/>
        <v>363</v>
      </c>
      <c r="D6766" t="str">
        <f>"1"</f>
        <v>1</v>
      </c>
      <c r="E6766" t="str">
        <f>"1-363-1"</f>
        <v>1-363-1</v>
      </c>
      <c r="F6766" t="s">
        <v>15</v>
      </c>
      <c r="G6766" t="s">
        <v>16</v>
      </c>
      <c r="H6766" t="s">
        <v>17</v>
      </c>
      <c r="I6766">
        <v>0</v>
      </c>
      <c r="J6766">
        <v>0</v>
      </c>
      <c r="K6766">
        <v>1</v>
      </c>
    </row>
    <row r="6767" spans="1:11" x14ac:dyDescent="0.25">
      <c r="A6767" t="str">
        <f>"8433"</f>
        <v>8433</v>
      </c>
      <c r="B6767" t="str">
        <f t="shared" si="441"/>
        <v>1</v>
      </c>
      <c r="C6767" t="str">
        <f t="shared" si="442"/>
        <v>363</v>
      </c>
      <c r="D6767" t="str">
        <f>"11"</f>
        <v>11</v>
      </c>
      <c r="E6767" t="str">
        <f>"1-363-11"</f>
        <v>1-363-11</v>
      </c>
      <c r="F6767" t="s">
        <v>15</v>
      </c>
      <c r="G6767" t="s">
        <v>16</v>
      </c>
      <c r="H6767" t="s">
        <v>17</v>
      </c>
      <c r="I6767">
        <v>1</v>
      </c>
      <c r="J6767">
        <v>0</v>
      </c>
      <c r="K6767">
        <v>0</v>
      </c>
    </row>
    <row r="6768" spans="1:11" x14ac:dyDescent="0.25">
      <c r="A6768" t="str">
        <f>"8434"</f>
        <v>8434</v>
      </c>
      <c r="B6768" t="str">
        <f t="shared" si="441"/>
        <v>1</v>
      </c>
      <c r="C6768" t="str">
        <f t="shared" si="442"/>
        <v>363</v>
      </c>
      <c r="D6768" t="str">
        <f>"5"</f>
        <v>5</v>
      </c>
      <c r="E6768" t="str">
        <f>"1-363-5"</f>
        <v>1-363-5</v>
      </c>
      <c r="F6768" t="s">
        <v>15</v>
      </c>
      <c r="G6768" t="s">
        <v>16</v>
      </c>
      <c r="H6768" t="s">
        <v>17</v>
      </c>
      <c r="I6768">
        <v>1</v>
      </c>
      <c r="J6768">
        <v>0</v>
      </c>
      <c r="K6768">
        <v>0</v>
      </c>
    </row>
    <row r="6769" spans="1:11" x14ac:dyDescent="0.25">
      <c r="A6769" t="str">
        <f>"8435"</f>
        <v>8435</v>
      </c>
      <c r="B6769" t="str">
        <f t="shared" si="441"/>
        <v>1</v>
      </c>
      <c r="C6769" t="str">
        <f t="shared" si="442"/>
        <v>363</v>
      </c>
      <c r="D6769" t="str">
        <f>"9"</f>
        <v>9</v>
      </c>
      <c r="E6769" t="str">
        <f>"1-363-9"</f>
        <v>1-363-9</v>
      </c>
      <c r="F6769" t="s">
        <v>15</v>
      </c>
      <c r="G6769" t="s">
        <v>16</v>
      </c>
      <c r="H6769" t="s">
        <v>17</v>
      </c>
      <c r="I6769">
        <v>0</v>
      </c>
      <c r="J6769">
        <v>0</v>
      </c>
      <c r="K6769">
        <v>0</v>
      </c>
    </row>
    <row r="6770" spans="1:11" x14ac:dyDescent="0.25">
      <c r="A6770" t="str">
        <f>"8436"</f>
        <v>8436</v>
      </c>
      <c r="B6770" t="str">
        <f t="shared" si="441"/>
        <v>1</v>
      </c>
      <c r="C6770" t="str">
        <f t="shared" si="442"/>
        <v>363</v>
      </c>
      <c r="D6770" t="str">
        <f>"22"</f>
        <v>22</v>
      </c>
      <c r="E6770" t="str">
        <f>"1-363-22"</f>
        <v>1-363-22</v>
      </c>
      <c r="F6770" t="s">
        <v>15</v>
      </c>
      <c r="G6770" t="s">
        <v>16</v>
      </c>
      <c r="H6770" t="s">
        <v>17</v>
      </c>
      <c r="I6770">
        <v>0</v>
      </c>
      <c r="J6770">
        <v>0</v>
      </c>
      <c r="K6770">
        <v>0</v>
      </c>
    </row>
    <row r="6771" spans="1:11" x14ac:dyDescent="0.25">
      <c r="A6771" t="str">
        <f>"8437"</f>
        <v>8437</v>
      </c>
      <c r="B6771" t="str">
        <f t="shared" si="441"/>
        <v>1</v>
      </c>
      <c r="C6771" t="str">
        <f t="shared" si="442"/>
        <v>363</v>
      </c>
      <c r="D6771" t="str">
        <f>"12"</f>
        <v>12</v>
      </c>
      <c r="E6771" t="str">
        <f>"1-363-12"</f>
        <v>1-363-12</v>
      </c>
      <c r="F6771" t="s">
        <v>15</v>
      </c>
      <c r="G6771" t="s">
        <v>16</v>
      </c>
      <c r="H6771" t="s">
        <v>17</v>
      </c>
      <c r="I6771">
        <v>0</v>
      </c>
      <c r="J6771">
        <v>0</v>
      </c>
      <c r="K6771">
        <v>0</v>
      </c>
    </row>
    <row r="6772" spans="1:11" x14ac:dyDescent="0.25">
      <c r="A6772" t="str">
        <f>"8438"</f>
        <v>8438</v>
      </c>
      <c r="B6772" t="str">
        <f t="shared" si="441"/>
        <v>1</v>
      </c>
      <c r="C6772" t="str">
        <f t="shared" si="442"/>
        <v>363</v>
      </c>
      <c r="D6772" t="str">
        <f>"10"</f>
        <v>10</v>
      </c>
      <c r="E6772" t="str">
        <f>"1-363-10"</f>
        <v>1-363-10</v>
      </c>
      <c r="F6772" t="s">
        <v>15</v>
      </c>
      <c r="G6772" t="s">
        <v>16</v>
      </c>
      <c r="H6772" t="s">
        <v>17</v>
      </c>
      <c r="I6772">
        <v>0</v>
      </c>
      <c r="J6772">
        <v>0</v>
      </c>
      <c r="K6772">
        <v>1</v>
      </c>
    </row>
    <row r="6773" spans="1:11" x14ac:dyDescent="0.25">
      <c r="A6773" t="str">
        <f>"8439"</f>
        <v>8439</v>
      </c>
      <c r="B6773" t="str">
        <f t="shared" si="441"/>
        <v>1</v>
      </c>
      <c r="C6773" t="str">
        <f t="shared" si="442"/>
        <v>363</v>
      </c>
      <c r="D6773" t="str">
        <f>"8"</f>
        <v>8</v>
      </c>
      <c r="E6773" t="str">
        <f>"1-363-8"</f>
        <v>1-363-8</v>
      </c>
      <c r="F6773" t="s">
        <v>15</v>
      </c>
      <c r="G6773" t="s">
        <v>16</v>
      </c>
      <c r="H6773" t="s">
        <v>17</v>
      </c>
      <c r="I6773">
        <v>0</v>
      </c>
      <c r="J6773">
        <v>0</v>
      </c>
      <c r="K6773">
        <v>0</v>
      </c>
    </row>
    <row r="6774" spans="1:11" x14ac:dyDescent="0.25">
      <c r="A6774" t="str">
        <f>"8456"</f>
        <v>8456</v>
      </c>
      <c r="B6774" t="str">
        <f t="shared" si="441"/>
        <v>1</v>
      </c>
      <c r="C6774" t="str">
        <f t="shared" ref="C6774:C6797" si="443">"365"</f>
        <v>365</v>
      </c>
      <c r="D6774" t="str">
        <f>"23"</f>
        <v>23</v>
      </c>
      <c r="E6774" t="str">
        <f>"1-365-23"</f>
        <v>1-365-23</v>
      </c>
      <c r="F6774" t="s">
        <v>15</v>
      </c>
      <c r="G6774" t="s">
        <v>16</v>
      </c>
      <c r="H6774" t="s">
        <v>17</v>
      </c>
      <c r="I6774">
        <v>0</v>
      </c>
      <c r="J6774">
        <v>1</v>
      </c>
      <c r="K6774">
        <v>0</v>
      </c>
    </row>
    <row r="6775" spans="1:11" x14ac:dyDescent="0.25">
      <c r="A6775" t="str">
        <f>"8457"</f>
        <v>8457</v>
      </c>
      <c r="B6775" t="str">
        <f t="shared" si="441"/>
        <v>1</v>
      </c>
      <c r="C6775" t="str">
        <f t="shared" si="443"/>
        <v>365</v>
      </c>
      <c r="D6775" t="str">
        <f>"15"</f>
        <v>15</v>
      </c>
      <c r="E6775" t="str">
        <f>"1-365-15"</f>
        <v>1-365-15</v>
      </c>
      <c r="F6775" t="s">
        <v>15</v>
      </c>
      <c r="G6775" t="s">
        <v>16</v>
      </c>
      <c r="H6775" t="s">
        <v>17</v>
      </c>
      <c r="I6775">
        <v>1</v>
      </c>
      <c r="J6775">
        <v>0</v>
      </c>
      <c r="K6775">
        <v>0</v>
      </c>
    </row>
    <row r="6776" spans="1:11" x14ac:dyDescent="0.25">
      <c r="A6776" t="str">
        <f>"8458"</f>
        <v>8458</v>
      </c>
      <c r="B6776" t="str">
        <f t="shared" si="441"/>
        <v>1</v>
      </c>
      <c r="C6776" t="str">
        <f t="shared" si="443"/>
        <v>365</v>
      </c>
      <c r="D6776" t="str">
        <f>"2"</f>
        <v>2</v>
      </c>
      <c r="E6776" t="str">
        <f>"1-365-2"</f>
        <v>1-365-2</v>
      </c>
      <c r="F6776" t="s">
        <v>15</v>
      </c>
      <c r="G6776" t="s">
        <v>16</v>
      </c>
      <c r="H6776" t="s">
        <v>17</v>
      </c>
      <c r="I6776">
        <v>1</v>
      </c>
      <c r="J6776">
        <v>0</v>
      </c>
      <c r="K6776">
        <v>0</v>
      </c>
    </row>
    <row r="6777" spans="1:11" x14ac:dyDescent="0.25">
      <c r="A6777" t="str">
        <f>"8459"</f>
        <v>8459</v>
      </c>
      <c r="B6777" t="str">
        <f t="shared" si="441"/>
        <v>1</v>
      </c>
      <c r="C6777" t="str">
        <f t="shared" si="443"/>
        <v>365</v>
      </c>
      <c r="D6777" t="str">
        <f>"16"</f>
        <v>16</v>
      </c>
      <c r="E6777" t="str">
        <f>"1-365-16"</f>
        <v>1-365-16</v>
      </c>
      <c r="F6777" t="s">
        <v>15</v>
      </c>
      <c r="G6777" t="s">
        <v>16</v>
      </c>
      <c r="H6777" t="s">
        <v>17</v>
      </c>
      <c r="I6777">
        <v>0</v>
      </c>
      <c r="J6777">
        <v>1</v>
      </c>
      <c r="K6777">
        <v>0</v>
      </c>
    </row>
    <row r="6778" spans="1:11" x14ac:dyDescent="0.25">
      <c r="A6778" t="str">
        <f>"8460"</f>
        <v>8460</v>
      </c>
      <c r="B6778" t="str">
        <f t="shared" si="441"/>
        <v>1</v>
      </c>
      <c r="C6778" t="str">
        <f t="shared" si="443"/>
        <v>365</v>
      </c>
      <c r="D6778" t="str">
        <f>"5"</f>
        <v>5</v>
      </c>
      <c r="E6778" t="str">
        <f>"1-365-5"</f>
        <v>1-365-5</v>
      </c>
      <c r="F6778" t="s">
        <v>15</v>
      </c>
      <c r="G6778" t="s">
        <v>16</v>
      </c>
      <c r="H6778" t="s">
        <v>17</v>
      </c>
      <c r="I6778">
        <v>1</v>
      </c>
      <c r="J6778">
        <v>0</v>
      </c>
      <c r="K6778">
        <v>0</v>
      </c>
    </row>
    <row r="6779" spans="1:11" x14ac:dyDescent="0.25">
      <c r="A6779" t="str">
        <f>"8461"</f>
        <v>8461</v>
      </c>
      <c r="B6779" t="str">
        <f t="shared" si="441"/>
        <v>1</v>
      </c>
      <c r="C6779" t="str">
        <f t="shared" si="443"/>
        <v>365</v>
      </c>
      <c r="D6779" t="str">
        <f>"17"</f>
        <v>17</v>
      </c>
      <c r="E6779" t="str">
        <f>"1-365-17"</f>
        <v>1-365-17</v>
      </c>
      <c r="F6779" t="s">
        <v>15</v>
      </c>
      <c r="G6779" t="s">
        <v>16</v>
      </c>
      <c r="H6779" t="s">
        <v>17</v>
      </c>
      <c r="I6779">
        <v>1</v>
      </c>
      <c r="J6779">
        <v>0</v>
      </c>
      <c r="K6779">
        <v>0</v>
      </c>
    </row>
    <row r="6780" spans="1:11" x14ac:dyDescent="0.25">
      <c r="A6780" t="str">
        <f>"8462"</f>
        <v>8462</v>
      </c>
      <c r="B6780" t="str">
        <f t="shared" si="441"/>
        <v>1</v>
      </c>
      <c r="C6780" t="str">
        <f t="shared" si="443"/>
        <v>365</v>
      </c>
      <c r="D6780" t="str">
        <f>"4"</f>
        <v>4</v>
      </c>
      <c r="E6780" t="str">
        <f>"1-365-4"</f>
        <v>1-365-4</v>
      </c>
      <c r="F6780" t="s">
        <v>15</v>
      </c>
      <c r="G6780" t="s">
        <v>16</v>
      </c>
      <c r="H6780" t="s">
        <v>17</v>
      </c>
      <c r="I6780">
        <v>1</v>
      </c>
      <c r="J6780">
        <v>0</v>
      </c>
      <c r="K6780">
        <v>0</v>
      </c>
    </row>
    <row r="6781" spans="1:11" x14ac:dyDescent="0.25">
      <c r="A6781" t="str">
        <f>"8463"</f>
        <v>8463</v>
      </c>
      <c r="B6781" t="str">
        <f t="shared" si="441"/>
        <v>1</v>
      </c>
      <c r="C6781" t="str">
        <f t="shared" si="443"/>
        <v>365</v>
      </c>
      <c r="D6781" t="str">
        <f>"18"</f>
        <v>18</v>
      </c>
      <c r="E6781" t="str">
        <f>"1-365-18"</f>
        <v>1-365-18</v>
      </c>
      <c r="F6781" t="s">
        <v>15</v>
      </c>
      <c r="G6781" t="s">
        <v>16</v>
      </c>
      <c r="H6781" t="s">
        <v>17</v>
      </c>
      <c r="I6781">
        <v>1</v>
      </c>
      <c r="J6781">
        <v>0</v>
      </c>
      <c r="K6781">
        <v>0</v>
      </c>
    </row>
    <row r="6782" spans="1:11" x14ac:dyDescent="0.25">
      <c r="A6782" t="str">
        <f>"8464"</f>
        <v>8464</v>
      </c>
      <c r="B6782" t="str">
        <f t="shared" si="441"/>
        <v>1</v>
      </c>
      <c r="C6782" t="str">
        <f t="shared" si="443"/>
        <v>365</v>
      </c>
      <c r="D6782" t="str">
        <f>"12"</f>
        <v>12</v>
      </c>
      <c r="E6782" t="str">
        <f>"1-365-12"</f>
        <v>1-365-12</v>
      </c>
      <c r="F6782" t="s">
        <v>15</v>
      </c>
      <c r="G6782" t="s">
        <v>16</v>
      </c>
      <c r="H6782" t="s">
        <v>17</v>
      </c>
      <c r="I6782">
        <v>0</v>
      </c>
      <c r="J6782">
        <v>0</v>
      </c>
      <c r="K6782">
        <v>1</v>
      </c>
    </row>
    <row r="6783" spans="1:11" x14ac:dyDescent="0.25">
      <c r="A6783" t="str">
        <f>"8465"</f>
        <v>8465</v>
      </c>
      <c r="B6783" t="str">
        <f t="shared" si="441"/>
        <v>1</v>
      </c>
      <c r="C6783" t="str">
        <f t="shared" si="443"/>
        <v>365</v>
      </c>
      <c r="D6783" t="str">
        <f>"19"</f>
        <v>19</v>
      </c>
      <c r="E6783" t="str">
        <f>"1-365-19"</f>
        <v>1-365-19</v>
      </c>
      <c r="F6783" t="s">
        <v>15</v>
      </c>
      <c r="G6783" t="s">
        <v>16</v>
      </c>
      <c r="H6783" t="s">
        <v>17</v>
      </c>
      <c r="I6783">
        <v>1</v>
      </c>
      <c r="J6783">
        <v>0</v>
      </c>
      <c r="K6783">
        <v>0</v>
      </c>
    </row>
    <row r="6784" spans="1:11" x14ac:dyDescent="0.25">
      <c r="A6784" t="str">
        <f>"8466"</f>
        <v>8466</v>
      </c>
      <c r="B6784" t="str">
        <f t="shared" si="441"/>
        <v>1</v>
      </c>
      <c r="C6784" t="str">
        <f t="shared" si="443"/>
        <v>365</v>
      </c>
      <c r="D6784" t="str">
        <f>"3"</f>
        <v>3</v>
      </c>
      <c r="E6784" t="str">
        <f>"1-365-3"</f>
        <v>1-365-3</v>
      </c>
      <c r="F6784" t="s">
        <v>15</v>
      </c>
      <c r="G6784" t="s">
        <v>16</v>
      </c>
      <c r="H6784" t="s">
        <v>17</v>
      </c>
      <c r="I6784">
        <v>0</v>
      </c>
      <c r="J6784">
        <v>0</v>
      </c>
      <c r="K6784">
        <v>1</v>
      </c>
    </row>
    <row r="6785" spans="1:11" x14ac:dyDescent="0.25">
      <c r="A6785" t="str">
        <f>"8467"</f>
        <v>8467</v>
      </c>
      <c r="B6785" t="str">
        <f t="shared" si="441"/>
        <v>1</v>
      </c>
      <c r="C6785" t="str">
        <f t="shared" si="443"/>
        <v>365</v>
      </c>
      <c r="D6785" t="str">
        <f>"20"</f>
        <v>20</v>
      </c>
      <c r="E6785" t="str">
        <f>"1-365-20"</f>
        <v>1-365-20</v>
      </c>
      <c r="F6785" t="s">
        <v>15</v>
      </c>
      <c r="G6785" t="s">
        <v>16</v>
      </c>
      <c r="H6785" t="s">
        <v>17</v>
      </c>
      <c r="I6785">
        <v>1</v>
      </c>
      <c r="J6785">
        <v>0</v>
      </c>
      <c r="K6785">
        <v>0</v>
      </c>
    </row>
    <row r="6786" spans="1:11" x14ac:dyDescent="0.25">
      <c r="A6786" t="str">
        <f>"8468"</f>
        <v>8468</v>
      </c>
      <c r="B6786" t="str">
        <f t="shared" si="441"/>
        <v>1</v>
      </c>
      <c r="C6786" t="str">
        <f t="shared" si="443"/>
        <v>365</v>
      </c>
      <c r="D6786" t="str">
        <f>"9"</f>
        <v>9</v>
      </c>
      <c r="E6786" t="str">
        <f>"1-365-9"</f>
        <v>1-365-9</v>
      </c>
      <c r="F6786" t="s">
        <v>15</v>
      </c>
      <c r="G6786" t="s">
        <v>16</v>
      </c>
      <c r="H6786" t="s">
        <v>17</v>
      </c>
      <c r="I6786">
        <v>1</v>
      </c>
      <c r="J6786">
        <v>0</v>
      </c>
      <c r="K6786">
        <v>0</v>
      </c>
    </row>
    <row r="6787" spans="1:11" x14ac:dyDescent="0.25">
      <c r="A6787" t="str">
        <f>"8469"</f>
        <v>8469</v>
      </c>
      <c r="B6787" t="str">
        <f t="shared" si="441"/>
        <v>1</v>
      </c>
      <c r="C6787" t="str">
        <f t="shared" si="443"/>
        <v>365</v>
      </c>
      <c r="D6787" t="str">
        <f>"21"</f>
        <v>21</v>
      </c>
      <c r="E6787" t="str">
        <f>"1-365-21"</f>
        <v>1-365-21</v>
      </c>
      <c r="F6787" t="s">
        <v>15</v>
      </c>
      <c r="G6787" t="s">
        <v>16</v>
      </c>
      <c r="H6787" t="s">
        <v>17</v>
      </c>
      <c r="I6787">
        <v>1</v>
      </c>
      <c r="J6787">
        <v>0</v>
      </c>
      <c r="K6787">
        <v>0</v>
      </c>
    </row>
    <row r="6788" spans="1:11" x14ac:dyDescent="0.25">
      <c r="A6788" t="str">
        <f>"8470"</f>
        <v>8470</v>
      </c>
      <c r="B6788" t="str">
        <f t="shared" si="441"/>
        <v>1</v>
      </c>
      <c r="C6788" t="str">
        <f t="shared" si="443"/>
        <v>365</v>
      </c>
      <c r="D6788" t="str">
        <f>"7"</f>
        <v>7</v>
      </c>
      <c r="E6788" t="str">
        <f>"1-365-7"</f>
        <v>1-365-7</v>
      </c>
      <c r="F6788" t="s">
        <v>15</v>
      </c>
      <c r="G6788" t="s">
        <v>16</v>
      </c>
      <c r="H6788" t="s">
        <v>17</v>
      </c>
      <c r="I6788">
        <v>1</v>
      </c>
      <c r="J6788">
        <v>0</v>
      </c>
      <c r="K6788">
        <v>0</v>
      </c>
    </row>
    <row r="6789" spans="1:11" x14ac:dyDescent="0.25">
      <c r="A6789" t="str">
        <f>"8471"</f>
        <v>8471</v>
      </c>
      <c r="B6789" t="str">
        <f t="shared" si="441"/>
        <v>1</v>
      </c>
      <c r="C6789" t="str">
        <f t="shared" si="443"/>
        <v>365</v>
      </c>
      <c r="D6789" t="str">
        <f>"22"</f>
        <v>22</v>
      </c>
      <c r="E6789" t="str">
        <f>"1-365-22"</f>
        <v>1-365-22</v>
      </c>
      <c r="F6789" t="s">
        <v>15</v>
      </c>
      <c r="G6789" t="s">
        <v>16</v>
      </c>
      <c r="H6789" t="s">
        <v>17</v>
      </c>
      <c r="I6789">
        <v>0</v>
      </c>
      <c r="J6789">
        <v>1</v>
      </c>
      <c r="K6789">
        <v>0</v>
      </c>
    </row>
    <row r="6790" spans="1:11" x14ac:dyDescent="0.25">
      <c r="A6790" t="str">
        <f>"8472"</f>
        <v>8472</v>
      </c>
      <c r="B6790" t="str">
        <f t="shared" si="441"/>
        <v>1</v>
      </c>
      <c r="C6790" t="str">
        <f t="shared" si="443"/>
        <v>365</v>
      </c>
      <c r="D6790" t="str">
        <f>"6"</f>
        <v>6</v>
      </c>
      <c r="E6790" t="str">
        <f>"1-365-6"</f>
        <v>1-365-6</v>
      </c>
      <c r="F6790" t="s">
        <v>15</v>
      </c>
      <c r="G6790" t="s">
        <v>16</v>
      </c>
      <c r="H6790" t="s">
        <v>17</v>
      </c>
      <c r="I6790">
        <v>1</v>
      </c>
      <c r="J6790">
        <v>0</v>
      </c>
      <c r="K6790">
        <v>0</v>
      </c>
    </row>
    <row r="6791" spans="1:11" x14ac:dyDescent="0.25">
      <c r="A6791" t="str">
        <f>"8473"</f>
        <v>8473</v>
      </c>
      <c r="B6791" t="str">
        <f t="shared" si="441"/>
        <v>1</v>
      </c>
      <c r="C6791" t="str">
        <f t="shared" si="443"/>
        <v>365</v>
      </c>
      <c r="D6791" t="str">
        <f>"24"</f>
        <v>24</v>
      </c>
      <c r="E6791" t="str">
        <f>"1-365-24"</f>
        <v>1-365-24</v>
      </c>
      <c r="F6791" t="s">
        <v>15</v>
      </c>
      <c r="G6791" t="s">
        <v>16</v>
      </c>
      <c r="H6791" t="s">
        <v>17</v>
      </c>
      <c r="I6791">
        <v>1</v>
      </c>
      <c r="J6791">
        <v>0</v>
      </c>
      <c r="K6791">
        <v>0</v>
      </c>
    </row>
    <row r="6792" spans="1:11" x14ac:dyDescent="0.25">
      <c r="A6792" t="str">
        <f>"8474"</f>
        <v>8474</v>
      </c>
      <c r="B6792" t="str">
        <f t="shared" ref="B6792:B6853" si="444">"1"</f>
        <v>1</v>
      </c>
      <c r="C6792" t="str">
        <f t="shared" si="443"/>
        <v>365</v>
      </c>
      <c r="D6792" t="str">
        <f>"11"</f>
        <v>11</v>
      </c>
      <c r="E6792" t="str">
        <f>"1-365-11"</f>
        <v>1-365-11</v>
      </c>
      <c r="F6792" t="s">
        <v>15</v>
      </c>
      <c r="G6792" t="s">
        <v>16</v>
      </c>
      <c r="H6792" t="s">
        <v>17</v>
      </c>
      <c r="I6792">
        <v>0</v>
      </c>
      <c r="J6792">
        <v>0</v>
      </c>
      <c r="K6792">
        <v>1</v>
      </c>
    </row>
    <row r="6793" spans="1:11" x14ac:dyDescent="0.25">
      <c r="A6793" t="str">
        <f>"8475"</f>
        <v>8475</v>
      </c>
      <c r="B6793" t="str">
        <f t="shared" si="444"/>
        <v>1</v>
      </c>
      <c r="C6793" t="str">
        <f t="shared" si="443"/>
        <v>365</v>
      </c>
      <c r="D6793" t="str">
        <f>"13"</f>
        <v>13</v>
      </c>
      <c r="E6793" t="str">
        <f>"1-365-13"</f>
        <v>1-365-13</v>
      </c>
      <c r="F6793" t="s">
        <v>15</v>
      </c>
      <c r="G6793" t="s">
        <v>18</v>
      </c>
      <c r="H6793" t="s">
        <v>19</v>
      </c>
      <c r="I6793">
        <v>0</v>
      </c>
      <c r="J6793">
        <v>1</v>
      </c>
      <c r="K6793">
        <v>0</v>
      </c>
    </row>
    <row r="6794" spans="1:11" x14ac:dyDescent="0.25">
      <c r="A6794" t="str">
        <f>"8476"</f>
        <v>8476</v>
      </c>
      <c r="B6794" t="str">
        <f t="shared" si="444"/>
        <v>1</v>
      </c>
      <c r="C6794" t="str">
        <f t="shared" si="443"/>
        <v>365</v>
      </c>
      <c r="D6794" t="str">
        <f>"1"</f>
        <v>1</v>
      </c>
      <c r="E6794" t="str">
        <f>"1-365-1"</f>
        <v>1-365-1</v>
      </c>
      <c r="F6794" t="s">
        <v>15</v>
      </c>
      <c r="G6794" t="s">
        <v>16</v>
      </c>
      <c r="H6794" t="s">
        <v>17</v>
      </c>
      <c r="I6794">
        <v>0</v>
      </c>
      <c r="J6794">
        <v>0</v>
      </c>
      <c r="K6794">
        <v>1</v>
      </c>
    </row>
    <row r="6795" spans="1:11" x14ac:dyDescent="0.25">
      <c r="A6795" t="str">
        <f>"8477"</f>
        <v>8477</v>
      </c>
      <c r="B6795" t="str">
        <f t="shared" si="444"/>
        <v>1</v>
      </c>
      <c r="C6795" t="str">
        <f t="shared" si="443"/>
        <v>365</v>
      </c>
      <c r="D6795" t="str">
        <f>"10"</f>
        <v>10</v>
      </c>
      <c r="E6795" t="str">
        <f>"1-365-10"</f>
        <v>1-365-10</v>
      </c>
      <c r="F6795" t="s">
        <v>15</v>
      </c>
      <c r="G6795" t="s">
        <v>16</v>
      </c>
      <c r="H6795" t="s">
        <v>17</v>
      </c>
      <c r="I6795">
        <v>0</v>
      </c>
      <c r="J6795">
        <v>1</v>
      </c>
      <c r="K6795">
        <v>0</v>
      </c>
    </row>
    <row r="6796" spans="1:11" x14ac:dyDescent="0.25">
      <c r="A6796" t="str">
        <f>"8478"</f>
        <v>8478</v>
      </c>
      <c r="B6796" t="str">
        <f t="shared" si="444"/>
        <v>1</v>
      </c>
      <c r="C6796" t="str">
        <f t="shared" si="443"/>
        <v>365</v>
      </c>
      <c r="D6796" t="str">
        <f>"14"</f>
        <v>14</v>
      </c>
      <c r="E6796" t="str">
        <f>"1-365-14"</f>
        <v>1-365-14</v>
      </c>
      <c r="F6796" t="s">
        <v>15</v>
      </c>
      <c r="G6796" t="s">
        <v>16</v>
      </c>
      <c r="H6796" t="s">
        <v>17</v>
      </c>
      <c r="I6796">
        <v>1</v>
      </c>
      <c r="J6796">
        <v>0</v>
      </c>
      <c r="K6796">
        <v>0</v>
      </c>
    </row>
    <row r="6797" spans="1:11" x14ac:dyDescent="0.25">
      <c r="A6797" t="str">
        <f>"8479"</f>
        <v>8479</v>
      </c>
      <c r="B6797" t="str">
        <f t="shared" si="444"/>
        <v>1</v>
      </c>
      <c r="C6797" t="str">
        <f t="shared" si="443"/>
        <v>365</v>
      </c>
      <c r="D6797" t="str">
        <f>"8"</f>
        <v>8</v>
      </c>
      <c r="E6797" t="str">
        <f>"1-365-8"</f>
        <v>1-365-8</v>
      </c>
      <c r="F6797" t="s">
        <v>15</v>
      </c>
      <c r="G6797" t="s">
        <v>16</v>
      </c>
      <c r="H6797" t="s">
        <v>17</v>
      </c>
      <c r="I6797">
        <v>1</v>
      </c>
      <c r="J6797">
        <v>0</v>
      </c>
      <c r="K6797">
        <v>0</v>
      </c>
    </row>
    <row r="6798" spans="1:11" x14ac:dyDescent="0.25">
      <c r="A6798" t="str">
        <f>"8480"</f>
        <v>8480</v>
      </c>
      <c r="B6798" t="str">
        <f t="shared" si="444"/>
        <v>1</v>
      </c>
      <c r="C6798" t="str">
        <f t="shared" ref="C6798:C6822" si="445">"366"</f>
        <v>366</v>
      </c>
      <c r="D6798" t="str">
        <f>"15"</f>
        <v>15</v>
      </c>
      <c r="E6798" t="str">
        <f>"1-366-15"</f>
        <v>1-366-15</v>
      </c>
      <c r="F6798" t="s">
        <v>15</v>
      </c>
      <c r="G6798" t="s">
        <v>16</v>
      </c>
      <c r="H6798" t="s">
        <v>17</v>
      </c>
      <c r="I6798">
        <v>0</v>
      </c>
      <c r="J6798">
        <v>0</v>
      </c>
      <c r="K6798">
        <v>1</v>
      </c>
    </row>
    <row r="6799" spans="1:11" x14ac:dyDescent="0.25">
      <c r="A6799" t="str">
        <f>"8481"</f>
        <v>8481</v>
      </c>
      <c r="B6799" t="str">
        <f t="shared" si="444"/>
        <v>1</v>
      </c>
      <c r="C6799" t="str">
        <f t="shared" si="445"/>
        <v>366</v>
      </c>
      <c r="D6799" t="str">
        <f>"2"</f>
        <v>2</v>
      </c>
      <c r="E6799" t="str">
        <f>"1-366-2"</f>
        <v>1-366-2</v>
      </c>
      <c r="F6799" t="s">
        <v>15</v>
      </c>
      <c r="G6799" t="s">
        <v>16</v>
      </c>
      <c r="H6799" t="s">
        <v>17</v>
      </c>
      <c r="I6799">
        <v>1</v>
      </c>
      <c r="J6799">
        <v>0</v>
      </c>
      <c r="K6799">
        <v>0</v>
      </c>
    </row>
    <row r="6800" spans="1:11" x14ac:dyDescent="0.25">
      <c r="A6800" t="str">
        <f>"8482"</f>
        <v>8482</v>
      </c>
      <c r="B6800" t="str">
        <f t="shared" si="444"/>
        <v>1</v>
      </c>
      <c r="C6800" t="str">
        <f t="shared" si="445"/>
        <v>366</v>
      </c>
      <c r="D6800" t="str">
        <f>"16"</f>
        <v>16</v>
      </c>
      <c r="E6800" t="str">
        <f>"1-366-16"</f>
        <v>1-366-16</v>
      </c>
      <c r="F6800" t="s">
        <v>15</v>
      </c>
      <c r="G6800" t="s">
        <v>16</v>
      </c>
      <c r="H6800" t="s">
        <v>17</v>
      </c>
      <c r="I6800">
        <v>1</v>
      </c>
      <c r="J6800">
        <v>0</v>
      </c>
      <c r="K6800">
        <v>0</v>
      </c>
    </row>
    <row r="6801" spans="1:11" x14ac:dyDescent="0.25">
      <c r="A6801" t="str">
        <f>"8483"</f>
        <v>8483</v>
      </c>
      <c r="B6801" t="str">
        <f t="shared" si="444"/>
        <v>1</v>
      </c>
      <c r="C6801" t="str">
        <f t="shared" si="445"/>
        <v>366</v>
      </c>
      <c r="D6801" t="str">
        <f>"17"</f>
        <v>17</v>
      </c>
      <c r="E6801" t="str">
        <f>"1-366-17"</f>
        <v>1-366-17</v>
      </c>
      <c r="F6801" t="s">
        <v>15</v>
      </c>
      <c r="G6801" t="s">
        <v>16</v>
      </c>
      <c r="H6801" t="s">
        <v>17</v>
      </c>
      <c r="I6801">
        <v>1</v>
      </c>
      <c r="J6801">
        <v>0</v>
      </c>
      <c r="K6801">
        <v>0</v>
      </c>
    </row>
    <row r="6802" spans="1:11" x14ac:dyDescent="0.25">
      <c r="A6802" t="str">
        <f>"8484"</f>
        <v>8484</v>
      </c>
      <c r="B6802" t="str">
        <f t="shared" si="444"/>
        <v>1</v>
      </c>
      <c r="C6802" t="str">
        <f t="shared" si="445"/>
        <v>366</v>
      </c>
      <c r="D6802" t="str">
        <f>"14"</f>
        <v>14</v>
      </c>
      <c r="E6802" t="str">
        <f>"1-366-14"</f>
        <v>1-366-14</v>
      </c>
      <c r="F6802" t="s">
        <v>15</v>
      </c>
      <c r="G6802" t="s">
        <v>16</v>
      </c>
      <c r="H6802" t="s">
        <v>17</v>
      </c>
      <c r="I6802">
        <v>1</v>
      </c>
      <c r="J6802">
        <v>0</v>
      </c>
      <c r="K6802">
        <v>0</v>
      </c>
    </row>
    <row r="6803" spans="1:11" x14ac:dyDescent="0.25">
      <c r="A6803" t="str">
        <f>"8485"</f>
        <v>8485</v>
      </c>
      <c r="B6803" t="str">
        <f t="shared" si="444"/>
        <v>1</v>
      </c>
      <c r="C6803" t="str">
        <f t="shared" si="445"/>
        <v>366</v>
      </c>
      <c r="D6803" t="str">
        <f>"18"</f>
        <v>18</v>
      </c>
      <c r="E6803" t="str">
        <f>"1-366-18"</f>
        <v>1-366-18</v>
      </c>
      <c r="F6803" t="s">
        <v>15</v>
      </c>
      <c r="G6803" t="s">
        <v>20</v>
      </c>
      <c r="H6803" t="s">
        <v>21</v>
      </c>
      <c r="I6803">
        <v>1</v>
      </c>
      <c r="J6803">
        <v>0</v>
      </c>
      <c r="K6803">
        <v>0</v>
      </c>
    </row>
    <row r="6804" spans="1:11" x14ac:dyDescent="0.25">
      <c r="A6804" t="str">
        <f>"8486"</f>
        <v>8486</v>
      </c>
      <c r="B6804" t="str">
        <f t="shared" si="444"/>
        <v>1</v>
      </c>
      <c r="C6804" t="str">
        <f t="shared" si="445"/>
        <v>366</v>
      </c>
      <c r="D6804" t="str">
        <f>"7"</f>
        <v>7</v>
      </c>
      <c r="E6804" t="str">
        <f>"1-366-7"</f>
        <v>1-366-7</v>
      </c>
      <c r="F6804" t="s">
        <v>15</v>
      </c>
      <c r="G6804" t="s">
        <v>16</v>
      </c>
      <c r="H6804" t="s">
        <v>17</v>
      </c>
      <c r="I6804">
        <v>1</v>
      </c>
      <c r="J6804">
        <v>0</v>
      </c>
      <c r="K6804">
        <v>0</v>
      </c>
    </row>
    <row r="6805" spans="1:11" x14ac:dyDescent="0.25">
      <c r="A6805" t="str">
        <f>"8487"</f>
        <v>8487</v>
      </c>
      <c r="B6805" t="str">
        <f t="shared" si="444"/>
        <v>1</v>
      </c>
      <c r="C6805" t="str">
        <f t="shared" si="445"/>
        <v>366</v>
      </c>
      <c r="D6805" t="str">
        <f>"19"</f>
        <v>19</v>
      </c>
      <c r="E6805" t="str">
        <f>"1-366-19"</f>
        <v>1-366-19</v>
      </c>
      <c r="F6805" t="s">
        <v>15</v>
      </c>
      <c r="G6805" t="s">
        <v>16</v>
      </c>
      <c r="H6805" t="s">
        <v>17</v>
      </c>
      <c r="I6805">
        <v>1</v>
      </c>
      <c r="J6805">
        <v>0</v>
      </c>
      <c r="K6805">
        <v>0</v>
      </c>
    </row>
    <row r="6806" spans="1:11" x14ac:dyDescent="0.25">
      <c r="A6806" t="str">
        <f>"8488"</f>
        <v>8488</v>
      </c>
      <c r="B6806" t="str">
        <f t="shared" si="444"/>
        <v>1</v>
      </c>
      <c r="C6806" t="str">
        <f t="shared" si="445"/>
        <v>366</v>
      </c>
      <c r="D6806" t="str">
        <f>"10"</f>
        <v>10</v>
      </c>
      <c r="E6806" t="str">
        <f>"1-366-10"</f>
        <v>1-366-10</v>
      </c>
      <c r="F6806" t="s">
        <v>15</v>
      </c>
      <c r="G6806" t="s">
        <v>16</v>
      </c>
      <c r="H6806" t="s">
        <v>17</v>
      </c>
      <c r="I6806">
        <v>0</v>
      </c>
      <c r="J6806">
        <v>1</v>
      </c>
      <c r="K6806">
        <v>0</v>
      </c>
    </row>
    <row r="6807" spans="1:11" x14ac:dyDescent="0.25">
      <c r="A6807" t="str">
        <f>"8489"</f>
        <v>8489</v>
      </c>
      <c r="B6807" t="str">
        <f t="shared" si="444"/>
        <v>1</v>
      </c>
      <c r="C6807" t="str">
        <f t="shared" si="445"/>
        <v>366</v>
      </c>
      <c r="D6807" t="str">
        <f>"20"</f>
        <v>20</v>
      </c>
      <c r="E6807" t="str">
        <f>"1-366-20"</f>
        <v>1-366-20</v>
      </c>
      <c r="F6807" t="s">
        <v>15</v>
      </c>
      <c r="G6807" t="s">
        <v>16</v>
      </c>
      <c r="H6807" t="s">
        <v>17</v>
      </c>
      <c r="I6807">
        <v>1</v>
      </c>
      <c r="J6807">
        <v>0</v>
      </c>
      <c r="K6807">
        <v>0</v>
      </c>
    </row>
    <row r="6808" spans="1:11" x14ac:dyDescent="0.25">
      <c r="A6808" t="str">
        <f>"8490"</f>
        <v>8490</v>
      </c>
      <c r="B6808" t="str">
        <f t="shared" si="444"/>
        <v>1</v>
      </c>
      <c r="C6808" t="str">
        <f t="shared" si="445"/>
        <v>366</v>
      </c>
      <c r="D6808" t="str">
        <f>"6"</f>
        <v>6</v>
      </c>
      <c r="E6808" t="str">
        <f>"1-366-6"</f>
        <v>1-366-6</v>
      </c>
      <c r="F6808" t="s">
        <v>15</v>
      </c>
      <c r="G6808" t="s">
        <v>16</v>
      </c>
      <c r="H6808" t="s">
        <v>17</v>
      </c>
      <c r="I6808">
        <v>1</v>
      </c>
      <c r="J6808">
        <v>0</v>
      </c>
      <c r="K6808">
        <v>0</v>
      </c>
    </row>
    <row r="6809" spans="1:11" x14ac:dyDescent="0.25">
      <c r="A6809" t="str">
        <f>"8491"</f>
        <v>8491</v>
      </c>
      <c r="B6809" t="str">
        <f t="shared" si="444"/>
        <v>1</v>
      </c>
      <c r="C6809" t="str">
        <f t="shared" si="445"/>
        <v>366</v>
      </c>
      <c r="D6809" t="str">
        <f>"21"</f>
        <v>21</v>
      </c>
      <c r="E6809" t="str">
        <f>"1-366-21"</f>
        <v>1-366-21</v>
      </c>
      <c r="F6809" t="s">
        <v>15</v>
      </c>
      <c r="G6809" t="s">
        <v>16</v>
      </c>
      <c r="H6809" t="s">
        <v>17</v>
      </c>
      <c r="I6809">
        <v>0</v>
      </c>
      <c r="J6809">
        <v>0</v>
      </c>
      <c r="K6809">
        <v>1</v>
      </c>
    </row>
    <row r="6810" spans="1:11" x14ac:dyDescent="0.25">
      <c r="A6810" t="str">
        <f>"8492"</f>
        <v>8492</v>
      </c>
      <c r="B6810" t="str">
        <f t="shared" si="444"/>
        <v>1</v>
      </c>
      <c r="C6810" t="str">
        <f t="shared" si="445"/>
        <v>366</v>
      </c>
      <c r="D6810" t="str">
        <f>"1"</f>
        <v>1</v>
      </c>
      <c r="E6810" t="str">
        <f>"1-366-1"</f>
        <v>1-366-1</v>
      </c>
      <c r="F6810" t="s">
        <v>15</v>
      </c>
      <c r="G6810" t="s">
        <v>16</v>
      </c>
      <c r="H6810" t="s">
        <v>17</v>
      </c>
      <c r="I6810">
        <v>0</v>
      </c>
      <c r="J6810">
        <v>1</v>
      </c>
      <c r="K6810">
        <v>0</v>
      </c>
    </row>
    <row r="6811" spans="1:11" x14ac:dyDescent="0.25">
      <c r="A6811" t="str">
        <f>"8493"</f>
        <v>8493</v>
      </c>
      <c r="B6811" t="str">
        <f t="shared" si="444"/>
        <v>1</v>
      </c>
      <c r="C6811" t="str">
        <f t="shared" si="445"/>
        <v>366</v>
      </c>
      <c r="D6811" t="str">
        <f>"22"</f>
        <v>22</v>
      </c>
      <c r="E6811" t="str">
        <f>"1-366-22"</f>
        <v>1-366-22</v>
      </c>
      <c r="F6811" t="s">
        <v>15</v>
      </c>
      <c r="G6811" t="s">
        <v>16</v>
      </c>
      <c r="H6811" t="s">
        <v>17</v>
      </c>
      <c r="I6811">
        <v>0</v>
      </c>
      <c r="J6811">
        <v>1</v>
      </c>
      <c r="K6811">
        <v>0</v>
      </c>
    </row>
    <row r="6812" spans="1:11" x14ac:dyDescent="0.25">
      <c r="A6812" t="str">
        <f>"8494"</f>
        <v>8494</v>
      </c>
      <c r="B6812" t="str">
        <f t="shared" si="444"/>
        <v>1</v>
      </c>
      <c r="C6812" t="str">
        <f t="shared" si="445"/>
        <v>366</v>
      </c>
      <c r="D6812" t="str">
        <f>"23"</f>
        <v>23</v>
      </c>
      <c r="E6812" t="str">
        <f>"1-366-23"</f>
        <v>1-366-23</v>
      </c>
      <c r="F6812" t="s">
        <v>15</v>
      </c>
      <c r="G6812" t="s">
        <v>16</v>
      </c>
      <c r="H6812" t="s">
        <v>17</v>
      </c>
      <c r="I6812">
        <v>0</v>
      </c>
      <c r="J6812">
        <v>0</v>
      </c>
      <c r="K6812">
        <v>1</v>
      </c>
    </row>
    <row r="6813" spans="1:11" x14ac:dyDescent="0.25">
      <c r="A6813" t="str">
        <f>"8495"</f>
        <v>8495</v>
      </c>
      <c r="B6813" t="str">
        <f t="shared" si="444"/>
        <v>1</v>
      </c>
      <c r="C6813" t="str">
        <f t="shared" si="445"/>
        <v>366</v>
      </c>
      <c r="D6813" t="str">
        <f>"11"</f>
        <v>11</v>
      </c>
      <c r="E6813" t="str">
        <f>"1-366-11"</f>
        <v>1-366-11</v>
      </c>
      <c r="F6813" t="s">
        <v>15</v>
      </c>
      <c r="G6813" t="s">
        <v>16</v>
      </c>
      <c r="H6813" t="s">
        <v>17</v>
      </c>
      <c r="I6813">
        <v>0</v>
      </c>
      <c r="J6813">
        <v>1</v>
      </c>
      <c r="K6813">
        <v>0</v>
      </c>
    </row>
    <row r="6814" spans="1:11" x14ac:dyDescent="0.25">
      <c r="A6814" t="str">
        <f>"8496"</f>
        <v>8496</v>
      </c>
      <c r="B6814" t="str">
        <f t="shared" si="444"/>
        <v>1</v>
      </c>
      <c r="C6814" t="str">
        <f t="shared" si="445"/>
        <v>366</v>
      </c>
      <c r="D6814" t="str">
        <f>"24"</f>
        <v>24</v>
      </c>
      <c r="E6814" t="str">
        <f>"1-366-24"</f>
        <v>1-366-24</v>
      </c>
      <c r="F6814" t="s">
        <v>15</v>
      </c>
      <c r="G6814" t="s">
        <v>16</v>
      </c>
      <c r="H6814" t="s">
        <v>17</v>
      </c>
      <c r="I6814">
        <v>0</v>
      </c>
      <c r="J6814">
        <v>1</v>
      </c>
      <c r="K6814">
        <v>0</v>
      </c>
    </row>
    <row r="6815" spans="1:11" x14ac:dyDescent="0.25">
      <c r="A6815" t="str">
        <f>"8497"</f>
        <v>8497</v>
      </c>
      <c r="B6815" t="str">
        <f t="shared" si="444"/>
        <v>1</v>
      </c>
      <c r="C6815" t="str">
        <f t="shared" si="445"/>
        <v>366</v>
      </c>
      <c r="D6815" t="str">
        <f>"4"</f>
        <v>4</v>
      </c>
      <c r="E6815" t="str">
        <f>"1-366-4"</f>
        <v>1-366-4</v>
      </c>
      <c r="F6815" t="s">
        <v>15</v>
      </c>
      <c r="G6815" t="s">
        <v>16</v>
      </c>
      <c r="H6815" t="s">
        <v>17</v>
      </c>
      <c r="I6815">
        <v>0</v>
      </c>
      <c r="J6815">
        <v>0</v>
      </c>
      <c r="K6815">
        <v>1</v>
      </c>
    </row>
    <row r="6816" spans="1:11" x14ac:dyDescent="0.25">
      <c r="A6816" t="str">
        <f>"8498"</f>
        <v>8498</v>
      </c>
      <c r="B6816" t="str">
        <f t="shared" si="444"/>
        <v>1</v>
      </c>
      <c r="C6816" t="str">
        <f t="shared" si="445"/>
        <v>366</v>
      </c>
      <c r="D6816" t="str">
        <f>"25"</f>
        <v>25</v>
      </c>
      <c r="E6816" t="str">
        <f>"1-366-25"</f>
        <v>1-366-25</v>
      </c>
      <c r="F6816" t="s">
        <v>15</v>
      </c>
      <c r="G6816" t="s">
        <v>18</v>
      </c>
      <c r="H6816" t="s">
        <v>19</v>
      </c>
      <c r="I6816">
        <v>1</v>
      </c>
      <c r="J6816">
        <v>0</v>
      </c>
      <c r="K6816">
        <v>0</v>
      </c>
    </row>
    <row r="6817" spans="1:11" x14ac:dyDescent="0.25">
      <c r="A6817" t="str">
        <f>"8499"</f>
        <v>8499</v>
      </c>
      <c r="B6817" t="str">
        <f t="shared" si="444"/>
        <v>1</v>
      </c>
      <c r="C6817" t="str">
        <f t="shared" si="445"/>
        <v>366</v>
      </c>
      <c r="D6817" t="str">
        <f>"3"</f>
        <v>3</v>
      </c>
      <c r="E6817" t="str">
        <f>"1-366-3"</f>
        <v>1-366-3</v>
      </c>
      <c r="F6817" t="s">
        <v>15</v>
      </c>
      <c r="G6817" t="s">
        <v>16</v>
      </c>
      <c r="H6817" t="s">
        <v>17</v>
      </c>
      <c r="I6817">
        <v>0</v>
      </c>
      <c r="J6817">
        <v>0</v>
      </c>
      <c r="K6817">
        <v>1</v>
      </c>
    </row>
    <row r="6818" spans="1:11" x14ac:dyDescent="0.25">
      <c r="A6818" t="str">
        <f>"8500"</f>
        <v>8500</v>
      </c>
      <c r="B6818" t="str">
        <f t="shared" si="444"/>
        <v>1</v>
      </c>
      <c r="C6818" t="str">
        <f t="shared" si="445"/>
        <v>366</v>
      </c>
      <c r="D6818" t="str">
        <f>"9"</f>
        <v>9</v>
      </c>
      <c r="E6818" t="str">
        <f>"1-366-9"</f>
        <v>1-366-9</v>
      </c>
      <c r="F6818" t="s">
        <v>15</v>
      </c>
      <c r="G6818" t="s">
        <v>16</v>
      </c>
      <c r="H6818" t="s">
        <v>17</v>
      </c>
      <c r="I6818">
        <v>0</v>
      </c>
      <c r="J6818">
        <v>1</v>
      </c>
      <c r="K6818">
        <v>0</v>
      </c>
    </row>
    <row r="6819" spans="1:11" x14ac:dyDescent="0.25">
      <c r="A6819" t="str">
        <f>"8501"</f>
        <v>8501</v>
      </c>
      <c r="B6819" t="str">
        <f t="shared" si="444"/>
        <v>1</v>
      </c>
      <c r="C6819" t="str">
        <f t="shared" si="445"/>
        <v>366</v>
      </c>
      <c r="D6819" t="str">
        <f>"13"</f>
        <v>13</v>
      </c>
      <c r="E6819" t="str">
        <f>"1-366-13"</f>
        <v>1-366-13</v>
      </c>
      <c r="F6819" t="s">
        <v>15</v>
      </c>
      <c r="G6819" t="s">
        <v>16</v>
      </c>
      <c r="H6819" t="s">
        <v>17</v>
      </c>
      <c r="I6819">
        <v>1</v>
      </c>
      <c r="J6819">
        <v>0</v>
      </c>
      <c r="K6819">
        <v>0</v>
      </c>
    </row>
    <row r="6820" spans="1:11" x14ac:dyDescent="0.25">
      <c r="A6820" t="str">
        <f>"8502"</f>
        <v>8502</v>
      </c>
      <c r="B6820" t="str">
        <f t="shared" si="444"/>
        <v>1</v>
      </c>
      <c r="C6820" t="str">
        <f t="shared" si="445"/>
        <v>366</v>
      </c>
      <c r="D6820" t="str">
        <f>"12"</f>
        <v>12</v>
      </c>
      <c r="E6820" t="str">
        <f>"1-366-12"</f>
        <v>1-366-12</v>
      </c>
      <c r="F6820" t="s">
        <v>15</v>
      </c>
      <c r="G6820" t="s">
        <v>16</v>
      </c>
      <c r="H6820" t="s">
        <v>17</v>
      </c>
      <c r="I6820">
        <v>0</v>
      </c>
      <c r="J6820">
        <v>0</v>
      </c>
      <c r="K6820">
        <v>0</v>
      </c>
    </row>
    <row r="6821" spans="1:11" x14ac:dyDescent="0.25">
      <c r="A6821" t="str">
        <f>"8503"</f>
        <v>8503</v>
      </c>
      <c r="B6821" t="str">
        <f t="shared" si="444"/>
        <v>1</v>
      </c>
      <c r="C6821" t="str">
        <f t="shared" si="445"/>
        <v>366</v>
      </c>
      <c r="D6821" t="str">
        <f>"8"</f>
        <v>8</v>
      </c>
      <c r="E6821" t="str">
        <f>"1-366-8"</f>
        <v>1-366-8</v>
      </c>
      <c r="F6821" t="s">
        <v>15</v>
      </c>
      <c r="G6821" t="s">
        <v>16</v>
      </c>
      <c r="H6821" t="s">
        <v>17</v>
      </c>
      <c r="I6821">
        <v>0</v>
      </c>
      <c r="J6821">
        <v>0</v>
      </c>
      <c r="K6821">
        <v>0</v>
      </c>
    </row>
    <row r="6822" spans="1:11" x14ac:dyDescent="0.25">
      <c r="A6822" t="str">
        <f>"8504"</f>
        <v>8504</v>
      </c>
      <c r="B6822" t="str">
        <f t="shared" si="444"/>
        <v>1</v>
      </c>
      <c r="C6822" t="str">
        <f t="shared" si="445"/>
        <v>366</v>
      </c>
      <c r="D6822" t="str">
        <f>"5"</f>
        <v>5</v>
      </c>
      <c r="E6822" t="str">
        <f>"1-366-5"</f>
        <v>1-366-5</v>
      </c>
      <c r="F6822" t="s">
        <v>15</v>
      </c>
      <c r="G6822" t="s">
        <v>16</v>
      </c>
      <c r="H6822" t="s">
        <v>17</v>
      </c>
      <c r="I6822">
        <v>0</v>
      </c>
      <c r="J6822">
        <v>0</v>
      </c>
      <c r="K6822">
        <v>0</v>
      </c>
    </row>
    <row r="6823" spans="1:11" x14ac:dyDescent="0.25">
      <c r="A6823" t="str">
        <f>"8505"</f>
        <v>8505</v>
      </c>
      <c r="B6823" t="str">
        <f t="shared" si="444"/>
        <v>1</v>
      </c>
      <c r="C6823" t="str">
        <f t="shared" ref="C6823:C6847" si="446">"367"</f>
        <v>367</v>
      </c>
      <c r="D6823" t="str">
        <f>"20"</f>
        <v>20</v>
      </c>
      <c r="E6823" t="str">
        <f>"1-367-20"</f>
        <v>1-367-20</v>
      </c>
      <c r="F6823" t="s">
        <v>15</v>
      </c>
      <c r="G6823" t="s">
        <v>16</v>
      </c>
      <c r="H6823" t="s">
        <v>17</v>
      </c>
      <c r="I6823">
        <v>0</v>
      </c>
      <c r="J6823">
        <v>0</v>
      </c>
      <c r="K6823">
        <v>1</v>
      </c>
    </row>
    <row r="6824" spans="1:11" x14ac:dyDescent="0.25">
      <c r="A6824" t="str">
        <f>"8506"</f>
        <v>8506</v>
      </c>
      <c r="B6824" t="str">
        <f t="shared" si="444"/>
        <v>1</v>
      </c>
      <c r="C6824" t="str">
        <f t="shared" si="446"/>
        <v>367</v>
      </c>
      <c r="D6824" t="str">
        <f>"19"</f>
        <v>19</v>
      </c>
      <c r="E6824" t="str">
        <f>"1-367-19"</f>
        <v>1-367-19</v>
      </c>
      <c r="F6824" t="s">
        <v>15</v>
      </c>
      <c r="G6824" t="s">
        <v>18</v>
      </c>
      <c r="H6824" t="s">
        <v>19</v>
      </c>
      <c r="I6824">
        <v>0</v>
      </c>
      <c r="J6824">
        <v>0</v>
      </c>
      <c r="K6824">
        <v>1</v>
      </c>
    </row>
    <row r="6825" spans="1:11" x14ac:dyDescent="0.25">
      <c r="A6825" t="str">
        <f>"8507"</f>
        <v>8507</v>
      </c>
      <c r="B6825" t="str">
        <f t="shared" si="444"/>
        <v>1</v>
      </c>
      <c r="C6825" t="str">
        <f t="shared" si="446"/>
        <v>367</v>
      </c>
      <c r="D6825" t="str">
        <f>"17"</f>
        <v>17</v>
      </c>
      <c r="E6825" t="str">
        <f>"1-367-17"</f>
        <v>1-367-17</v>
      </c>
      <c r="F6825" t="s">
        <v>15</v>
      </c>
      <c r="G6825" t="s">
        <v>18</v>
      </c>
      <c r="H6825" t="s">
        <v>19</v>
      </c>
      <c r="I6825">
        <v>0</v>
      </c>
      <c r="J6825">
        <v>0</v>
      </c>
      <c r="K6825">
        <v>1</v>
      </c>
    </row>
    <row r="6826" spans="1:11" x14ac:dyDescent="0.25">
      <c r="A6826" t="str">
        <f>"8508"</f>
        <v>8508</v>
      </c>
      <c r="B6826" t="str">
        <f t="shared" si="444"/>
        <v>1</v>
      </c>
      <c r="C6826" t="str">
        <f t="shared" si="446"/>
        <v>367</v>
      </c>
      <c r="D6826" t="str">
        <f>"15"</f>
        <v>15</v>
      </c>
      <c r="E6826" t="str">
        <f>"1-367-15"</f>
        <v>1-367-15</v>
      </c>
      <c r="F6826" t="s">
        <v>15</v>
      </c>
      <c r="G6826" t="s">
        <v>16</v>
      </c>
      <c r="H6826" t="s">
        <v>17</v>
      </c>
      <c r="I6826">
        <v>1</v>
      </c>
      <c r="J6826">
        <v>0</v>
      </c>
      <c r="K6826">
        <v>0</v>
      </c>
    </row>
    <row r="6827" spans="1:11" x14ac:dyDescent="0.25">
      <c r="A6827" t="str">
        <f>"8509"</f>
        <v>8509</v>
      </c>
      <c r="B6827" t="str">
        <f t="shared" si="444"/>
        <v>1</v>
      </c>
      <c r="C6827" t="str">
        <f t="shared" si="446"/>
        <v>367</v>
      </c>
      <c r="D6827" t="str">
        <f>"3"</f>
        <v>3</v>
      </c>
      <c r="E6827" t="str">
        <f>"1-367-3"</f>
        <v>1-367-3</v>
      </c>
      <c r="F6827" t="s">
        <v>15</v>
      </c>
      <c r="G6827" t="s">
        <v>16</v>
      </c>
      <c r="H6827" t="s">
        <v>17</v>
      </c>
      <c r="I6827">
        <v>0</v>
      </c>
      <c r="J6827">
        <v>0</v>
      </c>
      <c r="K6827">
        <v>1</v>
      </c>
    </row>
    <row r="6828" spans="1:11" x14ac:dyDescent="0.25">
      <c r="A6828" t="str">
        <f>"8510"</f>
        <v>8510</v>
      </c>
      <c r="B6828" t="str">
        <f t="shared" si="444"/>
        <v>1</v>
      </c>
      <c r="C6828" t="str">
        <f t="shared" si="446"/>
        <v>367</v>
      </c>
      <c r="D6828" t="str">
        <f>"22"</f>
        <v>22</v>
      </c>
      <c r="E6828" t="str">
        <f>"1-367-22"</f>
        <v>1-367-22</v>
      </c>
      <c r="F6828" t="s">
        <v>15</v>
      </c>
      <c r="G6828" t="s">
        <v>16</v>
      </c>
      <c r="H6828" t="s">
        <v>17</v>
      </c>
      <c r="I6828">
        <v>0</v>
      </c>
      <c r="J6828">
        <v>1</v>
      </c>
      <c r="K6828">
        <v>0</v>
      </c>
    </row>
    <row r="6829" spans="1:11" x14ac:dyDescent="0.25">
      <c r="A6829" t="str">
        <f>"8511"</f>
        <v>8511</v>
      </c>
      <c r="B6829" t="str">
        <f t="shared" si="444"/>
        <v>1</v>
      </c>
      <c r="C6829" t="str">
        <f t="shared" si="446"/>
        <v>367</v>
      </c>
      <c r="D6829" t="str">
        <f>"5"</f>
        <v>5</v>
      </c>
      <c r="E6829" t="str">
        <f>"1-367-5"</f>
        <v>1-367-5</v>
      </c>
      <c r="F6829" t="s">
        <v>15</v>
      </c>
      <c r="G6829" t="s">
        <v>16</v>
      </c>
      <c r="H6829" t="s">
        <v>17</v>
      </c>
      <c r="I6829">
        <v>0</v>
      </c>
      <c r="J6829">
        <v>0</v>
      </c>
      <c r="K6829">
        <v>1</v>
      </c>
    </row>
    <row r="6830" spans="1:11" x14ac:dyDescent="0.25">
      <c r="A6830" t="str">
        <f>"8512"</f>
        <v>8512</v>
      </c>
      <c r="B6830" t="str">
        <f t="shared" si="444"/>
        <v>1</v>
      </c>
      <c r="C6830" t="str">
        <f t="shared" si="446"/>
        <v>367</v>
      </c>
      <c r="D6830" t="str">
        <f>"18"</f>
        <v>18</v>
      </c>
      <c r="E6830" t="str">
        <f>"1-367-18"</f>
        <v>1-367-18</v>
      </c>
      <c r="F6830" t="s">
        <v>15</v>
      </c>
      <c r="G6830" t="s">
        <v>18</v>
      </c>
      <c r="H6830" t="s">
        <v>19</v>
      </c>
      <c r="I6830">
        <v>0</v>
      </c>
      <c r="J6830">
        <v>0</v>
      </c>
      <c r="K6830">
        <v>1</v>
      </c>
    </row>
    <row r="6831" spans="1:11" x14ac:dyDescent="0.25">
      <c r="A6831" t="str">
        <f>"8513"</f>
        <v>8513</v>
      </c>
      <c r="B6831" t="str">
        <f t="shared" si="444"/>
        <v>1</v>
      </c>
      <c r="C6831" t="str">
        <f t="shared" si="446"/>
        <v>367</v>
      </c>
      <c r="D6831" t="str">
        <f>"9"</f>
        <v>9</v>
      </c>
      <c r="E6831" t="str">
        <f>"1-367-9"</f>
        <v>1-367-9</v>
      </c>
      <c r="F6831" t="s">
        <v>15</v>
      </c>
      <c r="G6831" t="s">
        <v>16</v>
      </c>
      <c r="H6831" t="s">
        <v>17</v>
      </c>
      <c r="I6831">
        <v>1</v>
      </c>
      <c r="J6831">
        <v>0</v>
      </c>
      <c r="K6831">
        <v>0</v>
      </c>
    </row>
    <row r="6832" spans="1:11" x14ac:dyDescent="0.25">
      <c r="A6832" t="str">
        <f>"8514"</f>
        <v>8514</v>
      </c>
      <c r="B6832" t="str">
        <f t="shared" si="444"/>
        <v>1</v>
      </c>
      <c r="C6832" t="str">
        <f t="shared" si="446"/>
        <v>367</v>
      </c>
      <c r="D6832" t="str">
        <f>"21"</f>
        <v>21</v>
      </c>
      <c r="E6832" t="str">
        <f>"1-367-21"</f>
        <v>1-367-21</v>
      </c>
      <c r="F6832" t="s">
        <v>15</v>
      </c>
      <c r="G6832" t="s">
        <v>16</v>
      </c>
      <c r="H6832" t="s">
        <v>17</v>
      </c>
      <c r="I6832">
        <v>1</v>
      </c>
      <c r="J6832">
        <v>0</v>
      </c>
      <c r="K6832">
        <v>0</v>
      </c>
    </row>
    <row r="6833" spans="1:11" x14ac:dyDescent="0.25">
      <c r="A6833" t="str">
        <f>"8515"</f>
        <v>8515</v>
      </c>
      <c r="B6833" t="str">
        <f t="shared" si="444"/>
        <v>1</v>
      </c>
      <c r="C6833" t="str">
        <f t="shared" si="446"/>
        <v>367</v>
      </c>
      <c r="D6833" t="str">
        <f>"12"</f>
        <v>12</v>
      </c>
      <c r="E6833" t="str">
        <f>"1-367-12"</f>
        <v>1-367-12</v>
      </c>
      <c r="F6833" t="s">
        <v>15</v>
      </c>
      <c r="G6833" t="s">
        <v>16</v>
      </c>
      <c r="H6833" t="s">
        <v>17</v>
      </c>
      <c r="I6833">
        <v>1</v>
      </c>
      <c r="J6833">
        <v>0</v>
      </c>
      <c r="K6833">
        <v>0</v>
      </c>
    </row>
    <row r="6834" spans="1:11" x14ac:dyDescent="0.25">
      <c r="A6834" t="str">
        <f>"8516"</f>
        <v>8516</v>
      </c>
      <c r="B6834" t="str">
        <f t="shared" si="444"/>
        <v>1</v>
      </c>
      <c r="C6834" t="str">
        <f t="shared" si="446"/>
        <v>367</v>
      </c>
      <c r="D6834" t="str">
        <f>"23"</f>
        <v>23</v>
      </c>
      <c r="E6834" t="str">
        <f>"1-367-23"</f>
        <v>1-367-23</v>
      </c>
      <c r="F6834" t="s">
        <v>15</v>
      </c>
      <c r="G6834" t="s">
        <v>16</v>
      </c>
      <c r="H6834" t="s">
        <v>17</v>
      </c>
      <c r="I6834">
        <v>0</v>
      </c>
      <c r="J6834">
        <v>0</v>
      </c>
      <c r="K6834">
        <v>1</v>
      </c>
    </row>
    <row r="6835" spans="1:11" x14ac:dyDescent="0.25">
      <c r="A6835" t="str">
        <f>"8517"</f>
        <v>8517</v>
      </c>
      <c r="B6835" t="str">
        <f t="shared" si="444"/>
        <v>1</v>
      </c>
      <c r="C6835" t="str">
        <f t="shared" si="446"/>
        <v>367</v>
      </c>
      <c r="D6835" t="str">
        <f>"14"</f>
        <v>14</v>
      </c>
      <c r="E6835" t="str">
        <f>"1-367-14"</f>
        <v>1-367-14</v>
      </c>
      <c r="F6835" t="s">
        <v>15</v>
      </c>
      <c r="G6835" t="s">
        <v>16</v>
      </c>
      <c r="H6835" t="s">
        <v>17</v>
      </c>
      <c r="I6835">
        <v>0</v>
      </c>
      <c r="J6835">
        <v>1</v>
      </c>
      <c r="K6835">
        <v>0</v>
      </c>
    </row>
    <row r="6836" spans="1:11" x14ac:dyDescent="0.25">
      <c r="A6836" t="str">
        <f>"8518"</f>
        <v>8518</v>
      </c>
      <c r="B6836" t="str">
        <f t="shared" si="444"/>
        <v>1</v>
      </c>
      <c r="C6836" t="str">
        <f t="shared" si="446"/>
        <v>367</v>
      </c>
      <c r="D6836" t="str">
        <f>"11"</f>
        <v>11</v>
      </c>
      <c r="E6836" t="str">
        <f>"1-367-11"</f>
        <v>1-367-11</v>
      </c>
      <c r="F6836" t="s">
        <v>15</v>
      </c>
      <c r="G6836" t="s">
        <v>16</v>
      </c>
      <c r="H6836" t="s">
        <v>17</v>
      </c>
      <c r="I6836">
        <v>1</v>
      </c>
      <c r="J6836">
        <v>0</v>
      </c>
      <c r="K6836">
        <v>0</v>
      </c>
    </row>
    <row r="6837" spans="1:11" x14ac:dyDescent="0.25">
      <c r="A6837" t="str">
        <f>"8519"</f>
        <v>8519</v>
      </c>
      <c r="B6837" t="str">
        <f t="shared" si="444"/>
        <v>1</v>
      </c>
      <c r="C6837" t="str">
        <f t="shared" si="446"/>
        <v>367</v>
      </c>
      <c r="D6837" t="str">
        <f>"25"</f>
        <v>25</v>
      </c>
      <c r="E6837" t="str">
        <f>"1-367-25"</f>
        <v>1-367-25</v>
      </c>
      <c r="F6837" t="s">
        <v>15</v>
      </c>
      <c r="G6837" t="s">
        <v>18</v>
      </c>
      <c r="H6837" t="s">
        <v>19</v>
      </c>
      <c r="I6837">
        <v>0</v>
      </c>
      <c r="J6837">
        <v>1</v>
      </c>
      <c r="K6837">
        <v>0</v>
      </c>
    </row>
    <row r="6838" spans="1:11" x14ac:dyDescent="0.25">
      <c r="A6838" t="str">
        <f>"8520"</f>
        <v>8520</v>
      </c>
      <c r="B6838" t="str">
        <f t="shared" si="444"/>
        <v>1</v>
      </c>
      <c r="C6838" t="str">
        <f t="shared" si="446"/>
        <v>367</v>
      </c>
      <c r="D6838" t="str">
        <f>"13"</f>
        <v>13</v>
      </c>
      <c r="E6838" t="str">
        <f>"1-367-13"</f>
        <v>1-367-13</v>
      </c>
      <c r="F6838" t="s">
        <v>15</v>
      </c>
      <c r="G6838" t="s">
        <v>18</v>
      </c>
      <c r="H6838" t="s">
        <v>19</v>
      </c>
      <c r="I6838">
        <v>1</v>
      </c>
      <c r="J6838">
        <v>0</v>
      </c>
      <c r="K6838">
        <v>0</v>
      </c>
    </row>
    <row r="6839" spans="1:11" x14ac:dyDescent="0.25">
      <c r="A6839" t="str">
        <f>"8521"</f>
        <v>8521</v>
      </c>
      <c r="B6839" t="str">
        <f t="shared" si="444"/>
        <v>1</v>
      </c>
      <c r="C6839" t="str">
        <f t="shared" si="446"/>
        <v>367</v>
      </c>
      <c r="D6839" t="str">
        <f>"8"</f>
        <v>8</v>
      </c>
      <c r="E6839" t="str">
        <f>"1-367-8"</f>
        <v>1-367-8</v>
      </c>
      <c r="F6839" t="s">
        <v>15</v>
      </c>
      <c r="G6839" t="s">
        <v>16</v>
      </c>
      <c r="H6839" t="s">
        <v>17</v>
      </c>
      <c r="I6839">
        <v>1</v>
      </c>
      <c r="J6839">
        <v>0</v>
      </c>
      <c r="K6839">
        <v>0</v>
      </c>
    </row>
    <row r="6840" spans="1:11" x14ac:dyDescent="0.25">
      <c r="A6840" t="str">
        <f>"8522"</f>
        <v>8522</v>
      </c>
      <c r="B6840" t="str">
        <f t="shared" si="444"/>
        <v>1</v>
      </c>
      <c r="C6840" t="str">
        <f t="shared" si="446"/>
        <v>367</v>
      </c>
      <c r="D6840" t="str">
        <f>"6"</f>
        <v>6</v>
      </c>
      <c r="E6840" t="str">
        <f>"1-367-6"</f>
        <v>1-367-6</v>
      </c>
      <c r="F6840" t="s">
        <v>15</v>
      </c>
      <c r="G6840" t="s">
        <v>16</v>
      </c>
      <c r="H6840" t="s">
        <v>17</v>
      </c>
      <c r="I6840">
        <v>0</v>
      </c>
      <c r="J6840">
        <v>0</v>
      </c>
      <c r="K6840">
        <v>1</v>
      </c>
    </row>
    <row r="6841" spans="1:11" x14ac:dyDescent="0.25">
      <c r="A6841" t="str">
        <f>"8523"</f>
        <v>8523</v>
      </c>
      <c r="B6841" t="str">
        <f t="shared" si="444"/>
        <v>1</v>
      </c>
      <c r="C6841" t="str">
        <f t="shared" si="446"/>
        <v>367</v>
      </c>
      <c r="D6841" t="str">
        <f>"7"</f>
        <v>7</v>
      </c>
      <c r="E6841" t="str">
        <f>"1-367-7"</f>
        <v>1-367-7</v>
      </c>
      <c r="F6841" t="s">
        <v>15</v>
      </c>
      <c r="G6841" t="s">
        <v>16</v>
      </c>
      <c r="H6841" t="s">
        <v>17</v>
      </c>
      <c r="I6841">
        <v>1</v>
      </c>
      <c r="J6841">
        <v>0</v>
      </c>
      <c r="K6841">
        <v>0</v>
      </c>
    </row>
    <row r="6842" spans="1:11" x14ac:dyDescent="0.25">
      <c r="A6842" t="str">
        <f>"8524"</f>
        <v>8524</v>
      </c>
      <c r="B6842" t="str">
        <f t="shared" si="444"/>
        <v>1</v>
      </c>
      <c r="C6842" t="str">
        <f t="shared" si="446"/>
        <v>367</v>
      </c>
      <c r="D6842" t="str">
        <f>"1"</f>
        <v>1</v>
      </c>
      <c r="E6842" t="str">
        <f>"1-367-1"</f>
        <v>1-367-1</v>
      </c>
      <c r="F6842" t="s">
        <v>15</v>
      </c>
      <c r="G6842" t="s">
        <v>18</v>
      </c>
      <c r="H6842" t="s">
        <v>19</v>
      </c>
      <c r="I6842">
        <v>1</v>
      </c>
      <c r="J6842">
        <v>0</v>
      </c>
      <c r="K6842">
        <v>0</v>
      </c>
    </row>
    <row r="6843" spans="1:11" x14ac:dyDescent="0.25">
      <c r="A6843" t="str">
        <f>"8525"</f>
        <v>8525</v>
      </c>
      <c r="B6843" t="str">
        <f t="shared" si="444"/>
        <v>1</v>
      </c>
      <c r="C6843" t="str">
        <f t="shared" si="446"/>
        <v>367</v>
      </c>
      <c r="D6843" t="str">
        <f>"4"</f>
        <v>4</v>
      </c>
      <c r="E6843" t="str">
        <f>"1-367-4"</f>
        <v>1-367-4</v>
      </c>
      <c r="F6843" t="s">
        <v>15</v>
      </c>
      <c r="G6843" t="s">
        <v>16</v>
      </c>
      <c r="H6843" t="s">
        <v>17</v>
      </c>
      <c r="I6843">
        <v>1</v>
      </c>
      <c r="J6843">
        <v>0</v>
      </c>
      <c r="K6843">
        <v>0</v>
      </c>
    </row>
    <row r="6844" spans="1:11" x14ac:dyDescent="0.25">
      <c r="A6844" t="str">
        <f>"8526"</f>
        <v>8526</v>
      </c>
      <c r="B6844" t="str">
        <f t="shared" si="444"/>
        <v>1</v>
      </c>
      <c r="C6844" t="str">
        <f t="shared" si="446"/>
        <v>367</v>
      </c>
      <c r="D6844" t="str">
        <f>"10"</f>
        <v>10</v>
      </c>
      <c r="E6844" t="str">
        <f>"1-367-10"</f>
        <v>1-367-10</v>
      </c>
      <c r="F6844" t="s">
        <v>15</v>
      </c>
      <c r="G6844" t="s">
        <v>20</v>
      </c>
      <c r="H6844" t="s">
        <v>21</v>
      </c>
      <c r="I6844">
        <v>0</v>
      </c>
      <c r="J6844">
        <v>1</v>
      </c>
      <c r="K6844">
        <v>0</v>
      </c>
    </row>
    <row r="6845" spans="1:11" x14ac:dyDescent="0.25">
      <c r="A6845" t="str">
        <f>"8527"</f>
        <v>8527</v>
      </c>
      <c r="B6845" t="str">
        <f t="shared" si="444"/>
        <v>1</v>
      </c>
      <c r="C6845" t="str">
        <f t="shared" si="446"/>
        <v>367</v>
      </c>
      <c r="D6845" t="str">
        <f>"2"</f>
        <v>2</v>
      </c>
      <c r="E6845" t="str">
        <f>"1-367-2"</f>
        <v>1-367-2</v>
      </c>
      <c r="F6845" t="s">
        <v>15</v>
      </c>
      <c r="G6845" t="s">
        <v>16</v>
      </c>
      <c r="H6845" t="s">
        <v>17</v>
      </c>
      <c r="I6845">
        <v>1</v>
      </c>
      <c r="J6845">
        <v>0</v>
      </c>
      <c r="K6845">
        <v>0</v>
      </c>
    </row>
    <row r="6846" spans="1:11" x14ac:dyDescent="0.25">
      <c r="A6846" t="str">
        <f>"8528"</f>
        <v>8528</v>
      </c>
      <c r="B6846" t="str">
        <f t="shared" si="444"/>
        <v>1</v>
      </c>
      <c r="C6846" t="str">
        <f t="shared" si="446"/>
        <v>367</v>
      </c>
      <c r="D6846" t="str">
        <f>"16"</f>
        <v>16</v>
      </c>
      <c r="E6846" t="str">
        <f>"1-367-16"</f>
        <v>1-367-16</v>
      </c>
      <c r="F6846" t="s">
        <v>15</v>
      </c>
      <c r="G6846" t="s">
        <v>16</v>
      </c>
      <c r="H6846" t="s">
        <v>17</v>
      </c>
      <c r="I6846">
        <v>0</v>
      </c>
      <c r="J6846">
        <v>0</v>
      </c>
      <c r="K6846">
        <v>1</v>
      </c>
    </row>
    <row r="6847" spans="1:11" x14ac:dyDescent="0.25">
      <c r="A6847" t="str">
        <f>"8529"</f>
        <v>8529</v>
      </c>
      <c r="B6847" t="str">
        <f t="shared" si="444"/>
        <v>1</v>
      </c>
      <c r="C6847" t="str">
        <f t="shared" si="446"/>
        <v>367</v>
      </c>
      <c r="D6847" t="str">
        <f>"24"</f>
        <v>24</v>
      </c>
      <c r="E6847" t="str">
        <f>"1-367-24"</f>
        <v>1-367-24</v>
      </c>
      <c r="F6847" t="s">
        <v>15</v>
      </c>
      <c r="G6847" t="s">
        <v>18</v>
      </c>
      <c r="H6847" t="s">
        <v>19</v>
      </c>
      <c r="I6847">
        <v>0</v>
      </c>
      <c r="J6847">
        <v>1</v>
      </c>
      <c r="K6847">
        <v>0</v>
      </c>
    </row>
    <row r="6848" spans="1:11" x14ac:dyDescent="0.25">
      <c r="A6848" t="str">
        <f>"8531"</f>
        <v>8531</v>
      </c>
      <c r="B6848" t="str">
        <f t="shared" si="444"/>
        <v>1</v>
      </c>
      <c r="C6848" t="str">
        <f t="shared" ref="C6848:C6873" si="447">"368"</f>
        <v>368</v>
      </c>
      <c r="D6848" t="str">
        <f>"15"</f>
        <v>15</v>
      </c>
      <c r="E6848" t="str">
        <f>"1-368-15"</f>
        <v>1-368-15</v>
      </c>
      <c r="F6848" t="s">
        <v>15</v>
      </c>
      <c r="G6848" t="s">
        <v>16</v>
      </c>
      <c r="H6848" t="s">
        <v>17</v>
      </c>
      <c r="I6848">
        <v>1</v>
      </c>
      <c r="J6848">
        <v>0</v>
      </c>
      <c r="K6848">
        <v>0</v>
      </c>
    </row>
    <row r="6849" spans="1:11" x14ac:dyDescent="0.25">
      <c r="A6849" t="str">
        <f>"8532"</f>
        <v>8532</v>
      </c>
      <c r="B6849" t="str">
        <f t="shared" si="444"/>
        <v>1</v>
      </c>
      <c r="C6849" t="str">
        <f t="shared" si="447"/>
        <v>368</v>
      </c>
      <c r="D6849" t="str">
        <f>"21"</f>
        <v>21</v>
      </c>
      <c r="E6849" t="str">
        <f>"1-368-21"</f>
        <v>1-368-21</v>
      </c>
      <c r="F6849" t="s">
        <v>15</v>
      </c>
      <c r="G6849" t="s">
        <v>18</v>
      </c>
      <c r="H6849" t="s">
        <v>19</v>
      </c>
      <c r="I6849">
        <v>1</v>
      </c>
      <c r="J6849">
        <v>0</v>
      </c>
      <c r="K6849">
        <v>0</v>
      </c>
    </row>
    <row r="6850" spans="1:11" x14ac:dyDescent="0.25">
      <c r="A6850" t="str">
        <f>"8533"</f>
        <v>8533</v>
      </c>
      <c r="B6850" t="str">
        <f t="shared" si="444"/>
        <v>1</v>
      </c>
      <c r="C6850" t="str">
        <f t="shared" si="447"/>
        <v>368</v>
      </c>
      <c r="D6850" t="str">
        <f>"16"</f>
        <v>16</v>
      </c>
      <c r="E6850" t="str">
        <f>"1-368-16"</f>
        <v>1-368-16</v>
      </c>
      <c r="F6850" t="s">
        <v>15</v>
      </c>
      <c r="G6850" t="s">
        <v>18</v>
      </c>
      <c r="H6850" t="s">
        <v>19</v>
      </c>
      <c r="I6850">
        <v>1</v>
      </c>
      <c r="J6850">
        <v>0</v>
      </c>
      <c r="K6850">
        <v>0</v>
      </c>
    </row>
    <row r="6851" spans="1:11" x14ac:dyDescent="0.25">
      <c r="A6851" t="str">
        <f>"8534"</f>
        <v>8534</v>
      </c>
      <c r="B6851" t="str">
        <f t="shared" si="444"/>
        <v>1</v>
      </c>
      <c r="C6851" t="str">
        <f t="shared" si="447"/>
        <v>368</v>
      </c>
      <c r="D6851" t="str">
        <f>"1"</f>
        <v>1</v>
      </c>
      <c r="E6851" t="str">
        <f>"1-368-1"</f>
        <v>1-368-1</v>
      </c>
      <c r="F6851" t="s">
        <v>15</v>
      </c>
      <c r="G6851" t="s">
        <v>18</v>
      </c>
      <c r="H6851" t="s">
        <v>19</v>
      </c>
      <c r="I6851">
        <v>0</v>
      </c>
      <c r="J6851">
        <v>0</v>
      </c>
      <c r="K6851">
        <v>1</v>
      </c>
    </row>
    <row r="6852" spans="1:11" x14ac:dyDescent="0.25">
      <c r="A6852" t="str">
        <f>"8535"</f>
        <v>8535</v>
      </c>
      <c r="B6852" t="str">
        <f t="shared" si="444"/>
        <v>1</v>
      </c>
      <c r="C6852" t="str">
        <f t="shared" si="447"/>
        <v>368</v>
      </c>
      <c r="D6852" t="str">
        <f>"17"</f>
        <v>17</v>
      </c>
      <c r="E6852" t="str">
        <f>"1-368-17"</f>
        <v>1-368-17</v>
      </c>
      <c r="F6852" t="s">
        <v>15</v>
      </c>
      <c r="G6852" t="s">
        <v>18</v>
      </c>
      <c r="H6852" t="s">
        <v>19</v>
      </c>
      <c r="I6852">
        <v>1</v>
      </c>
      <c r="J6852">
        <v>0</v>
      </c>
      <c r="K6852">
        <v>0</v>
      </c>
    </row>
    <row r="6853" spans="1:11" x14ac:dyDescent="0.25">
      <c r="A6853" t="str">
        <f>"8537"</f>
        <v>8537</v>
      </c>
      <c r="B6853" t="str">
        <f t="shared" si="444"/>
        <v>1</v>
      </c>
      <c r="C6853" t="str">
        <f t="shared" si="447"/>
        <v>368</v>
      </c>
      <c r="D6853" t="str">
        <f>"18"</f>
        <v>18</v>
      </c>
      <c r="E6853" t="str">
        <f>"1-368-18"</f>
        <v>1-368-18</v>
      </c>
      <c r="F6853" t="s">
        <v>15</v>
      </c>
      <c r="G6853" t="s">
        <v>16</v>
      </c>
      <c r="H6853" t="s">
        <v>17</v>
      </c>
      <c r="I6853">
        <v>0</v>
      </c>
      <c r="J6853">
        <v>0</v>
      </c>
      <c r="K6853">
        <v>1</v>
      </c>
    </row>
    <row r="6854" spans="1:11" x14ac:dyDescent="0.25">
      <c r="A6854" t="str">
        <f>"8538"</f>
        <v>8538</v>
      </c>
      <c r="B6854" t="str">
        <f t="shared" ref="B6854:B6904" si="448">"1"</f>
        <v>1</v>
      </c>
      <c r="C6854" t="str">
        <f t="shared" si="447"/>
        <v>368</v>
      </c>
      <c r="D6854" t="str">
        <f>"12"</f>
        <v>12</v>
      </c>
      <c r="E6854" t="str">
        <f>"1-368-12"</f>
        <v>1-368-12</v>
      </c>
      <c r="F6854" t="s">
        <v>15</v>
      </c>
      <c r="G6854" t="s">
        <v>16</v>
      </c>
      <c r="H6854" t="s">
        <v>17</v>
      </c>
      <c r="I6854">
        <v>0</v>
      </c>
      <c r="J6854">
        <v>0</v>
      </c>
      <c r="K6854">
        <v>1</v>
      </c>
    </row>
    <row r="6855" spans="1:11" x14ac:dyDescent="0.25">
      <c r="A6855" t="str">
        <f>"8539"</f>
        <v>8539</v>
      </c>
      <c r="B6855" t="str">
        <f t="shared" si="448"/>
        <v>1</v>
      </c>
      <c r="C6855" t="str">
        <f t="shared" si="447"/>
        <v>368</v>
      </c>
      <c r="D6855" t="str">
        <f>"19"</f>
        <v>19</v>
      </c>
      <c r="E6855" t="str">
        <f>"1-368-19"</f>
        <v>1-368-19</v>
      </c>
      <c r="F6855" t="s">
        <v>15</v>
      </c>
      <c r="G6855" t="s">
        <v>16</v>
      </c>
      <c r="H6855" t="s">
        <v>17</v>
      </c>
      <c r="I6855">
        <v>0</v>
      </c>
      <c r="J6855">
        <v>0</v>
      </c>
      <c r="K6855">
        <v>1</v>
      </c>
    </row>
    <row r="6856" spans="1:11" x14ac:dyDescent="0.25">
      <c r="A6856" t="str">
        <f>"8541"</f>
        <v>8541</v>
      </c>
      <c r="B6856" t="str">
        <f t="shared" si="448"/>
        <v>1</v>
      </c>
      <c r="C6856" t="str">
        <f t="shared" si="447"/>
        <v>368</v>
      </c>
      <c r="D6856" t="str">
        <f>"20"</f>
        <v>20</v>
      </c>
      <c r="E6856" t="str">
        <f>"1-368-20"</f>
        <v>1-368-20</v>
      </c>
      <c r="F6856" t="s">
        <v>15</v>
      </c>
      <c r="G6856" t="s">
        <v>18</v>
      </c>
      <c r="H6856" t="s">
        <v>19</v>
      </c>
      <c r="I6856">
        <v>0</v>
      </c>
      <c r="J6856">
        <v>0</v>
      </c>
      <c r="K6856">
        <v>1</v>
      </c>
    </row>
    <row r="6857" spans="1:11" x14ac:dyDescent="0.25">
      <c r="A6857" t="str">
        <f>"8542"</f>
        <v>8542</v>
      </c>
      <c r="B6857" t="str">
        <f t="shared" si="448"/>
        <v>1</v>
      </c>
      <c r="C6857" t="str">
        <f t="shared" si="447"/>
        <v>368</v>
      </c>
      <c r="D6857" t="str">
        <f>"4"</f>
        <v>4</v>
      </c>
      <c r="E6857" t="str">
        <f>"1-368-4"</f>
        <v>1-368-4</v>
      </c>
      <c r="F6857" t="s">
        <v>15</v>
      </c>
      <c r="G6857" t="s">
        <v>16</v>
      </c>
      <c r="H6857" t="s">
        <v>17</v>
      </c>
      <c r="I6857">
        <v>0</v>
      </c>
      <c r="J6857">
        <v>0</v>
      </c>
      <c r="K6857">
        <v>1</v>
      </c>
    </row>
    <row r="6858" spans="1:11" x14ac:dyDescent="0.25">
      <c r="A6858" t="str">
        <f>"8543"</f>
        <v>8543</v>
      </c>
      <c r="B6858" t="str">
        <f t="shared" si="448"/>
        <v>1</v>
      </c>
      <c r="C6858" t="str">
        <f t="shared" si="447"/>
        <v>368</v>
      </c>
      <c r="D6858" t="str">
        <f>"22"</f>
        <v>22</v>
      </c>
      <c r="E6858" t="str">
        <f>"1-368-22"</f>
        <v>1-368-22</v>
      </c>
      <c r="F6858" t="s">
        <v>15</v>
      </c>
      <c r="G6858" t="s">
        <v>18</v>
      </c>
      <c r="H6858" t="s">
        <v>19</v>
      </c>
      <c r="I6858">
        <v>1</v>
      </c>
      <c r="J6858">
        <v>0</v>
      </c>
      <c r="K6858">
        <v>0</v>
      </c>
    </row>
    <row r="6859" spans="1:11" x14ac:dyDescent="0.25">
      <c r="A6859" t="str">
        <f>"8544"</f>
        <v>8544</v>
      </c>
      <c r="B6859" t="str">
        <f t="shared" si="448"/>
        <v>1</v>
      </c>
      <c r="C6859" t="str">
        <f t="shared" si="447"/>
        <v>368</v>
      </c>
      <c r="D6859" t="str">
        <f>"11"</f>
        <v>11</v>
      </c>
      <c r="E6859" t="str">
        <f>"1-368-11"</f>
        <v>1-368-11</v>
      </c>
      <c r="F6859" t="s">
        <v>15</v>
      </c>
      <c r="G6859" t="s">
        <v>18</v>
      </c>
      <c r="H6859" t="s">
        <v>19</v>
      </c>
      <c r="I6859">
        <v>0</v>
      </c>
      <c r="J6859">
        <v>1</v>
      </c>
      <c r="K6859">
        <v>0</v>
      </c>
    </row>
    <row r="6860" spans="1:11" x14ac:dyDescent="0.25">
      <c r="A6860" t="str">
        <f>"8545"</f>
        <v>8545</v>
      </c>
      <c r="B6860" t="str">
        <f t="shared" si="448"/>
        <v>1</v>
      </c>
      <c r="C6860" t="str">
        <f t="shared" si="447"/>
        <v>368</v>
      </c>
      <c r="D6860" t="str">
        <f>"6"</f>
        <v>6</v>
      </c>
      <c r="E6860" t="str">
        <f>"1-368-6"</f>
        <v>1-368-6</v>
      </c>
      <c r="F6860" t="s">
        <v>15</v>
      </c>
      <c r="G6860" t="s">
        <v>18</v>
      </c>
      <c r="H6860" t="s">
        <v>19</v>
      </c>
      <c r="I6860">
        <v>0</v>
      </c>
      <c r="J6860">
        <v>1</v>
      </c>
      <c r="K6860">
        <v>0</v>
      </c>
    </row>
    <row r="6861" spans="1:11" x14ac:dyDescent="0.25">
      <c r="A6861" t="str">
        <f>"8546"</f>
        <v>8546</v>
      </c>
      <c r="B6861" t="str">
        <f t="shared" si="448"/>
        <v>1</v>
      </c>
      <c r="C6861" t="str">
        <f t="shared" si="447"/>
        <v>368</v>
      </c>
      <c r="D6861" t="str">
        <f>"25"</f>
        <v>25</v>
      </c>
      <c r="E6861" t="str">
        <f>"1-368-25"</f>
        <v>1-368-25</v>
      </c>
      <c r="F6861" t="s">
        <v>15</v>
      </c>
      <c r="G6861" t="s">
        <v>18</v>
      </c>
      <c r="H6861" t="s">
        <v>19</v>
      </c>
      <c r="I6861">
        <v>0</v>
      </c>
      <c r="J6861">
        <v>0</v>
      </c>
      <c r="K6861">
        <v>1</v>
      </c>
    </row>
    <row r="6862" spans="1:11" x14ac:dyDescent="0.25">
      <c r="A6862" t="str">
        <f>"8547"</f>
        <v>8547</v>
      </c>
      <c r="B6862" t="str">
        <f t="shared" si="448"/>
        <v>1</v>
      </c>
      <c r="C6862" t="str">
        <f t="shared" si="447"/>
        <v>368</v>
      </c>
      <c r="D6862" t="str">
        <f>"9"</f>
        <v>9</v>
      </c>
      <c r="E6862" t="str">
        <f>"1-368-9"</f>
        <v>1-368-9</v>
      </c>
      <c r="F6862" t="s">
        <v>15</v>
      </c>
      <c r="G6862" t="s">
        <v>18</v>
      </c>
      <c r="H6862" t="s">
        <v>19</v>
      </c>
      <c r="I6862">
        <v>0</v>
      </c>
      <c r="J6862">
        <v>0</v>
      </c>
      <c r="K6862">
        <v>1</v>
      </c>
    </row>
    <row r="6863" spans="1:11" x14ac:dyDescent="0.25">
      <c r="A6863" t="str">
        <f>"8548"</f>
        <v>8548</v>
      </c>
      <c r="B6863" t="str">
        <f t="shared" si="448"/>
        <v>1</v>
      </c>
      <c r="C6863" t="str">
        <f t="shared" si="447"/>
        <v>368</v>
      </c>
      <c r="D6863" t="str">
        <f>"26"</f>
        <v>26</v>
      </c>
      <c r="E6863" t="str">
        <f>"1-368-26"</f>
        <v>1-368-26</v>
      </c>
      <c r="F6863" t="s">
        <v>15</v>
      </c>
      <c r="G6863" t="s">
        <v>18</v>
      </c>
      <c r="H6863" t="s">
        <v>19</v>
      </c>
      <c r="I6863">
        <v>0</v>
      </c>
      <c r="J6863">
        <v>0</v>
      </c>
      <c r="K6863">
        <v>1</v>
      </c>
    </row>
    <row r="6864" spans="1:11" x14ac:dyDescent="0.25">
      <c r="A6864" t="str">
        <f>"8549"</f>
        <v>8549</v>
      </c>
      <c r="B6864" t="str">
        <f t="shared" si="448"/>
        <v>1</v>
      </c>
      <c r="C6864" t="str">
        <f t="shared" si="447"/>
        <v>368</v>
      </c>
      <c r="D6864" t="str">
        <f>"2"</f>
        <v>2</v>
      </c>
      <c r="E6864" t="str">
        <f>"1-368-2"</f>
        <v>1-368-2</v>
      </c>
      <c r="F6864" t="s">
        <v>15</v>
      </c>
      <c r="G6864" t="s">
        <v>18</v>
      </c>
      <c r="H6864" t="s">
        <v>19</v>
      </c>
      <c r="I6864">
        <v>0</v>
      </c>
      <c r="J6864">
        <v>0</v>
      </c>
      <c r="K6864">
        <v>1</v>
      </c>
    </row>
    <row r="6865" spans="1:11" x14ac:dyDescent="0.25">
      <c r="A6865" t="str">
        <f>"8550"</f>
        <v>8550</v>
      </c>
      <c r="B6865" t="str">
        <f t="shared" si="448"/>
        <v>1</v>
      </c>
      <c r="C6865" t="str">
        <f t="shared" si="447"/>
        <v>368</v>
      </c>
      <c r="D6865" t="str">
        <f>"27"</f>
        <v>27</v>
      </c>
      <c r="E6865" t="str">
        <f>"1-368-27"</f>
        <v>1-368-27</v>
      </c>
      <c r="F6865" t="s">
        <v>15</v>
      </c>
      <c r="G6865" t="s">
        <v>16</v>
      </c>
      <c r="H6865" t="s">
        <v>17</v>
      </c>
      <c r="I6865">
        <v>0</v>
      </c>
      <c r="J6865">
        <v>1</v>
      </c>
      <c r="K6865">
        <v>0</v>
      </c>
    </row>
    <row r="6866" spans="1:11" x14ac:dyDescent="0.25">
      <c r="A6866" t="str">
        <f>"8551"</f>
        <v>8551</v>
      </c>
      <c r="B6866" t="str">
        <f t="shared" si="448"/>
        <v>1</v>
      </c>
      <c r="C6866" t="str">
        <f t="shared" si="447"/>
        <v>368</v>
      </c>
      <c r="D6866" t="str">
        <f>"7"</f>
        <v>7</v>
      </c>
      <c r="E6866" t="str">
        <f>"1-368-7"</f>
        <v>1-368-7</v>
      </c>
      <c r="F6866" t="s">
        <v>15</v>
      </c>
      <c r="G6866" t="s">
        <v>18</v>
      </c>
      <c r="H6866" t="s">
        <v>19</v>
      </c>
      <c r="I6866">
        <v>1</v>
      </c>
      <c r="J6866">
        <v>0</v>
      </c>
      <c r="K6866">
        <v>0</v>
      </c>
    </row>
    <row r="6867" spans="1:11" x14ac:dyDescent="0.25">
      <c r="A6867" t="str">
        <f>"8552"</f>
        <v>8552</v>
      </c>
      <c r="B6867" t="str">
        <f t="shared" si="448"/>
        <v>1</v>
      </c>
      <c r="C6867" t="str">
        <f t="shared" si="447"/>
        <v>368</v>
      </c>
      <c r="D6867" t="str">
        <f>"28"</f>
        <v>28</v>
      </c>
      <c r="E6867" t="str">
        <f>"1-368-28"</f>
        <v>1-368-28</v>
      </c>
      <c r="F6867" t="s">
        <v>15</v>
      </c>
      <c r="G6867" t="s">
        <v>16</v>
      </c>
      <c r="H6867" t="s">
        <v>17</v>
      </c>
      <c r="I6867">
        <v>0</v>
      </c>
      <c r="J6867">
        <v>0</v>
      </c>
      <c r="K6867">
        <v>1</v>
      </c>
    </row>
    <row r="6868" spans="1:11" x14ac:dyDescent="0.25">
      <c r="A6868" t="str">
        <f>"8553"</f>
        <v>8553</v>
      </c>
      <c r="B6868" t="str">
        <f t="shared" si="448"/>
        <v>1</v>
      </c>
      <c r="C6868" t="str">
        <f t="shared" si="447"/>
        <v>368</v>
      </c>
      <c r="D6868" t="str">
        <f>"5"</f>
        <v>5</v>
      </c>
      <c r="E6868" t="str">
        <f>"1-368-5"</f>
        <v>1-368-5</v>
      </c>
      <c r="F6868" t="s">
        <v>15</v>
      </c>
      <c r="G6868" t="s">
        <v>18</v>
      </c>
      <c r="H6868" t="s">
        <v>19</v>
      </c>
      <c r="I6868">
        <v>1</v>
      </c>
      <c r="J6868">
        <v>0</v>
      </c>
      <c r="K6868">
        <v>0</v>
      </c>
    </row>
    <row r="6869" spans="1:11" x14ac:dyDescent="0.25">
      <c r="A6869" t="str">
        <f>"8554"</f>
        <v>8554</v>
      </c>
      <c r="B6869" t="str">
        <f t="shared" si="448"/>
        <v>1</v>
      </c>
      <c r="C6869" t="str">
        <f t="shared" si="447"/>
        <v>368</v>
      </c>
      <c r="D6869" t="str">
        <f>"29"</f>
        <v>29</v>
      </c>
      <c r="E6869" t="str">
        <f>"1-368-29"</f>
        <v>1-368-29</v>
      </c>
      <c r="F6869" t="s">
        <v>15</v>
      </c>
      <c r="G6869" t="s">
        <v>16</v>
      </c>
      <c r="H6869" t="s">
        <v>17</v>
      </c>
      <c r="I6869">
        <v>0</v>
      </c>
      <c r="J6869">
        <v>1</v>
      </c>
      <c r="K6869">
        <v>0</v>
      </c>
    </row>
    <row r="6870" spans="1:11" x14ac:dyDescent="0.25">
      <c r="A6870" t="str">
        <f>"8555"</f>
        <v>8555</v>
      </c>
      <c r="B6870" t="str">
        <f t="shared" si="448"/>
        <v>1</v>
      </c>
      <c r="C6870" t="str">
        <f t="shared" si="447"/>
        <v>368</v>
      </c>
      <c r="D6870" t="str">
        <f>"14"</f>
        <v>14</v>
      </c>
      <c r="E6870" t="str">
        <f>"1-368-14"</f>
        <v>1-368-14</v>
      </c>
      <c r="F6870" t="s">
        <v>15</v>
      </c>
      <c r="G6870" t="s">
        <v>16</v>
      </c>
      <c r="H6870" t="s">
        <v>17</v>
      </c>
      <c r="I6870">
        <v>0</v>
      </c>
      <c r="J6870">
        <v>1</v>
      </c>
      <c r="K6870">
        <v>0</v>
      </c>
    </row>
    <row r="6871" spans="1:11" x14ac:dyDescent="0.25">
      <c r="A6871" t="str">
        <f>"8556"</f>
        <v>8556</v>
      </c>
      <c r="B6871" t="str">
        <f t="shared" si="448"/>
        <v>1</v>
      </c>
      <c r="C6871" t="str">
        <f t="shared" si="447"/>
        <v>368</v>
      </c>
      <c r="D6871" t="str">
        <f>"10"</f>
        <v>10</v>
      </c>
      <c r="E6871" t="str">
        <f>"1-368-10"</f>
        <v>1-368-10</v>
      </c>
      <c r="F6871" t="s">
        <v>15</v>
      </c>
      <c r="G6871" t="s">
        <v>18</v>
      </c>
      <c r="H6871" t="s">
        <v>19</v>
      </c>
      <c r="I6871">
        <v>1</v>
      </c>
      <c r="J6871">
        <v>0</v>
      </c>
      <c r="K6871">
        <v>0</v>
      </c>
    </row>
    <row r="6872" spans="1:11" x14ac:dyDescent="0.25">
      <c r="A6872" t="str">
        <f>"8557"</f>
        <v>8557</v>
      </c>
      <c r="B6872" t="str">
        <f t="shared" si="448"/>
        <v>1</v>
      </c>
      <c r="C6872" t="str">
        <f t="shared" si="447"/>
        <v>368</v>
      </c>
      <c r="D6872" t="str">
        <f>"24"</f>
        <v>24</v>
      </c>
      <c r="E6872" t="str">
        <f>"1-368-24"</f>
        <v>1-368-24</v>
      </c>
      <c r="F6872" t="s">
        <v>15</v>
      </c>
      <c r="G6872" t="s">
        <v>20</v>
      </c>
      <c r="H6872" t="s">
        <v>21</v>
      </c>
      <c r="I6872">
        <v>0</v>
      </c>
      <c r="J6872">
        <v>0</v>
      </c>
      <c r="K6872">
        <v>0</v>
      </c>
    </row>
    <row r="6873" spans="1:11" x14ac:dyDescent="0.25">
      <c r="A6873" t="str">
        <f>"8558"</f>
        <v>8558</v>
      </c>
      <c r="B6873" t="str">
        <f t="shared" si="448"/>
        <v>1</v>
      </c>
      <c r="C6873" t="str">
        <f t="shared" si="447"/>
        <v>368</v>
      </c>
      <c r="D6873" t="str">
        <f>"3"</f>
        <v>3</v>
      </c>
      <c r="E6873" t="str">
        <f>"1-368-3"</f>
        <v>1-368-3</v>
      </c>
      <c r="F6873" t="s">
        <v>15</v>
      </c>
      <c r="G6873" t="s">
        <v>16</v>
      </c>
      <c r="H6873" t="s">
        <v>17</v>
      </c>
      <c r="I6873">
        <v>0</v>
      </c>
      <c r="J6873">
        <v>0</v>
      </c>
      <c r="K6873">
        <v>0</v>
      </c>
    </row>
    <row r="6874" spans="1:11" x14ac:dyDescent="0.25">
      <c r="A6874" t="str">
        <f>"8559"</f>
        <v>8559</v>
      </c>
      <c r="B6874" t="str">
        <f t="shared" si="448"/>
        <v>1</v>
      </c>
      <c r="C6874" t="str">
        <f t="shared" ref="C6874:C6895" si="449">"369"</f>
        <v>369</v>
      </c>
      <c r="D6874" t="str">
        <f>"15"</f>
        <v>15</v>
      </c>
      <c r="E6874" t="str">
        <f>"1-369-15"</f>
        <v>1-369-15</v>
      </c>
      <c r="F6874" t="s">
        <v>15</v>
      </c>
      <c r="G6874" t="s">
        <v>16</v>
      </c>
      <c r="H6874" t="s">
        <v>17</v>
      </c>
      <c r="I6874">
        <v>0</v>
      </c>
      <c r="J6874">
        <v>0</v>
      </c>
      <c r="K6874">
        <v>1</v>
      </c>
    </row>
    <row r="6875" spans="1:11" x14ac:dyDescent="0.25">
      <c r="A6875" t="str">
        <f>"8560"</f>
        <v>8560</v>
      </c>
      <c r="B6875" t="str">
        <f t="shared" si="448"/>
        <v>1</v>
      </c>
      <c r="C6875" t="str">
        <f t="shared" si="449"/>
        <v>369</v>
      </c>
      <c r="D6875" t="str">
        <f>"1"</f>
        <v>1</v>
      </c>
      <c r="E6875" t="str">
        <f>"1-369-1"</f>
        <v>1-369-1</v>
      </c>
      <c r="F6875" t="s">
        <v>15</v>
      </c>
      <c r="G6875" t="s">
        <v>16</v>
      </c>
      <c r="H6875" t="s">
        <v>17</v>
      </c>
      <c r="I6875">
        <v>1</v>
      </c>
      <c r="J6875">
        <v>0</v>
      </c>
      <c r="K6875">
        <v>0</v>
      </c>
    </row>
    <row r="6876" spans="1:11" x14ac:dyDescent="0.25">
      <c r="A6876" t="str">
        <f>"8561"</f>
        <v>8561</v>
      </c>
      <c r="B6876" t="str">
        <f t="shared" si="448"/>
        <v>1</v>
      </c>
      <c r="C6876" t="str">
        <f t="shared" si="449"/>
        <v>369</v>
      </c>
      <c r="D6876" t="str">
        <f>"16"</f>
        <v>16</v>
      </c>
      <c r="E6876" t="str">
        <f>"1-369-16"</f>
        <v>1-369-16</v>
      </c>
      <c r="F6876" t="s">
        <v>15</v>
      </c>
      <c r="G6876" t="s">
        <v>16</v>
      </c>
      <c r="H6876" t="s">
        <v>17</v>
      </c>
      <c r="I6876">
        <v>0</v>
      </c>
      <c r="J6876">
        <v>1</v>
      </c>
      <c r="K6876">
        <v>0</v>
      </c>
    </row>
    <row r="6877" spans="1:11" x14ac:dyDescent="0.25">
      <c r="A6877" t="str">
        <f>"8562"</f>
        <v>8562</v>
      </c>
      <c r="B6877" t="str">
        <f t="shared" si="448"/>
        <v>1</v>
      </c>
      <c r="C6877" t="str">
        <f t="shared" si="449"/>
        <v>369</v>
      </c>
      <c r="D6877" t="str">
        <f>"8"</f>
        <v>8</v>
      </c>
      <c r="E6877" t="str">
        <f>"1-369-8"</f>
        <v>1-369-8</v>
      </c>
      <c r="F6877" t="s">
        <v>15</v>
      </c>
      <c r="G6877" t="s">
        <v>16</v>
      </c>
      <c r="H6877" t="s">
        <v>17</v>
      </c>
      <c r="I6877">
        <v>1</v>
      </c>
      <c r="J6877">
        <v>0</v>
      </c>
      <c r="K6877">
        <v>0</v>
      </c>
    </row>
    <row r="6878" spans="1:11" x14ac:dyDescent="0.25">
      <c r="A6878" t="str">
        <f>"8563"</f>
        <v>8563</v>
      </c>
      <c r="B6878" t="str">
        <f t="shared" si="448"/>
        <v>1</v>
      </c>
      <c r="C6878" t="str">
        <f t="shared" si="449"/>
        <v>369</v>
      </c>
      <c r="D6878" t="str">
        <f>"17"</f>
        <v>17</v>
      </c>
      <c r="E6878" t="str">
        <f>"1-369-17"</f>
        <v>1-369-17</v>
      </c>
      <c r="F6878" t="s">
        <v>15</v>
      </c>
      <c r="G6878" t="s">
        <v>16</v>
      </c>
      <c r="H6878" t="s">
        <v>17</v>
      </c>
      <c r="I6878">
        <v>0</v>
      </c>
      <c r="J6878">
        <v>0</v>
      </c>
      <c r="K6878">
        <v>1</v>
      </c>
    </row>
    <row r="6879" spans="1:11" x14ac:dyDescent="0.25">
      <c r="A6879" t="str">
        <f>"8564"</f>
        <v>8564</v>
      </c>
      <c r="B6879" t="str">
        <f t="shared" si="448"/>
        <v>1</v>
      </c>
      <c r="C6879" t="str">
        <f t="shared" si="449"/>
        <v>369</v>
      </c>
      <c r="D6879" t="str">
        <f>"9"</f>
        <v>9</v>
      </c>
      <c r="E6879" t="str">
        <f>"1-369-9"</f>
        <v>1-369-9</v>
      </c>
      <c r="F6879" t="s">
        <v>15</v>
      </c>
      <c r="G6879" t="s">
        <v>16</v>
      </c>
      <c r="H6879" t="s">
        <v>17</v>
      </c>
      <c r="I6879">
        <v>1</v>
      </c>
      <c r="J6879">
        <v>0</v>
      </c>
      <c r="K6879">
        <v>0</v>
      </c>
    </row>
    <row r="6880" spans="1:11" x14ac:dyDescent="0.25">
      <c r="A6880" t="str">
        <f>"8565"</f>
        <v>8565</v>
      </c>
      <c r="B6880" t="str">
        <f t="shared" si="448"/>
        <v>1</v>
      </c>
      <c r="C6880" t="str">
        <f t="shared" si="449"/>
        <v>369</v>
      </c>
      <c r="D6880" t="str">
        <f>"18"</f>
        <v>18</v>
      </c>
      <c r="E6880" t="str">
        <f>"1-369-18"</f>
        <v>1-369-18</v>
      </c>
      <c r="F6880" t="s">
        <v>15</v>
      </c>
      <c r="G6880" t="s">
        <v>16</v>
      </c>
      <c r="H6880" t="s">
        <v>17</v>
      </c>
      <c r="I6880">
        <v>0</v>
      </c>
      <c r="J6880">
        <v>0</v>
      </c>
      <c r="K6880">
        <v>1</v>
      </c>
    </row>
    <row r="6881" spans="1:11" x14ac:dyDescent="0.25">
      <c r="A6881" t="str">
        <f>"8566"</f>
        <v>8566</v>
      </c>
      <c r="B6881" t="str">
        <f t="shared" si="448"/>
        <v>1</v>
      </c>
      <c r="C6881" t="str">
        <f t="shared" si="449"/>
        <v>369</v>
      </c>
      <c r="D6881" t="str">
        <f>"7"</f>
        <v>7</v>
      </c>
      <c r="E6881" t="str">
        <f>"1-369-7"</f>
        <v>1-369-7</v>
      </c>
      <c r="F6881" t="s">
        <v>15</v>
      </c>
      <c r="G6881" t="s">
        <v>16</v>
      </c>
      <c r="H6881" t="s">
        <v>17</v>
      </c>
      <c r="I6881">
        <v>0</v>
      </c>
      <c r="J6881">
        <v>1</v>
      </c>
      <c r="K6881">
        <v>0</v>
      </c>
    </row>
    <row r="6882" spans="1:11" x14ac:dyDescent="0.25">
      <c r="A6882" t="str">
        <f>"8567"</f>
        <v>8567</v>
      </c>
      <c r="B6882" t="str">
        <f t="shared" si="448"/>
        <v>1</v>
      </c>
      <c r="C6882" t="str">
        <f t="shared" si="449"/>
        <v>369</v>
      </c>
      <c r="D6882" t="str">
        <f>"19"</f>
        <v>19</v>
      </c>
      <c r="E6882" t="str">
        <f>"1-369-19"</f>
        <v>1-369-19</v>
      </c>
      <c r="F6882" t="s">
        <v>15</v>
      </c>
      <c r="G6882" t="s">
        <v>18</v>
      </c>
      <c r="H6882" t="s">
        <v>19</v>
      </c>
      <c r="I6882">
        <v>1</v>
      </c>
      <c r="J6882">
        <v>0</v>
      </c>
      <c r="K6882">
        <v>0</v>
      </c>
    </row>
    <row r="6883" spans="1:11" x14ac:dyDescent="0.25">
      <c r="A6883" t="str">
        <f>"8569"</f>
        <v>8569</v>
      </c>
      <c r="B6883" t="str">
        <f t="shared" si="448"/>
        <v>1</v>
      </c>
      <c r="C6883" t="str">
        <f t="shared" si="449"/>
        <v>369</v>
      </c>
      <c r="D6883" t="str">
        <f>"20"</f>
        <v>20</v>
      </c>
      <c r="E6883" t="str">
        <f>"1-369-20"</f>
        <v>1-369-20</v>
      </c>
      <c r="F6883" t="s">
        <v>15</v>
      </c>
      <c r="G6883" t="s">
        <v>18</v>
      </c>
      <c r="H6883" t="s">
        <v>19</v>
      </c>
      <c r="I6883">
        <v>1</v>
      </c>
      <c r="J6883">
        <v>0</v>
      </c>
      <c r="K6883">
        <v>0</v>
      </c>
    </row>
    <row r="6884" spans="1:11" x14ac:dyDescent="0.25">
      <c r="A6884" t="str">
        <f>"8572"</f>
        <v>8572</v>
      </c>
      <c r="B6884" t="str">
        <f t="shared" si="448"/>
        <v>1</v>
      </c>
      <c r="C6884" t="str">
        <f t="shared" si="449"/>
        <v>369</v>
      </c>
      <c r="D6884" t="str">
        <f>"23"</f>
        <v>23</v>
      </c>
      <c r="E6884" t="str">
        <f>"1-369-23"</f>
        <v>1-369-23</v>
      </c>
      <c r="F6884" t="s">
        <v>15</v>
      </c>
      <c r="G6884" t="s">
        <v>20</v>
      </c>
      <c r="H6884" t="s">
        <v>21</v>
      </c>
      <c r="I6884">
        <v>0</v>
      </c>
      <c r="J6884">
        <v>1</v>
      </c>
      <c r="K6884">
        <v>0</v>
      </c>
    </row>
    <row r="6885" spans="1:11" x14ac:dyDescent="0.25">
      <c r="A6885" t="str">
        <f>"8573"</f>
        <v>8573</v>
      </c>
      <c r="B6885" t="str">
        <f t="shared" si="448"/>
        <v>1</v>
      </c>
      <c r="C6885" t="str">
        <f t="shared" si="449"/>
        <v>369</v>
      </c>
      <c r="D6885" t="str">
        <f>"3"</f>
        <v>3</v>
      </c>
      <c r="E6885" t="str">
        <f>"1-369-3"</f>
        <v>1-369-3</v>
      </c>
      <c r="F6885" t="s">
        <v>15</v>
      </c>
      <c r="G6885" t="s">
        <v>16</v>
      </c>
      <c r="H6885" t="s">
        <v>17</v>
      </c>
      <c r="I6885">
        <v>0</v>
      </c>
      <c r="J6885">
        <v>1</v>
      </c>
      <c r="K6885">
        <v>0</v>
      </c>
    </row>
    <row r="6886" spans="1:11" x14ac:dyDescent="0.25">
      <c r="A6886" t="str">
        <f>"8574"</f>
        <v>8574</v>
      </c>
      <c r="B6886" t="str">
        <f t="shared" si="448"/>
        <v>1</v>
      </c>
      <c r="C6886" t="str">
        <f t="shared" si="449"/>
        <v>369</v>
      </c>
      <c r="D6886" t="str">
        <f>"24"</f>
        <v>24</v>
      </c>
      <c r="E6886" t="str">
        <f>"1-369-24"</f>
        <v>1-369-24</v>
      </c>
      <c r="F6886" t="s">
        <v>15</v>
      </c>
      <c r="G6886" t="s">
        <v>20</v>
      </c>
      <c r="H6886" t="s">
        <v>21</v>
      </c>
      <c r="I6886">
        <v>0</v>
      </c>
      <c r="J6886">
        <v>0</v>
      </c>
      <c r="K6886">
        <v>1</v>
      </c>
    </row>
    <row r="6887" spans="1:11" x14ac:dyDescent="0.25">
      <c r="A6887" t="str">
        <f>"8575"</f>
        <v>8575</v>
      </c>
      <c r="B6887" t="str">
        <f t="shared" si="448"/>
        <v>1</v>
      </c>
      <c r="C6887" t="str">
        <f t="shared" si="449"/>
        <v>369</v>
      </c>
      <c r="D6887" t="str">
        <f>"4"</f>
        <v>4</v>
      </c>
      <c r="E6887" t="str">
        <f>"1-369-4"</f>
        <v>1-369-4</v>
      </c>
      <c r="F6887" t="s">
        <v>15</v>
      </c>
      <c r="G6887" t="s">
        <v>16</v>
      </c>
      <c r="H6887" t="s">
        <v>17</v>
      </c>
      <c r="I6887">
        <v>1</v>
      </c>
      <c r="J6887">
        <v>0</v>
      </c>
      <c r="K6887">
        <v>0</v>
      </c>
    </row>
    <row r="6888" spans="1:11" x14ac:dyDescent="0.25">
      <c r="A6888" t="str">
        <f>"8576"</f>
        <v>8576</v>
      </c>
      <c r="B6888" t="str">
        <f t="shared" si="448"/>
        <v>1</v>
      </c>
      <c r="C6888" t="str">
        <f t="shared" si="449"/>
        <v>369</v>
      </c>
      <c r="D6888" t="str">
        <f>"25"</f>
        <v>25</v>
      </c>
      <c r="E6888" t="str">
        <f>"1-369-25"</f>
        <v>1-369-25</v>
      </c>
      <c r="F6888" t="s">
        <v>15</v>
      </c>
      <c r="G6888" t="s">
        <v>16</v>
      </c>
      <c r="H6888" t="s">
        <v>17</v>
      </c>
      <c r="I6888">
        <v>1</v>
      </c>
      <c r="J6888">
        <v>0</v>
      </c>
      <c r="K6888">
        <v>0</v>
      </c>
    </row>
    <row r="6889" spans="1:11" x14ac:dyDescent="0.25">
      <c r="A6889" t="str">
        <f>"8577"</f>
        <v>8577</v>
      </c>
      <c r="B6889" t="str">
        <f t="shared" si="448"/>
        <v>1</v>
      </c>
      <c r="C6889" t="str">
        <f t="shared" si="449"/>
        <v>369</v>
      </c>
      <c r="D6889" t="str">
        <f>"2"</f>
        <v>2</v>
      </c>
      <c r="E6889" t="str">
        <f>"1-369-2"</f>
        <v>1-369-2</v>
      </c>
      <c r="F6889" t="s">
        <v>15</v>
      </c>
      <c r="G6889" t="s">
        <v>16</v>
      </c>
      <c r="H6889" t="s">
        <v>17</v>
      </c>
      <c r="I6889">
        <v>1</v>
      </c>
      <c r="J6889">
        <v>0</v>
      </c>
      <c r="K6889">
        <v>0</v>
      </c>
    </row>
    <row r="6890" spans="1:11" x14ac:dyDescent="0.25">
      <c r="A6890" t="str">
        <f>"8578"</f>
        <v>8578</v>
      </c>
      <c r="B6890" t="str">
        <f t="shared" si="448"/>
        <v>1</v>
      </c>
      <c r="C6890" t="str">
        <f t="shared" si="449"/>
        <v>369</v>
      </c>
      <c r="D6890" t="str">
        <f>"10"</f>
        <v>10</v>
      </c>
      <c r="E6890" t="str">
        <f>"1-369-10"</f>
        <v>1-369-10</v>
      </c>
      <c r="F6890" t="s">
        <v>15</v>
      </c>
      <c r="G6890" t="s">
        <v>16</v>
      </c>
      <c r="H6890" t="s">
        <v>17</v>
      </c>
      <c r="I6890">
        <v>0</v>
      </c>
      <c r="J6890">
        <v>1</v>
      </c>
      <c r="K6890">
        <v>0</v>
      </c>
    </row>
    <row r="6891" spans="1:11" x14ac:dyDescent="0.25">
      <c r="A6891" t="str">
        <f>"8579"</f>
        <v>8579</v>
      </c>
      <c r="B6891" t="str">
        <f t="shared" si="448"/>
        <v>1</v>
      </c>
      <c r="C6891" t="str">
        <f t="shared" si="449"/>
        <v>369</v>
      </c>
      <c r="D6891" t="str">
        <f>"6"</f>
        <v>6</v>
      </c>
      <c r="E6891" t="str">
        <f>"1-369-6"</f>
        <v>1-369-6</v>
      </c>
      <c r="F6891" t="s">
        <v>15</v>
      </c>
      <c r="G6891" t="s">
        <v>16</v>
      </c>
      <c r="H6891" t="s">
        <v>17</v>
      </c>
      <c r="I6891">
        <v>0</v>
      </c>
      <c r="J6891">
        <v>1</v>
      </c>
      <c r="K6891">
        <v>0</v>
      </c>
    </row>
    <row r="6892" spans="1:11" x14ac:dyDescent="0.25">
      <c r="A6892" t="str">
        <f>"8580"</f>
        <v>8580</v>
      </c>
      <c r="B6892" t="str">
        <f t="shared" si="448"/>
        <v>1</v>
      </c>
      <c r="C6892" t="str">
        <f t="shared" si="449"/>
        <v>369</v>
      </c>
      <c r="D6892" t="str">
        <f>"14"</f>
        <v>14</v>
      </c>
      <c r="E6892" t="str">
        <f>"1-369-14"</f>
        <v>1-369-14</v>
      </c>
      <c r="F6892" t="s">
        <v>15</v>
      </c>
      <c r="G6892" t="s">
        <v>16</v>
      </c>
      <c r="H6892" t="s">
        <v>17</v>
      </c>
      <c r="I6892">
        <v>0</v>
      </c>
      <c r="J6892">
        <v>0</v>
      </c>
      <c r="K6892">
        <v>0</v>
      </c>
    </row>
    <row r="6893" spans="1:11" x14ac:dyDescent="0.25">
      <c r="A6893" t="str">
        <f>"8581"</f>
        <v>8581</v>
      </c>
      <c r="B6893" t="str">
        <f t="shared" si="448"/>
        <v>1</v>
      </c>
      <c r="C6893" t="str">
        <f t="shared" si="449"/>
        <v>369</v>
      </c>
      <c r="D6893" t="str">
        <f>"12"</f>
        <v>12</v>
      </c>
      <c r="E6893" t="str">
        <f>"1-369-12"</f>
        <v>1-369-12</v>
      </c>
      <c r="F6893" t="s">
        <v>15</v>
      </c>
      <c r="G6893" t="s">
        <v>16</v>
      </c>
      <c r="H6893" t="s">
        <v>17</v>
      </c>
      <c r="I6893">
        <v>0</v>
      </c>
      <c r="J6893">
        <v>0</v>
      </c>
      <c r="K6893">
        <v>0</v>
      </c>
    </row>
    <row r="6894" spans="1:11" x14ac:dyDescent="0.25">
      <c r="A6894" t="str">
        <f>"8582"</f>
        <v>8582</v>
      </c>
      <c r="B6894" t="str">
        <f t="shared" si="448"/>
        <v>1</v>
      </c>
      <c r="C6894" t="str">
        <f t="shared" si="449"/>
        <v>369</v>
      </c>
      <c r="D6894" t="str">
        <f>"13"</f>
        <v>13</v>
      </c>
      <c r="E6894" t="str">
        <f>"1-369-13"</f>
        <v>1-369-13</v>
      </c>
      <c r="F6894" t="s">
        <v>15</v>
      </c>
      <c r="G6894" t="s">
        <v>16</v>
      </c>
      <c r="H6894" t="s">
        <v>17</v>
      </c>
      <c r="I6894">
        <v>0</v>
      </c>
      <c r="J6894">
        <v>0</v>
      </c>
      <c r="K6894">
        <v>0</v>
      </c>
    </row>
    <row r="6895" spans="1:11" x14ac:dyDescent="0.25">
      <c r="A6895" t="str">
        <f>"8583"</f>
        <v>8583</v>
      </c>
      <c r="B6895" t="str">
        <f t="shared" si="448"/>
        <v>1</v>
      </c>
      <c r="C6895" t="str">
        <f t="shared" si="449"/>
        <v>369</v>
      </c>
      <c r="D6895" t="str">
        <f>"21"</f>
        <v>21</v>
      </c>
      <c r="E6895" t="str">
        <f>"1-369-21"</f>
        <v>1-369-21</v>
      </c>
      <c r="F6895" t="s">
        <v>15</v>
      </c>
      <c r="G6895" t="s">
        <v>18</v>
      </c>
      <c r="H6895" t="s">
        <v>19</v>
      </c>
      <c r="I6895">
        <v>0</v>
      </c>
      <c r="J6895">
        <v>0</v>
      </c>
      <c r="K6895">
        <v>0</v>
      </c>
    </row>
    <row r="6896" spans="1:11" x14ac:dyDescent="0.25">
      <c r="A6896" t="str">
        <f>"8584"</f>
        <v>8584</v>
      </c>
      <c r="B6896" t="str">
        <f t="shared" si="448"/>
        <v>1</v>
      </c>
      <c r="C6896" t="str">
        <f t="shared" ref="C6896:C6910" si="450">"370"</f>
        <v>370</v>
      </c>
      <c r="D6896" t="str">
        <f>"15"</f>
        <v>15</v>
      </c>
      <c r="E6896" t="str">
        <f>"1-370-15"</f>
        <v>1-370-15</v>
      </c>
      <c r="F6896" t="s">
        <v>15</v>
      </c>
      <c r="G6896" t="s">
        <v>20</v>
      </c>
      <c r="H6896" t="s">
        <v>21</v>
      </c>
      <c r="I6896">
        <v>0</v>
      </c>
      <c r="J6896">
        <v>0</v>
      </c>
      <c r="K6896">
        <v>1</v>
      </c>
    </row>
    <row r="6897" spans="1:11" x14ac:dyDescent="0.25">
      <c r="A6897" t="str">
        <f>"8585"</f>
        <v>8585</v>
      </c>
      <c r="B6897" t="str">
        <f t="shared" si="448"/>
        <v>1</v>
      </c>
      <c r="C6897" t="str">
        <f t="shared" si="450"/>
        <v>370</v>
      </c>
      <c r="D6897" t="str">
        <f>"7"</f>
        <v>7</v>
      </c>
      <c r="E6897" t="str">
        <f>"1-370-7"</f>
        <v>1-370-7</v>
      </c>
      <c r="F6897" t="s">
        <v>15</v>
      </c>
      <c r="G6897" t="s">
        <v>20</v>
      </c>
      <c r="H6897" t="s">
        <v>21</v>
      </c>
      <c r="I6897">
        <v>0</v>
      </c>
      <c r="J6897">
        <v>0</v>
      </c>
      <c r="K6897">
        <v>1</v>
      </c>
    </row>
    <row r="6898" spans="1:11" x14ac:dyDescent="0.25">
      <c r="A6898" t="str">
        <f>"8588"</f>
        <v>8588</v>
      </c>
      <c r="B6898" t="str">
        <f t="shared" si="448"/>
        <v>1</v>
      </c>
      <c r="C6898" t="str">
        <f t="shared" si="450"/>
        <v>370</v>
      </c>
      <c r="D6898" t="str">
        <f>"3"</f>
        <v>3</v>
      </c>
      <c r="E6898" t="str">
        <f>"1-370-3"</f>
        <v>1-370-3</v>
      </c>
      <c r="F6898" t="s">
        <v>15</v>
      </c>
      <c r="G6898" t="s">
        <v>20</v>
      </c>
      <c r="H6898" t="s">
        <v>21</v>
      </c>
      <c r="I6898">
        <v>0</v>
      </c>
      <c r="J6898">
        <v>0</v>
      </c>
      <c r="K6898">
        <v>1</v>
      </c>
    </row>
    <row r="6899" spans="1:11" x14ac:dyDescent="0.25">
      <c r="A6899" t="str">
        <f>"8592"</f>
        <v>8592</v>
      </c>
      <c r="B6899" t="str">
        <f t="shared" si="448"/>
        <v>1</v>
      </c>
      <c r="C6899" t="str">
        <f t="shared" si="450"/>
        <v>370</v>
      </c>
      <c r="D6899" t="str">
        <f>"19"</f>
        <v>19</v>
      </c>
      <c r="E6899" t="str">
        <f>"1-370-19"</f>
        <v>1-370-19</v>
      </c>
      <c r="F6899" t="s">
        <v>15</v>
      </c>
      <c r="G6899" t="s">
        <v>20</v>
      </c>
      <c r="H6899" t="s">
        <v>21</v>
      </c>
      <c r="I6899">
        <v>0</v>
      </c>
      <c r="J6899">
        <v>0</v>
      </c>
      <c r="K6899">
        <v>1</v>
      </c>
    </row>
    <row r="6900" spans="1:11" x14ac:dyDescent="0.25">
      <c r="A6900" t="str">
        <f>"8594"</f>
        <v>8594</v>
      </c>
      <c r="B6900" t="str">
        <f t="shared" si="448"/>
        <v>1</v>
      </c>
      <c r="C6900" t="str">
        <f t="shared" si="450"/>
        <v>370</v>
      </c>
      <c r="D6900" t="str">
        <f>"20"</f>
        <v>20</v>
      </c>
      <c r="E6900" t="str">
        <f>"1-370-20"</f>
        <v>1-370-20</v>
      </c>
      <c r="F6900" t="s">
        <v>15</v>
      </c>
      <c r="G6900" t="s">
        <v>20</v>
      </c>
      <c r="H6900" t="s">
        <v>21</v>
      </c>
      <c r="I6900">
        <v>1</v>
      </c>
      <c r="J6900">
        <v>0</v>
      </c>
      <c r="K6900">
        <v>0</v>
      </c>
    </row>
    <row r="6901" spans="1:11" x14ac:dyDescent="0.25">
      <c r="A6901" t="str">
        <f>"8596"</f>
        <v>8596</v>
      </c>
      <c r="B6901" t="str">
        <f t="shared" si="448"/>
        <v>1</v>
      </c>
      <c r="C6901" t="str">
        <f t="shared" si="450"/>
        <v>370</v>
      </c>
      <c r="D6901" t="str">
        <f>"21"</f>
        <v>21</v>
      </c>
      <c r="E6901" t="str">
        <f>"1-370-21"</f>
        <v>1-370-21</v>
      </c>
      <c r="F6901" t="s">
        <v>15</v>
      </c>
      <c r="G6901" t="s">
        <v>20</v>
      </c>
      <c r="H6901" t="s">
        <v>21</v>
      </c>
      <c r="I6901">
        <v>1</v>
      </c>
      <c r="J6901">
        <v>0</v>
      </c>
      <c r="K6901">
        <v>0</v>
      </c>
    </row>
    <row r="6902" spans="1:11" x14ac:dyDescent="0.25">
      <c r="A6902" t="str">
        <f>"8598"</f>
        <v>8598</v>
      </c>
      <c r="B6902" t="str">
        <f t="shared" si="448"/>
        <v>1</v>
      </c>
      <c r="C6902" t="str">
        <f t="shared" si="450"/>
        <v>370</v>
      </c>
      <c r="D6902" t="str">
        <f>"23"</f>
        <v>23</v>
      </c>
      <c r="E6902" t="str">
        <f>"1-370-23"</f>
        <v>1-370-23</v>
      </c>
      <c r="F6902" t="s">
        <v>15</v>
      </c>
      <c r="G6902" t="s">
        <v>20</v>
      </c>
      <c r="H6902" t="s">
        <v>21</v>
      </c>
      <c r="I6902">
        <v>0</v>
      </c>
      <c r="J6902">
        <v>1</v>
      </c>
      <c r="K6902">
        <v>0</v>
      </c>
    </row>
    <row r="6903" spans="1:11" x14ac:dyDescent="0.25">
      <c r="A6903" t="str">
        <f>"8599"</f>
        <v>8599</v>
      </c>
      <c r="B6903" t="str">
        <f t="shared" si="448"/>
        <v>1</v>
      </c>
      <c r="C6903" t="str">
        <f t="shared" si="450"/>
        <v>370</v>
      </c>
      <c r="D6903" t="str">
        <f>"1"</f>
        <v>1</v>
      </c>
      <c r="E6903" t="str">
        <f>"1-370-1"</f>
        <v>1-370-1</v>
      </c>
      <c r="F6903" t="s">
        <v>15</v>
      </c>
      <c r="G6903" t="s">
        <v>20</v>
      </c>
      <c r="H6903" t="s">
        <v>21</v>
      </c>
      <c r="I6903">
        <v>0</v>
      </c>
      <c r="J6903">
        <v>0</v>
      </c>
      <c r="K6903">
        <v>1</v>
      </c>
    </row>
    <row r="6904" spans="1:11" x14ac:dyDescent="0.25">
      <c r="A6904" t="str">
        <f>"8601"</f>
        <v>8601</v>
      </c>
      <c r="B6904" t="str">
        <f t="shared" si="448"/>
        <v>1</v>
      </c>
      <c r="C6904" t="str">
        <f t="shared" si="450"/>
        <v>370</v>
      </c>
      <c r="D6904" t="str">
        <f>"5"</f>
        <v>5</v>
      </c>
      <c r="E6904" t="str">
        <f>"1-370-5"</f>
        <v>1-370-5</v>
      </c>
      <c r="F6904" t="s">
        <v>15</v>
      </c>
      <c r="G6904" t="s">
        <v>20</v>
      </c>
      <c r="H6904" t="s">
        <v>21</v>
      </c>
      <c r="I6904">
        <v>1</v>
      </c>
      <c r="J6904">
        <v>0</v>
      </c>
      <c r="K6904">
        <v>0</v>
      </c>
    </row>
    <row r="6905" spans="1:11" x14ac:dyDescent="0.25">
      <c r="A6905" t="str">
        <f>"8602"</f>
        <v>8602</v>
      </c>
      <c r="B6905" t="str">
        <f t="shared" ref="B6905:B6954" si="451">"1"</f>
        <v>1</v>
      </c>
      <c r="C6905" t="str">
        <f t="shared" si="450"/>
        <v>370</v>
      </c>
      <c r="D6905" t="str">
        <f>"13"</f>
        <v>13</v>
      </c>
      <c r="E6905" t="str">
        <f>"1-370-13"</f>
        <v>1-370-13</v>
      </c>
      <c r="F6905" t="s">
        <v>15</v>
      </c>
      <c r="G6905" t="s">
        <v>20</v>
      </c>
      <c r="H6905" t="s">
        <v>21</v>
      </c>
      <c r="I6905">
        <v>0</v>
      </c>
      <c r="J6905">
        <v>1</v>
      </c>
      <c r="K6905">
        <v>0</v>
      </c>
    </row>
    <row r="6906" spans="1:11" x14ac:dyDescent="0.25">
      <c r="A6906" t="str">
        <f>"8603"</f>
        <v>8603</v>
      </c>
      <c r="B6906" t="str">
        <f t="shared" si="451"/>
        <v>1</v>
      </c>
      <c r="C6906" t="str">
        <f t="shared" si="450"/>
        <v>370</v>
      </c>
      <c r="D6906" t="str">
        <f>"2"</f>
        <v>2</v>
      </c>
      <c r="E6906" t="str">
        <f>"1-370-2"</f>
        <v>1-370-2</v>
      </c>
      <c r="F6906" t="s">
        <v>15</v>
      </c>
      <c r="G6906" t="s">
        <v>20</v>
      </c>
      <c r="H6906" t="s">
        <v>21</v>
      </c>
      <c r="I6906">
        <v>0</v>
      </c>
      <c r="J6906">
        <v>0</v>
      </c>
      <c r="K6906">
        <v>1</v>
      </c>
    </row>
    <row r="6907" spans="1:11" x14ac:dyDescent="0.25">
      <c r="A6907" t="str">
        <f>"8604"</f>
        <v>8604</v>
      </c>
      <c r="B6907" t="str">
        <f t="shared" si="451"/>
        <v>1</v>
      </c>
      <c r="C6907" t="str">
        <f t="shared" si="450"/>
        <v>370</v>
      </c>
      <c r="D6907" t="str">
        <f>"11"</f>
        <v>11</v>
      </c>
      <c r="E6907" t="str">
        <f>"1-370-11"</f>
        <v>1-370-11</v>
      </c>
      <c r="F6907" t="s">
        <v>15</v>
      </c>
      <c r="G6907" t="s">
        <v>20</v>
      </c>
      <c r="H6907" t="s">
        <v>21</v>
      </c>
      <c r="I6907">
        <v>0</v>
      </c>
      <c r="J6907">
        <v>0</v>
      </c>
      <c r="K6907">
        <v>1</v>
      </c>
    </row>
    <row r="6908" spans="1:11" x14ac:dyDescent="0.25">
      <c r="A6908" t="str">
        <f>"8605"</f>
        <v>8605</v>
      </c>
      <c r="B6908" t="str">
        <f t="shared" si="451"/>
        <v>1</v>
      </c>
      <c r="C6908" t="str">
        <f t="shared" si="450"/>
        <v>370</v>
      </c>
      <c r="D6908" t="str">
        <f>"6"</f>
        <v>6</v>
      </c>
      <c r="E6908" t="str">
        <f>"1-370-6"</f>
        <v>1-370-6</v>
      </c>
      <c r="F6908" t="s">
        <v>15</v>
      </c>
      <c r="G6908" t="s">
        <v>20</v>
      </c>
      <c r="H6908" t="s">
        <v>21</v>
      </c>
      <c r="I6908">
        <v>1</v>
      </c>
      <c r="J6908">
        <v>0</v>
      </c>
      <c r="K6908">
        <v>0</v>
      </c>
    </row>
    <row r="6909" spans="1:11" x14ac:dyDescent="0.25">
      <c r="A6909" t="str">
        <f>"8606"</f>
        <v>8606</v>
      </c>
      <c r="B6909" t="str">
        <f t="shared" si="451"/>
        <v>1</v>
      </c>
      <c r="C6909" t="str">
        <f t="shared" si="450"/>
        <v>370</v>
      </c>
      <c r="D6909" t="str">
        <f>"10"</f>
        <v>10</v>
      </c>
      <c r="E6909" t="str">
        <f>"1-370-10"</f>
        <v>1-370-10</v>
      </c>
      <c r="F6909" t="s">
        <v>15</v>
      </c>
      <c r="G6909" t="s">
        <v>20</v>
      </c>
      <c r="H6909" t="s">
        <v>21</v>
      </c>
      <c r="I6909">
        <v>0</v>
      </c>
      <c r="J6909">
        <v>0</v>
      </c>
      <c r="K6909">
        <v>0</v>
      </c>
    </row>
    <row r="6910" spans="1:11" x14ac:dyDescent="0.25">
      <c r="A6910" t="str">
        <f>"8607"</f>
        <v>8607</v>
      </c>
      <c r="B6910" t="str">
        <f t="shared" si="451"/>
        <v>1</v>
      </c>
      <c r="C6910" t="str">
        <f t="shared" si="450"/>
        <v>370</v>
      </c>
      <c r="D6910" t="str">
        <f>"4"</f>
        <v>4</v>
      </c>
      <c r="E6910" t="str">
        <f>"1-370-4"</f>
        <v>1-370-4</v>
      </c>
      <c r="F6910" t="s">
        <v>15</v>
      </c>
      <c r="G6910" t="s">
        <v>20</v>
      </c>
      <c r="H6910" t="s">
        <v>21</v>
      </c>
      <c r="I6910">
        <v>0</v>
      </c>
      <c r="J6910">
        <v>0</v>
      </c>
      <c r="K6910">
        <v>0</v>
      </c>
    </row>
    <row r="6911" spans="1:11" x14ac:dyDescent="0.25">
      <c r="A6911" t="str">
        <f>"8608"</f>
        <v>8608</v>
      </c>
      <c r="B6911" t="str">
        <f t="shared" si="451"/>
        <v>1</v>
      </c>
      <c r="C6911" t="str">
        <f t="shared" ref="C6911:C6931" si="452">"371"</f>
        <v>371</v>
      </c>
      <c r="D6911" t="str">
        <f>"22"</f>
        <v>22</v>
      </c>
      <c r="E6911" t="str">
        <f>"1-371-22"</f>
        <v>1-371-22</v>
      </c>
      <c r="F6911" t="s">
        <v>15</v>
      </c>
      <c r="G6911" t="s">
        <v>18</v>
      </c>
      <c r="H6911" t="s">
        <v>19</v>
      </c>
      <c r="I6911">
        <v>0</v>
      </c>
      <c r="J6911">
        <v>1</v>
      </c>
      <c r="K6911">
        <v>0</v>
      </c>
    </row>
    <row r="6912" spans="1:11" x14ac:dyDescent="0.25">
      <c r="A6912" t="str">
        <f>"8609"</f>
        <v>8609</v>
      </c>
      <c r="B6912" t="str">
        <f t="shared" si="451"/>
        <v>1</v>
      </c>
      <c r="C6912" t="str">
        <f t="shared" si="452"/>
        <v>371</v>
      </c>
      <c r="D6912" t="str">
        <f>"15"</f>
        <v>15</v>
      </c>
      <c r="E6912" t="str">
        <f>"1-371-15"</f>
        <v>1-371-15</v>
      </c>
      <c r="F6912" t="s">
        <v>15</v>
      </c>
      <c r="G6912" t="s">
        <v>18</v>
      </c>
      <c r="H6912" t="s">
        <v>19</v>
      </c>
      <c r="I6912">
        <v>0</v>
      </c>
      <c r="J6912">
        <v>0</v>
      </c>
      <c r="K6912">
        <v>1</v>
      </c>
    </row>
    <row r="6913" spans="1:11" x14ac:dyDescent="0.25">
      <c r="A6913" t="str">
        <f>"8610"</f>
        <v>8610</v>
      </c>
      <c r="B6913" t="str">
        <f t="shared" si="451"/>
        <v>1</v>
      </c>
      <c r="C6913" t="str">
        <f t="shared" si="452"/>
        <v>371</v>
      </c>
      <c r="D6913" t="str">
        <f>"1"</f>
        <v>1</v>
      </c>
      <c r="E6913" t="str">
        <f>"1-371-1"</f>
        <v>1-371-1</v>
      </c>
      <c r="F6913" t="s">
        <v>15</v>
      </c>
      <c r="G6913" t="s">
        <v>18</v>
      </c>
      <c r="H6913" t="s">
        <v>19</v>
      </c>
      <c r="I6913">
        <v>0</v>
      </c>
      <c r="J6913">
        <v>1</v>
      </c>
      <c r="K6913">
        <v>0</v>
      </c>
    </row>
    <row r="6914" spans="1:11" x14ac:dyDescent="0.25">
      <c r="A6914" t="str">
        <f>"8611"</f>
        <v>8611</v>
      </c>
      <c r="B6914" t="str">
        <f t="shared" si="451"/>
        <v>1</v>
      </c>
      <c r="C6914" t="str">
        <f t="shared" si="452"/>
        <v>371</v>
      </c>
      <c r="D6914" t="str">
        <f>"23"</f>
        <v>23</v>
      </c>
      <c r="E6914" t="str">
        <f>"1-371-23"</f>
        <v>1-371-23</v>
      </c>
      <c r="F6914" t="s">
        <v>15</v>
      </c>
      <c r="G6914" t="s">
        <v>18</v>
      </c>
      <c r="H6914" t="s">
        <v>19</v>
      </c>
      <c r="I6914">
        <v>0</v>
      </c>
      <c r="J6914">
        <v>1</v>
      </c>
      <c r="K6914">
        <v>0</v>
      </c>
    </row>
    <row r="6915" spans="1:11" x14ac:dyDescent="0.25">
      <c r="A6915" t="str">
        <f>"8612"</f>
        <v>8612</v>
      </c>
      <c r="B6915" t="str">
        <f t="shared" si="451"/>
        <v>1</v>
      </c>
      <c r="C6915" t="str">
        <f t="shared" si="452"/>
        <v>371</v>
      </c>
      <c r="D6915" t="str">
        <f>"16"</f>
        <v>16</v>
      </c>
      <c r="E6915" t="str">
        <f>"1-371-16"</f>
        <v>1-371-16</v>
      </c>
      <c r="F6915" t="s">
        <v>15</v>
      </c>
      <c r="G6915" t="s">
        <v>18</v>
      </c>
      <c r="H6915" t="s">
        <v>19</v>
      </c>
      <c r="I6915">
        <v>0</v>
      </c>
      <c r="J6915">
        <v>0</v>
      </c>
      <c r="K6915">
        <v>1</v>
      </c>
    </row>
    <row r="6916" spans="1:11" x14ac:dyDescent="0.25">
      <c r="A6916" t="str">
        <f>"8613"</f>
        <v>8613</v>
      </c>
      <c r="B6916" t="str">
        <f t="shared" si="451"/>
        <v>1</v>
      </c>
      <c r="C6916" t="str">
        <f t="shared" si="452"/>
        <v>371</v>
      </c>
      <c r="D6916" t="str">
        <f>"12"</f>
        <v>12</v>
      </c>
      <c r="E6916" t="str">
        <f>"1-371-12"</f>
        <v>1-371-12</v>
      </c>
      <c r="F6916" t="s">
        <v>15</v>
      </c>
      <c r="G6916" t="s">
        <v>18</v>
      </c>
      <c r="H6916" t="s">
        <v>19</v>
      </c>
      <c r="I6916">
        <v>1</v>
      </c>
      <c r="J6916">
        <v>0</v>
      </c>
      <c r="K6916">
        <v>0</v>
      </c>
    </row>
    <row r="6917" spans="1:11" x14ac:dyDescent="0.25">
      <c r="A6917" t="str">
        <f>"8614"</f>
        <v>8614</v>
      </c>
      <c r="B6917" t="str">
        <f t="shared" si="451"/>
        <v>1</v>
      </c>
      <c r="C6917" t="str">
        <f t="shared" si="452"/>
        <v>371</v>
      </c>
      <c r="D6917" t="str">
        <f>"17"</f>
        <v>17</v>
      </c>
      <c r="E6917" t="str">
        <f>"1-371-17"</f>
        <v>1-371-17</v>
      </c>
      <c r="F6917" t="s">
        <v>15</v>
      </c>
      <c r="G6917" t="s">
        <v>18</v>
      </c>
      <c r="H6917" t="s">
        <v>19</v>
      </c>
      <c r="I6917">
        <v>0</v>
      </c>
      <c r="J6917">
        <v>1</v>
      </c>
      <c r="K6917">
        <v>0</v>
      </c>
    </row>
    <row r="6918" spans="1:11" x14ac:dyDescent="0.25">
      <c r="A6918" t="str">
        <f>"8616"</f>
        <v>8616</v>
      </c>
      <c r="B6918" t="str">
        <f t="shared" si="451"/>
        <v>1</v>
      </c>
      <c r="C6918" t="str">
        <f t="shared" si="452"/>
        <v>371</v>
      </c>
      <c r="D6918" t="str">
        <f>"18"</f>
        <v>18</v>
      </c>
      <c r="E6918" t="str">
        <f>"1-371-18"</f>
        <v>1-371-18</v>
      </c>
      <c r="F6918" t="s">
        <v>15</v>
      </c>
      <c r="G6918" t="s">
        <v>18</v>
      </c>
      <c r="H6918" t="s">
        <v>19</v>
      </c>
      <c r="I6918">
        <v>0</v>
      </c>
      <c r="J6918">
        <v>0</v>
      </c>
      <c r="K6918">
        <v>1</v>
      </c>
    </row>
    <row r="6919" spans="1:11" x14ac:dyDescent="0.25">
      <c r="A6919" t="str">
        <f>"8617"</f>
        <v>8617</v>
      </c>
      <c r="B6919" t="str">
        <f t="shared" si="451"/>
        <v>1</v>
      </c>
      <c r="C6919" t="str">
        <f t="shared" si="452"/>
        <v>371</v>
      </c>
      <c r="D6919" t="str">
        <f>"2"</f>
        <v>2</v>
      </c>
      <c r="E6919" t="str">
        <f>"1-371-2"</f>
        <v>1-371-2</v>
      </c>
      <c r="F6919" t="s">
        <v>15</v>
      </c>
      <c r="G6919" t="s">
        <v>18</v>
      </c>
      <c r="H6919" t="s">
        <v>19</v>
      </c>
      <c r="I6919">
        <v>0</v>
      </c>
      <c r="J6919">
        <v>1</v>
      </c>
      <c r="K6919">
        <v>0</v>
      </c>
    </row>
    <row r="6920" spans="1:11" x14ac:dyDescent="0.25">
      <c r="A6920" t="str">
        <f>"8618"</f>
        <v>8618</v>
      </c>
      <c r="B6920" t="str">
        <f t="shared" si="451"/>
        <v>1</v>
      </c>
      <c r="C6920" t="str">
        <f t="shared" si="452"/>
        <v>371</v>
      </c>
      <c r="D6920" t="str">
        <f>"19"</f>
        <v>19</v>
      </c>
      <c r="E6920" t="str">
        <f>"1-371-19"</f>
        <v>1-371-19</v>
      </c>
      <c r="F6920" t="s">
        <v>15</v>
      </c>
      <c r="G6920" t="s">
        <v>18</v>
      </c>
      <c r="H6920" t="s">
        <v>19</v>
      </c>
      <c r="I6920">
        <v>0</v>
      </c>
      <c r="J6920">
        <v>0</v>
      </c>
      <c r="K6920">
        <v>1</v>
      </c>
    </row>
    <row r="6921" spans="1:11" x14ac:dyDescent="0.25">
      <c r="A6921" t="str">
        <f>"8621"</f>
        <v>8621</v>
      </c>
      <c r="B6921" t="str">
        <f t="shared" si="451"/>
        <v>1</v>
      </c>
      <c r="C6921" t="str">
        <f t="shared" si="452"/>
        <v>371</v>
      </c>
      <c r="D6921" t="str">
        <f>"4"</f>
        <v>4</v>
      </c>
      <c r="E6921" t="str">
        <f>"1-371-4"</f>
        <v>1-371-4</v>
      </c>
      <c r="F6921" t="s">
        <v>15</v>
      </c>
      <c r="G6921" t="s">
        <v>20</v>
      </c>
      <c r="H6921" t="s">
        <v>21</v>
      </c>
      <c r="I6921">
        <v>0</v>
      </c>
      <c r="J6921">
        <v>1</v>
      </c>
      <c r="K6921">
        <v>0</v>
      </c>
    </row>
    <row r="6922" spans="1:11" x14ac:dyDescent="0.25">
      <c r="A6922" t="str">
        <f>"8622"</f>
        <v>8622</v>
      </c>
      <c r="B6922" t="str">
        <f t="shared" si="451"/>
        <v>1</v>
      </c>
      <c r="C6922" t="str">
        <f t="shared" si="452"/>
        <v>371</v>
      </c>
      <c r="D6922" t="str">
        <f>"21"</f>
        <v>21</v>
      </c>
      <c r="E6922" t="str">
        <f>"1-371-21"</f>
        <v>1-371-21</v>
      </c>
      <c r="F6922" t="s">
        <v>15</v>
      </c>
      <c r="G6922" t="s">
        <v>18</v>
      </c>
      <c r="H6922" t="s">
        <v>19</v>
      </c>
      <c r="I6922">
        <v>1</v>
      </c>
      <c r="J6922">
        <v>0</v>
      </c>
      <c r="K6922">
        <v>0</v>
      </c>
    </row>
    <row r="6923" spans="1:11" x14ac:dyDescent="0.25">
      <c r="A6923" t="str">
        <f>"8623"</f>
        <v>8623</v>
      </c>
      <c r="B6923" t="str">
        <f t="shared" si="451"/>
        <v>1</v>
      </c>
      <c r="C6923" t="str">
        <f t="shared" si="452"/>
        <v>371</v>
      </c>
      <c r="D6923" t="str">
        <f>"6"</f>
        <v>6</v>
      </c>
      <c r="E6923" t="str">
        <f>"1-371-6"</f>
        <v>1-371-6</v>
      </c>
      <c r="F6923" t="s">
        <v>15</v>
      </c>
      <c r="G6923" t="s">
        <v>18</v>
      </c>
      <c r="H6923" t="s">
        <v>19</v>
      </c>
      <c r="I6923">
        <v>0</v>
      </c>
      <c r="J6923">
        <v>1</v>
      </c>
      <c r="K6923">
        <v>0</v>
      </c>
    </row>
    <row r="6924" spans="1:11" x14ac:dyDescent="0.25">
      <c r="A6924" t="str">
        <f>"8624"</f>
        <v>8624</v>
      </c>
      <c r="B6924" t="str">
        <f t="shared" si="451"/>
        <v>1</v>
      </c>
      <c r="C6924" t="str">
        <f t="shared" si="452"/>
        <v>371</v>
      </c>
      <c r="D6924" t="str">
        <f>"24"</f>
        <v>24</v>
      </c>
      <c r="E6924" t="str">
        <f>"1-371-24"</f>
        <v>1-371-24</v>
      </c>
      <c r="F6924" t="s">
        <v>15</v>
      </c>
      <c r="G6924" t="s">
        <v>18</v>
      </c>
      <c r="H6924" t="s">
        <v>19</v>
      </c>
      <c r="I6924">
        <v>0</v>
      </c>
      <c r="J6924">
        <v>0</v>
      </c>
      <c r="K6924">
        <v>1</v>
      </c>
    </row>
    <row r="6925" spans="1:11" x14ac:dyDescent="0.25">
      <c r="A6925" t="str">
        <f>"8625"</f>
        <v>8625</v>
      </c>
      <c r="B6925" t="str">
        <f t="shared" si="451"/>
        <v>1</v>
      </c>
      <c r="C6925" t="str">
        <f t="shared" si="452"/>
        <v>371</v>
      </c>
      <c r="D6925" t="str">
        <f>"5"</f>
        <v>5</v>
      </c>
      <c r="E6925" t="str">
        <f>"1-371-5"</f>
        <v>1-371-5</v>
      </c>
      <c r="F6925" t="s">
        <v>15</v>
      </c>
      <c r="G6925" t="s">
        <v>20</v>
      </c>
      <c r="H6925" t="s">
        <v>21</v>
      </c>
      <c r="I6925">
        <v>1</v>
      </c>
      <c r="J6925">
        <v>0</v>
      </c>
      <c r="K6925">
        <v>0</v>
      </c>
    </row>
    <row r="6926" spans="1:11" x14ac:dyDescent="0.25">
      <c r="A6926" t="str">
        <f>"8626"</f>
        <v>8626</v>
      </c>
      <c r="B6926" t="str">
        <f t="shared" si="451"/>
        <v>1</v>
      </c>
      <c r="C6926" t="str">
        <f t="shared" si="452"/>
        <v>371</v>
      </c>
      <c r="D6926" t="str">
        <f>"10"</f>
        <v>10</v>
      </c>
      <c r="E6926" t="str">
        <f>"1-371-10"</f>
        <v>1-371-10</v>
      </c>
      <c r="F6926" t="s">
        <v>15</v>
      </c>
      <c r="G6926" t="s">
        <v>18</v>
      </c>
      <c r="H6926" t="s">
        <v>19</v>
      </c>
      <c r="I6926">
        <v>0</v>
      </c>
      <c r="J6926">
        <v>1</v>
      </c>
      <c r="K6926">
        <v>0</v>
      </c>
    </row>
    <row r="6927" spans="1:11" x14ac:dyDescent="0.25">
      <c r="A6927" t="str">
        <f>"8627"</f>
        <v>8627</v>
      </c>
      <c r="B6927" t="str">
        <f t="shared" si="451"/>
        <v>1</v>
      </c>
      <c r="C6927" t="str">
        <f t="shared" si="452"/>
        <v>371</v>
      </c>
      <c r="D6927" t="str">
        <f>"8"</f>
        <v>8</v>
      </c>
      <c r="E6927" t="str">
        <f>"1-371-8"</f>
        <v>1-371-8</v>
      </c>
      <c r="F6927" t="s">
        <v>15</v>
      </c>
      <c r="G6927" t="s">
        <v>18</v>
      </c>
      <c r="H6927" t="s">
        <v>19</v>
      </c>
      <c r="I6927">
        <v>0</v>
      </c>
      <c r="J6927">
        <v>0</v>
      </c>
      <c r="K6927">
        <v>1</v>
      </c>
    </row>
    <row r="6928" spans="1:11" x14ac:dyDescent="0.25">
      <c r="A6928" t="str">
        <f>"8628"</f>
        <v>8628</v>
      </c>
      <c r="B6928" t="str">
        <f t="shared" si="451"/>
        <v>1</v>
      </c>
      <c r="C6928" t="str">
        <f t="shared" si="452"/>
        <v>371</v>
      </c>
      <c r="D6928" t="str">
        <f>"3"</f>
        <v>3</v>
      </c>
      <c r="E6928" t="str">
        <f>"1-371-3"</f>
        <v>1-371-3</v>
      </c>
      <c r="F6928" t="s">
        <v>15</v>
      </c>
      <c r="G6928" t="s">
        <v>18</v>
      </c>
      <c r="H6928" t="s">
        <v>19</v>
      </c>
      <c r="I6928">
        <v>1</v>
      </c>
      <c r="J6928">
        <v>0</v>
      </c>
      <c r="K6928">
        <v>0</v>
      </c>
    </row>
    <row r="6929" spans="1:11" x14ac:dyDescent="0.25">
      <c r="A6929" t="str">
        <f>"8629"</f>
        <v>8629</v>
      </c>
      <c r="B6929" t="str">
        <f t="shared" si="451"/>
        <v>1</v>
      </c>
      <c r="C6929" t="str">
        <f t="shared" si="452"/>
        <v>371</v>
      </c>
      <c r="D6929" t="str">
        <f>"7"</f>
        <v>7</v>
      </c>
      <c r="E6929" t="str">
        <f>"1-371-7"</f>
        <v>1-371-7</v>
      </c>
      <c r="F6929" t="s">
        <v>15</v>
      </c>
      <c r="G6929" t="s">
        <v>18</v>
      </c>
      <c r="H6929" t="s">
        <v>19</v>
      </c>
      <c r="I6929">
        <v>1</v>
      </c>
      <c r="J6929">
        <v>0</v>
      </c>
      <c r="K6929">
        <v>0</v>
      </c>
    </row>
    <row r="6930" spans="1:11" x14ac:dyDescent="0.25">
      <c r="A6930" t="str">
        <f>"8630"</f>
        <v>8630</v>
      </c>
      <c r="B6930" t="str">
        <f t="shared" si="451"/>
        <v>1</v>
      </c>
      <c r="C6930" t="str">
        <f t="shared" si="452"/>
        <v>371</v>
      </c>
      <c r="D6930" t="str">
        <f>"13"</f>
        <v>13</v>
      </c>
      <c r="E6930" t="str">
        <f>"1-371-13"</f>
        <v>1-371-13</v>
      </c>
      <c r="F6930" t="s">
        <v>15</v>
      </c>
      <c r="G6930" t="s">
        <v>18</v>
      </c>
      <c r="H6930" t="s">
        <v>19</v>
      </c>
      <c r="I6930">
        <v>0</v>
      </c>
      <c r="J6930">
        <v>0</v>
      </c>
      <c r="K6930">
        <v>1</v>
      </c>
    </row>
    <row r="6931" spans="1:11" x14ac:dyDescent="0.25">
      <c r="A6931" t="str">
        <f>"8631"</f>
        <v>8631</v>
      </c>
      <c r="B6931" t="str">
        <f t="shared" si="451"/>
        <v>1</v>
      </c>
      <c r="C6931" t="str">
        <f t="shared" si="452"/>
        <v>371</v>
      </c>
      <c r="D6931" t="str">
        <f>"11"</f>
        <v>11</v>
      </c>
      <c r="E6931" t="str">
        <f>"1-371-11"</f>
        <v>1-371-11</v>
      </c>
      <c r="F6931" t="s">
        <v>15</v>
      </c>
      <c r="G6931" t="s">
        <v>18</v>
      </c>
      <c r="H6931" t="s">
        <v>19</v>
      </c>
      <c r="I6931">
        <v>1</v>
      </c>
      <c r="J6931">
        <v>0</v>
      </c>
      <c r="K6931">
        <v>0</v>
      </c>
    </row>
    <row r="6932" spans="1:11" x14ac:dyDescent="0.25">
      <c r="A6932" t="str">
        <f>"8632"</f>
        <v>8632</v>
      </c>
      <c r="B6932" t="str">
        <f t="shared" si="451"/>
        <v>1</v>
      </c>
      <c r="C6932" t="str">
        <f t="shared" ref="C6932:C6940" si="453">"372"</f>
        <v>372</v>
      </c>
      <c r="D6932" t="str">
        <f>"15"</f>
        <v>15</v>
      </c>
      <c r="E6932" t="str">
        <f>"1-372-15"</f>
        <v>1-372-15</v>
      </c>
      <c r="F6932" t="s">
        <v>15</v>
      </c>
      <c r="G6932" t="s">
        <v>20</v>
      </c>
      <c r="H6932" t="s">
        <v>21</v>
      </c>
      <c r="I6932">
        <v>0</v>
      </c>
      <c r="J6932">
        <v>0</v>
      </c>
      <c r="K6932">
        <v>1</v>
      </c>
    </row>
    <row r="6933" spans="1:11" x14ac:dyDescent="0.25">
      <c r="A6933" t="str">
        <f>"8633"</f>
        <v>8633</v>
      </c>
      <c r="B6933" t="str">
        <f t="shared" si="451"/>
        <v>1</v>
      </c>
      <c r="C6933" t="str">
        <f t="shared" si="453"/>
        <v>372</v>
      </c>
      <c r="D6933" t="str">
        <f>"5"</f>
        <v>5</v>
      </c>
      <c r="E6933" t="str">
        <f>"1-372-5"</f>
        <v>1-372-5</v>
      </c>
      <c r="F6933" t="s">
        <v>15</v>
      </c>
      <c r="G6933" t="s">
        <v>20</v>
      </c>
      <c r="H6933" t="s">
        <v>21</v>
      </c>
      <c r="I6933">
        <v>1</v>
      </c>
      <c r="J6933">
        <v>0</v>
      </c>
      <c r="K6933">
        <v>0</v>
      </c>
    </row>
    <row r="6934" spans="1:11" x14ac:dyDescent="0.25">
      <c r="A6934" t="str">
        <f>"8634"</f>
        <v>8634</v>
      </c>
      <c r="B6934" t="str">
        <f t="shared" si="451"/>
        <v>1</v>
      </c>
      <c r="C6934" t="str">
        <f t="shared" si="453"/>
        <v>372</v>
      </c>
      <c r="D6934" t="str">
        <f>"2"</f>
        <v>2</v>
      </c>
      <c r="E6934" t="str">
        <f>"1-372-2"</f>
        <v>1-372-2</v>
      </c>
      <c r="F6934" t="s">
        <v>15</v>
      </c>
      <c r="G6934" t="s">
        <v>20</v>
      </c>
      <c r="H6934" t="s">
        <v>21</v>
      </c>
      <c r="I6934">
        <v>0</v>
      </c>
      <c r="J6934">
        <v>0</v>
      </c>
      <c r="K6934">
        <v>1</v>
      </c>
    </row>
    <row r="6935" spans="1:11" x14ac:dyDescent="0.25">
      <c r="A6935" t="str">
        <f>"8640"</f>
        <v>8640</v>
      </c>
      <c r="B6935" t="str">
        <f t="shared" si="451"/>
        <v>1</v>
      </c>
      <c r="C6935" t="str">
        <f t="shared" si="453"/>
        <v>372</v>
      </c>
      <c r="D6935" t="str">
        <f>"3"</f>
        <v>3</v>
      </c>
      <c r="E6935" t="str">
        <f>"1-372-3"</f>
        <v>1-372-3</v>
      </c>
      <c r="F6935" t="s">
        <v>15</v>
      </c>
      <c r="G6935" t="s">
        <v>20</v>
      </c>
      <c r="H6935" t="s">
        <v>21</v>
      </c>
      <c r="I6935">
        <v>0</v>
      </c>
      <c r="J6935">
        <v>0</v>
      </c>
      <c r="K6935">
        <v>1</v>
      </c>
    </row>
    <row r="6936" spans="1:11" x14ac:dyDescent="0.25">
      <c r="A6936" t="str">
        <f>"8642"</f>
        <v>8642</v>
      </c>
      <c r="B6936" t="str">
        <f t="shared" si="451"/>
        <v>1</v>
      </c>
      <c r="C6936" t="str">
        <f t="shared" si="453"/>
        <v>372</v>
      </c>
      <c r="D6936" t="str">
        <f>"9"</f>
        <v>9</v>
      </c>
      <c r="E6936" t="str">
        <f>"1-372-9"</f>
        <v>1-372-9</v>
      </c>
      <c r="F6936" t="s">
        <v>15</v>
      </c>
      <c r="G6936" t="s">
        <v>20</v>
      </c>
      <c r="H6936" t="s">
        <v>21</v>
      </c>
      <c r="I6936">
        <v>0</v>
      </c>
      <c r="J6936">
        <v>0</v>
      </c>
      <c r="K6936">
        <v>1</v>
      </c>
    </row>
    <row r="6937" spans="1:11" x14ac:dyDescent="0.25">
      <c r="A6937" t="str">
        <f>"8643"</f>
        <v>8643</v>
      </c>
      <c r="B6937" t="str">
        <f t="shared" si="451"/>
        <v>1</v>
      </c>
      <c r="C6937" t="str">
        <f t="shared" si="453"/>
        <v>372</v>
      </c>
      <c r="D6937" t="str">
        <f>"6"</f>
        <v>6</v>
      </c>
      <c r="E6937" t="str">
        <f>"1-372-6"</f>
        <v>1-372-6</v>
      </c>
      <c r="F6937" t="s">
        <v>15</v>
      </c>
      <c r="G6937" t="s">
        <v>20</v>
      </c>
      <c r="H6937" t="s">
        <v>21</v>
      </c>
      <c r="I6937">
        <v>1</v>
      </c>
      <c r="J6937">
        <v>0</v>
      </c>
      <c r="K6937">
        <v>0</v>
      </c>
    </row>
    <row r="6938" spans="1:11" x14ac:dyDescent="0.25">
      <c r="A6938" t="str">
        <f>"8644"</f>
        <v>8644</v>
      </c>
      <c r="B6938" t="str">
        <f t="shared" si="451"/>
        <v>1</v>
      </c>
      <c r="C6938" t="str">
        <f t="shared" si="453"/>
        <v>372</v>
      </c>
      <c r="D6938" t="str">
        <f>"13"</f>
        <v>13</v>
      </c>
      <c r="E6938" t="str">
        <f>"1-372-13"</f>
        <v>1-372-13</v>
      </c>
      <c r="F6938" t="s">
        <v>15</v>
      </c>
      <c r="G6938" t="s">
        <v>20</v>
      </c>
      <c r="H6938" t="s">
        <v>21</v>
      </c>
      <c r="I6938">
        <v>0</v>
      </c>
      <c r="J6938">
        <v>0</v>
      </c>
      <c r="K6938">
        <v>1</v>
      </c>
    </row>
    <row r="6939" spans="1:11" x14ac:dyDescent="0.25">
      <c r="A6939" t="str">
        <f>"8645"</f>
        <v>8645</v>
      </c>
      <c r="B6939" t="str">
        <f t="shared" si="451"/>
        <v>1</v>
      </c>
      <c r="C6939" t="str">
        <f t="shared" si="453"/>
        <v>372</v>
      </c>
      <c r="D6939" t="str">
        <f>"4"</f>
        <v>4</v>
      </c>
      <c r="E6939" t="str">
        <f>"1-372-4"</f>
        <v>1-372-4</v>
      </c>
      <c r="F6939" t="s">
        <v>15</v>
      </c>
      <c r="G6939" t="s">
        <v>20</v>
      </c>
      <c r="H6939" t="s">
        <v>21</v>
      </c>
      <c r="I6939">
        <v>0</v>
      </c>
      <c r="J6939">
        <v>0</v>
      </c>
      <c r="K6939">
        <v>1</v>
      </c>
    </row>
    <row r="6940" spans="1:11" x14ac:dyDescent="0.25">
      <c r="A6940" t="str">
        <f>"8646"</f>
        <v>8646</v>
      </c>
      <c r="B6940" t="str">
        <f t="shared" si="451"/>
        <v>1</v>
      </c>
      <c r="C6940" t="str">
        <f t="shared" si="453"/>
        <v>372</v>
      </c>
      <c r="D6940" t="str">
        <f>"11"</f>
        <v>11</v>
      </c>
      <c r="E6940" t="str">
        <f>"1-372-11"</f>
        <v>1-372-11</v>
      </c>
      <c r="F6940" t="s">
        <v>15</v>
      </c>
      <c r="G6940" t="s">
        <v>20</v>
      </c>
      <c r="H6940" t="s">
        <v>21</v>
      </c>
      <c r="I6940">
        <v>1</v>
      </c>
      <c r="J6940">
        <v>0</v>
      </c>
      <c r="K6940">
        <v>0</v>
      </c>
    </row>
    <row r="6941" spans="1:11" x14ac:dyDescent="0.25">
      <c r="A6941" t="str">
        <f>"8647"</f>
        <v>8647</v>
      </c>
      <c r="B6941" t="str">
        <f t="shared" si="451"/>
        <v>1</v>
      </c>
      <c r="C6941" t="str">
        <f t="shared" ref="C6941:C6959" si="454">"373"</f>
        <v>373</v>
      </c>
      <c r="D6941" t="str">
        <f>"15"</f>
        <v>15</v>
      </c>
      <c r="E6941" t="str">
        <f>"1-373-15"</f>
        <v>1-373-15</v>
      </c>
      <c r="F6941" t="s">
        <v>15</v>
      </c>
      <c r="G6941" t="s">
        <v>20</v>
      </c>
      <c r="H6941" t="s">
        <v>21</v>
      </c>
      <c r="I6941">
        <v>0</v>
      </c>
      <c r="J6941">
        <v>0</v>
      </c>
      <c r="K6941">
        <v>1</v>
      </c>
    </row>
    <row r="6942" spans="1:11" x14ac:dyDescent="0.25">
      <c r="A6942" t="str">
        <f>"8648"</f>
        <v>8648</v>
      </c>
      <c r="B6942" t="str">
        <f t="shared" si="451"/>
        <v>1</v>
      </c>
      <c r="C6942" t="str">
        <f t="shared" si="454"/>
        <v>373</v>
      </c>
      <c r="D6942" t="str">
        <f>"2"</f>
        <v>2</v>
      </c>
      <c r="E6942" t="str">
        <f>"1-373-2"</f>
        <v>1-373-2</v>
      </c>
      <c r="F6942" t="s">
        <v>15</v>
      </c>
      <c r="G6942" t="s">
        <v>20</v>
      </c>
      <c r="H6942" t="s">
        <v>21</v>
      </c>
      <c r="I6942">
        <v>0</v>
      </c>
      <c r="J6942">
        <v>0</v>
      </c>
      <c r="K6942">
        <v>1</v>
      </c>
    </row>
    <row r="6943" spans="1:11" x14ac:dyDescent="0.25">
      <c r="A6943" t="str">
        <f>"8649"</f>
        <v>8649</v>
      </c>
      <c r="B6943" t="str">
        <f t="shared" si="451"/>
        <v>1</v>
      </c>
      <c r="C6943" t="str">
        <f t="shared" si="454"/>
        <v>373</v>
      </c>
      <c r="D6943" t="str">
        <f>"16"</f>
        <v>16</v>
      </c>
      <c r="E6943" t="str">
        <f>"1-373-16"</f>
        <v>1-373-16</v>
      </c>
      <c r="F6943" t="s">
        <v>15</v>
      </c>
      <c r="G6943" t="s">
        <v>20</v>
      </c>
      <c r="H6943" t="s">
        <v>21</v>
      </c>
      <c r="I6943">
        <v>0</v>
      </c>
      <c r="J6943">
        <v>0</v>
      </c>
      <c r="K6943">
        <v>1</v>
      </c>
    </row>
    <row r="6944" spans="1:11" x14ac:dyDescent="0.25">
      <c r="A6944" t="str">
        <f>"8650"</f>
        <v>8650</v>
      </c>
      <c r="B6944" t="str">
        <f t="shared" si="451"/>
        <v>1</v>
      </c>
      <c r="C6944" t="str">
        <f t="shared" si="454"/>
        <v>373</v>
      </c>
      <c r="D6944" t="str">
        <f>"6"</f>
        <v>6</v>
      </c>
      <c r="E6944" t="str">
        <f>"1-373-6"</f>
        <v>1-373-6</v>
      </c>
      <c r="F6944" t="s">
        <v>15</v>
      </c>
      <c r="G6944" t="s">
        <v>20</v>
      </c>
      <c r="H6944" t="s">
        <v>21</v>
      </c>
      <c r="I6944">
        <v>1</v>
      </c>
      <c r="J6944">
        <v>0</v>
      </c>
      <c r="K6944">
        <v>0</v>
      </c>
    </row>
    <row r="6945" spans="1:11" x14ac:dyDescent="0.25">
      <c r="A6945" t="str">
        <f>"8651"</f>
        <v>8651</v>
      </c>
      <c r="B6945" t="str">
        <f t="shared" si="451"/>
        <v>1</v>
      </c>
      <c r="C6945" t="str">
        <f t="shared" si="454"/>
        <v>373</v>
      </c>
      <c r="D6945" t="str">
        <f>"17"</f>
        <v>17</v>
      </c>
      <c r="E6945" t="str">
        <f>"1-373-17"</f>
        <v>1-373-17</v>
      </c>
      <c r="F6945" t="s">
        <v>15</v>
      </c>
      <c r="G6945" t="s">
        <v>20</v>
      </c>
      <c r="H6945" t="s">
        <v>21</v>
      </c>
      <c r="I6945">
        <v>1</v>
      </c>
      <c r="J6945">
        <v>0</v>
      </c>
      <c r="K6945">
        <v>0</v>
      </c>
    </row>
    <row r="6946" spans="1:11" x14ac:dyDescent="0.25">
      <c r="A6946" t="str">
        <f>"8653"</f>
        <v>8653</v>
      </c>
      <c r="B6946" t="str">
        <f t="shared" si="451"/>
        <v>1</v>
      </c>
      <c r="C6946" t="str">
        <f t="shared" si="454"/>
        <v>373</v>
      </c>
      <c r="D6946" t="str">
        <f>"14"</f>
        <v>14</v>
      </c>
      <c r="E6946" t="str">
        <f>"1-373-14"</f>
        <v>1-373-14</v>
      </c>
      <c r="F6946" t="s">
        <v>15</v>
      </c>
      <c r="G6946" t="s">
        <v>20</v>
      </c>
      <c r="H6946" t="s">
        <v>21</v>
      </c>
      <c r="I6946">
        <v>0</v>
      </c>
      <c r="J6946">
        <v>0</v>
      </c>
      <c r="K6946">
        <v>1</v>
      </c>
    </row>
    <row r="6947" spans="1:11" x14ac:dyDescent="0.25">
      <c r="A6947" t="str">
        <f>"8658"</f>
        <v>8658</v>
      </c>
      <c r="B6947" t="str">
        <f t="shared" si="451"/>
        <v>1</v>
      </c>
      <c r="C6947" t="str">
        <f t="shared" si="454"/>
        <v>373</v>
      </c>
      <c r="D6947" t="str">
        <f>"21"</f>
        <v>21</v>
      </c>
      <c r="E6947" t="str">
        <f>"1-373-21"</f>
        <v>1-373-21</v>
      </c>
      <c r="F6947" t="s">
        <v>15</v>
      </c>
      <c r="G6947" t="s">
        <v>20</v>
      </c>
      <c r="H6947" t="s">
        <v>21</v>
      </c>
      <c r="I6947">
        <v>0</v>
      </c>
      <c r="J6947">
        <v>0</v>
      </c>
      <c r="K6947">
        <v>1</v>
      </c>
    </row>
    <row r="6948" spans="1:11" x14ac:dyDescent="0.25">
      <c r="A6948" t="str">
        <f>"8659"</f>
        <v>8659</v>
      </c>
      <c r="B6948" t="str">
        <f t="shared" si="451"/>
        <v>1</v>
      </c>
      <c r="C6948" t="str">
        <f t="shared" si="454"/>
        <v>373</v>
      </c>
      <c r="D6948" t="str">
        <f>"1"</f>
        <v>1</v>
      </c>
      <c r="E6948" t="str">
        <f>"1-373-1"</f>
        <v>1-373-1</v>
      </c>
      <c r="F6948" t="s">
        <v>15</v>
      </c>
      <c r="G6948" t="s">
        <v>20</v>
      </c>
      <c r="H6948" t="s">
        <v>21</v>
      </c>
      <c r="I6948">
        <v>0</v>
      </c>
      <c r="J6948">
        <v>0</v>
      </c>
      <c r="K6948">
        <v>1</v>
      </c>
    </row>
    <row r="6949" spans="1:11" x14ac:dyDescent="0.25">
      <c r="A6949" t="str">
        <f>"8660"</f>
        <v>8660</v>
      </c>
      <c r="B6949" t="str">
        <f t="shared" si="451"/>
        <v>1</v>
      </c>
      <c r="C6949" t="str">
        <f t="shared" si="454"/>
        <v>373</v>
      </c>
      <c r="D6949" t="str">
        <f>"9"</f>
        <v>9</v>
      </c>
      <c r="E6949" t="str">
        <f>"1-373-9"</f>
        <v>1-373-9</v>
      </c>
      <c r="F6949" t="s">
        <v>15</v>
      </c>
      <c r="G6949" t="s">
        <v>20</v>
      </c>
      <c r="H6949" t="s">
        <v>21</v>
      </c>
      <c r="I6949">
        <v>0</v>
      </c>
      <c r="J6949">
        <v>0</v>
      </c>
      <c r="K6949">
        <v>1</v>
      </c>
    </row>
    <row r="6950" spans="1:11" x14ac:dyDescent="0.25">
      <c r="A6950" t="str">
        <f>"8661"</f>
        <v>8661</v>
      </c>
      <c r="B6950" t="str">
        <f t="shared" si="451"/>
        <v>1</v>
      </c>
      <c r="C6950" t="str">
        <f t="shared" si="454"/>
        <v>373</v>
      </c>
      <c r="D6950" t="str">
        <f>"11"</f>
        <v>11</v>
      </c>
      <c r="E6950" t="str">
        <f>"1-373-11"</f>
        <v>1-373-11</v>
      </c>
      <c r="F6950" t="s">
        <v>15</v>
      </c>
      <c r="G6950" t="s">
        <v>20</v>
      </c>
      <c r="H6950" t="s">
        <v>21</v>
      </c>
      <c r="I6950">
        <v>0</v>
      </c>
      <c r="J6950">
        <v>0</v>
      </c>
      <c r="K6950">
        <v>1</v>
      </c>
    </row>
    <row r="6951" spans="1:11" x14ac:dyDescent="0.25">
      <c r="A6951" t="str">
        <f>"8662"</f>
        <v>8662</v>
      </c>
      <c r="B6951" t="str">
        <f t="shared" si="451"/>
        <v>1</v>
      </c>
      <c r="C6951" t="str">
        <f t="shared" si="454"/>
        <v>373</v>
      </c>
      <c r="D6951" t="str">
        <f>"12"</f>
        <v>12</v>
      </c>
      <c r="E6951" t="str">
        <f>"1-373-12"</f>
        <v>1-373-12</v>
      </c>
      <c r="F6951" t="s">
        <v>15</v>
      </c>
      <c r="G6951" t="s">
        <v>20</v>
      </c>
      <c r="H6951" t="s">
        <v>21</v>
      </c>
      <c r="I6951">
        <v>0</v>
      </c>
      <c r="J6951">
        <v>0</v>
      </c>
      <c r="K6951">
        <v>1</v>
      </c>
    </row>
    <row r="6952" spans="1:11" x14ac:dyDescent="0.25">
      <c r="A6952" t="str">
        <f>"8663"</f>
        <v>8663</v>
      </c>
      <c r="B6952" t="str">
        <f t="shared" si="451"/>
        <v>1</v>
      </c>
      <c r="C6952" t="str">
        <f t="shared" si="454"/>
        <v>373</v>
      </c>
      <c r="D6952" t="str">
        <f>"8"</f>
        <v>8</v>
      </c>
      <c r="E6952" t="str">
        <f>"1-373-8"</f>
        <v>1-373-8</v>
      </c>
      <c r="F6952" t="s">
        <v>15</v>
      </c>
      <c r="G6952" t="s">
        <v>20</v>
      </c>
      <c r="H6952" t="s">
        <v>21</v>
      </c>
      <c r="I6952">
        <v>0</v>
      </c>
      <c r="J6952">
        <v>0</v>
      </c>
      <c r="K6952">
        <v>1</v>
      </c>
    </row>
    <row r="6953" spans="1:11" x14ac:dyDescent="0.25">
      <c r="A6953" t="str">
        <f>"8664"</f>
        <v>8664</v>
      </c>
      <c r="B6953" t="str">
        <f t="shared" si="451"/>
        <v>1</v>
      </c>
      <c r="C6953" t="str">
        <f t="shared" si="454"/>
        <v>373</v>
      </c>
      <c r="D6953" t="str">
        <f>"7"</f>
        <v>7</v>
      </c>
      <c r="E6953" t="str">
        <f>"1-373-7"</f>
        <v>1-373-7</v>
      </c>
      <c r="F6953" t="s">
        <v>15</v>
      </c>
      <c r="G6953" t="s">
        <v>20</v>
      </c>
      <c r="H6953" t="s">
        <v>21</v>
      </c>
      <c r="I6953">
        <v>0</v>
      </c>
      <c r="J6953">
        <v>0</v>
      </c>
      <c r="K6953">
        <v>1</v>
      </c>
    </row>
    <row r="6954" spans="1:11" x14ac:dyDescent="0.25">
      <c r="A6954" t="str">
        <f>"8665"</f>
        <v>8665</v>
      </c>
      <c r="B6954" t="str">
        <f t="shared" si="451"/>
        <v>1</v>
      </c>
      <c r="C6954" t="str">
        <f t="shared" si="454"/>
        <v>373</v>
      </c>
      <c r="D6954" t="str">
        <f>"24"</f>
        <v>24</v>
      </c>
      <c r="E6954" t="str">
        <f>"1-373-24"</f>
        <v>1-373-24</v>
      </c>
      <c r="F6954" t="s">
        <v>15</v>
      </c>
      <c r="G6954" t="s">
        <v>20</v>
      </c>
      <c r="H6954" t="s">
        <v>21</v>
      </c>
      <c r="I6954">
        <v>0</v>
      </c>
      <c r="J6954">
        <v>0</v>
      </c>
      <c r="K6954">
        <v>0</v>
      </c>
    </row>
    <row r="6955" spans="1:11" x14ac:dyDescent="0.25">
      <c r="A6955" t="str">
        <f>"8666"</f>
        <v>8666</v>
      </c>
      <c r="B6955" t="str">
        <f t="shared" ref="B6955:B7018" si="455">"1"</f>
        <v>1</v>
      </c>
      <c r="C6955" t="str">
        <f t="shared" si="454"/>
        <v>373</v>
      </c>
      <c r="D6955" t="str">
        <f>"22"</f>
        <v>22</v>
      </c>
      <c r="E6955" t="str">
        <f>"1-373-22"</f>
        <v>1-373-22</v>
      </c>
      <c r="F6955" t="s">
        <v>15</v>
      </c>
      <c r="G6955" t="s">
        <v>20</v>
      </c>
      <c r="H6955" t="s">
        <v>21</v>
      </c>
      <c r="I6955">
        <v>0</v>
      </c>
      <c r="J6955">
        <v>0</v>
      </c>
      <c r="K6955">
        <v>0</v>
      </c>
    </row>
    <row r="6956" spans="1:11" x14ac:dyDescent="0.25">
      <c r="A6956" t="str">
        <f>"8667"</f>
        <v>8667</v>
      </c>
      <c r="B6956" t="str">
        <f t="shared" si="455"/>
        <v>1</v>
      </c>
      <c r="C6956" t="str">
        <f t="shared" si="454"/>
        <v>373</v>
      </c>
      <c r="D6956" t="str">
        <f>"13"</f>
        <v>13</v>
      </c>
      <c r="E6956" t="str">
        <f>"1-373-13"</f>
        <v>1-373-13</v>
      </c>
      <c r="F6956" t="s">
        <v>15</v>
      </c>
      <c r="G6956" t="s">
        <v>20</v>
      </c>
      <c r="H6956" t="s">
        <v>21</v>
      </c>
      <c r="I6956">
        <v>0</v>
      </c>
      <c r="J6956">
        <v>0</v>
      </c>
      <c r="K6956">
        <v>0</v>
      </c>
    </row>
    <row r="6957" spans="1:11" x14ac:dyDescent="0.25">
      <c r="A6957" t="str">
        <f>"8668"</f>
        <v>8668</v>
      </c>
      <c r="B6957" t="str">
        <f t="shared" si="455"/>
        <v>1</v>
      </c>
      <c r="C6957" t="str">
        <f t="shared" si="454"/>
        <v>373</v>
      </c>
      <c r="D6957" t="str">
        <f>"10"</f>
        <v>10</v>
      </c>
      <c r="E6957" t="str">
        <f>"1-373-10"</f>
        <v>1-373-10</v>
      </c>
      <c r="F6957" t="s">
        <v>15</v>
      </c>
      <c r="G6957" t="s">
        <v>20</v>
      </c>
      <c r="H6957" t="s">
        <v>21</v>
      </c>
      <c r="I6957">
        <v>0</v>
      </c>
      <c r="J6957">
        <v>0</v>
      </c>
      <c r="K6957">
        <v>0</v>
      </c>
    </row>
    <row r="6958" spans="1:11" x14ac:dyDescent="0.25">
      <c r="A6958" t="str">
        <f>"8669"</f>
        <v>8669</v>
      </c>
      <c r="B6958" t="str">
        <f t="shared" si="455"/>
        <v>1</v>
      </c>
      <c r="C6958" t="str">
        <f t="shared" si="454"/>
        <v>373</v>
      </c>
      <c r="D6958" t="str">
        <f>"23"</f>
        <v>23</v>
      </c>
      <c r="E6958" t="str">
        <f>"1-373-23"</f>
        <v>1-373-23</v>
      </c>
      <c r="F6958" t="s">
        <v>15</v>
      </c>
      <c r="G6958" t="s">
        <v>20</v>
      </c>
      <c r="H6958" t="s">
        <v>21</v>
      </c>
      <c r="I6958">
        <v>0</v>
      </c>
      <c r="J6958">
        <v>0</v>
      </c>
      <c r="K6958">
        <v>0</v>
      </c>
    </row>
    <row r="6959" spans="1:11" x14ac:dyDescent="0.25">
      <c r="A6959" t="str">
        <f>"8670"</f>
        <v>8670</v>
      </c>
      <c r="B6959" t="str">
        <f t="shared" si="455"/>
        <v>1</v>
      </c>
      <c r="C6959" t="str">
        <f t="shared" si="454"/>
        <v>373</v>
      </c>
      <c r="D6959" t="str">
        <f>"3"</f>
        <v>3</v>
      </c>
      <c r="E6959" t="str">
        <f>"1-373-3"</f>
        <v>1-373-3</v>
      </c>
      <c r="F6959" t="s">
        <v>15</v>
      </c>
      <c r="G6959" t="s">
        <v>20</v>
      </c>
      <c r="H6959" t="s">
        <v>21</v>
      </c>
      <c r="I6959">
        <v>0</v>
      </c>
      <c r="J6959">
        <v>0</v>
      </c>
      <c r="K6959">
        <v>0</v>
      </c>
    </row>
    <row r="6960" spans="1:11" x14ac:dyDescent="0.25">
      <c r="A6960" t="str">
        <f>"8671"</f>
        <v>8671</v>
      </c>
      <c r="B6960" t="str">
        <f t="shared" si="455"/>
        <v>1</v>
      </c>
      <c r="C6960" t="str">
        <f t="shared" ref="C6960:C6984" si="456">"374"</f>
        <v>374</v>
      </c>
      <c r="D6960" t="str">
        <f>"15"</f>
        <v>15</v>
      </c>
      <c r="E6960" t="str">
        <f>"1-374-15"</f>
        <v>1-374-15</v>
      </c>
      <c r="F6960" t="s">
        <v>15</v>
      </c>
      <c r="G6960" t="s">
        <v>16</v>
      </c>
      <c r="H6960" t="s">
        <v>17</v>
      </c>
      <c r="I6960">
        <v>1</v>
      </c>
      <c r="J6960">
        <v>0</v>
      </c>
      <c r="K6960">
        <v>0</v>
      </c>
    </row>
    <row r="6961" spans="1:11" x14ac:dyDescent="0.25">
      <c r="A6961" t="str">
        <f>"8672"</f>
        <v>8672</v>
      </c>
      <c r="B6961" t="str">
        <f t="shared" si="455"/>
        <v>1</v>
      </c>
      <c r="C6961" t="str">
        <f t="shared" si="456"/>
        <v>374</v>
      </c>
      <c r="D6961" t="str">
        <f>"9"</f>
        <v>9</v>
      </c>
      <c r="E6961" t="str">
        <f>"1-374-9"</f>
        <v>1-374-9</v>
      </c>
      <c r="F6961" t="s">
        <v>15</v>
      </c>
      <c r="G6961" t="s">
        <v>18</v>
      </c>
      <c r="H6961" t="s">
        <v>19</v>
      </c>
      <c r="I6961">
        <v>1</v>
      </c>
      <c r="J6961">
        <v>0</v>
      </c>
      <c r="K6961">
        <v>0</v>
      </c>
    </row>
    <row r="6962" spans="1:11" x14ac:dyDescent="0.25">
      <c r="A6962" t="str">
        <f>"8673"</f>
        <v>8673</v>
      </c>
      <c r="B6962" t="str">
        <f t="shared" si="455"/>
        <v>1</v>
      </c>
      <c r="C6962" t="str">
        <f t="shared" si="456"/>
        <v>374</v>
      </c>
      <c r="D6962" t="str">
        <f>"16"</f>
        <v>16</v>
      </c>
      <c r="E6962" t="str">
        <f>"1-374-16"</f>
        <v>1-374-16</v>
      </c>
      <c r="F6962" t="s">
        <v>15</v>
      </c>
      <c r="G6962" t="s">
        <v>16</v>
      </c>
      <c r="H6962" t="s">
        <v>17</v>
      </c>
      <c r="I6962">
        <v>0</v>
      </c>
      <c r="J6962">
        <v>1</v>
      </c>
      <c r="K6962">
        <v>0</v>
      </c>
    </row>
    <row r="6963" spans="1:11" x14ac:dyDescent="0.25">
      <c r="A6963" t="str">
        <f>"8674"</f>
        <v>8674</v>
      </c>
      <c r="B6963" t="str">
        <f t="shared" si="455"/>
        <v>1</v>
      </c>
      <c r="C6963" t="str">
        <f t="shared" si="456"/>
        <v>374</v>
      </c>
      <c r="D6963" t="str">
        <f>"13"</f>
        <v>13</v>
      </c>
      <c r="E6963" t="str">
        <f>"1-374-13"</f>
        <v>1-374-13</v>
      </c>
      <c r="F6963" t="s">
        <v>15</v>
      </c>
      <c r="G6963" t="s">
        <v>16</v>
      </c>
      <c r="H6963" t="s">
        <v>17</v>
      </c>
      <c r="I6963">
        <v>0</v>
      </c>
      <c r="J6963">
        <v>1</v>
      </c>
      <c r="K6963">
        <v>0</v>
      </c>
    </row>
    <row r="6964" spans="1:11" x14ac:dyDescent="0.25">
      <c r="A6964" t="str">
        <f>"8675"</f>
        <v>8675</v>
      </c>
      <c r="B6964" t="str">
        <f t="shared" si="455"/>
        <v>1</v>
      </c>
      <c r="C6964" t="str">
        <f t="shared" si="456"/>
        <v>374</v>
      </c>
      <c r="D6964" t="str">
        <f>"17"</f>
        <v>17</v>
      </c>
      <c r="E6964" t="str">
        <f>"1-374-17"</f>
        <v>1-374-17</v>
      </c>
      <c r="F6964" t="s">
        <v>15</v>
      </c>
      <c r="G6964" t="s">
        <v>16</v>
      </c>
      <c r="H6964" t="s">
        <v>17</v>
      </c>
      <c r="I6964">
        <v>0</v>
      </c>
      <c r="J6964">
        <v>1</v>
      </c>
      <c r="K6964">
        <v>0</v>
      </c>
    </row>
    <row r="6965" spans="1:11" x14ac:dyDescent="0.25">
      <c r="A6965" t="str">
        <f>"8676"</f>
        <v>8676</v>
      </c>
      <c r="B6965" t="str">
        <f t="shared" si="455"/>
        <v>1</v>
      </c>
      <c r="C6965" t="str">
        <f t="shared" si="456"/>
        <v>374</v>
      </c>
      <c r="D6965" t="str">
        <f>"7"</f>
        <v>7</v>
      </c>
      <c r="E6965" t="str">
        <f>"1-374-7"</f>
        <v>1-374-7</v>
      </c>
      <c r="F6965" t="s">
        <v>15</v>
      </c>
      <c r="G6965" t="s">
        <v>16</v>
      </c>
      <c r="H6965" t="s">
        <v>17</v>
      </c>
      <c r="I6965">
        <v>1</v>
      </c>
      <c r="J6965">
        <v>0</v>
      </c>
      <c r="K6965">
        <v>0</v>
      </c>
    </row>
    <row r="6966" spans="1:11" x14ac:dyDescent="0.25">
      <c r="A6966" t="str">
        <f>"8677"</f>
        <v>8677</v>
      </c>
      <c r="B6966" t="str">
        <f t="shared" si="455"/>
        <v>1</v>
      </c>
      <c r="C6966" t="str">
        <f t="shared" si="456"/>
        <v>374</v>
      </c>
      <c r="D6966" t="str">
        <f>"18"</f>
        <v>18</v>
      </c>
      <c r="E6966" t="str">
        <f>"1-374-18"</f>
        <v>1-374-18</v>
      </c>
      <c r="F6966" t="s">
        <v>15</v>
      </c>
      <c r="G6966" t="s">
        <v>16</v>
      </c>
      <c r="H6966" t="s">
        <v>17</v>
      </c>
      <c r="I6966">
        <v>0</v>
      </c>
      <c r="J6966">
        <v>1</v>
      </c>
      <c r="K6966">
        <v>0</v>
      </c>
    </row>
    <row r="6967" spans="1:11" x14ac:dyDescent="0.25">
      <c r="A6967" t="str">
        <f>"8678"</f>
        <v>8678</v>
      </c>
      <c r="B6967" t="str">
        <f t="shared" si="455"/>
        <v>1</v>
      </c>
      <c r="C6967" t="str">
        <f t="shared" si="456"/>
        <v>374</v>
      </c>
      <c r="D6967" t="str">
        <f>"14"</f>
        <v>14</v>
      </c>
      <c r="E6967" t="str">
        <f>"1-374-14"</f>
        <v>1-374-14</v>
      </c>
      <c r="F6967" t="s">
        <v>15</v>
      </c>
      <c r="G6967" t="s">
        <v>16</v>
      </c>
      <c r="H6967" t="s">
        <v>17</v>
      </c>
      <c r="I6967">
        <v>1</v>
      </c>
      <c r="J6967">
        <v>0</v>
      </c>
      <c r="K6967">
        <v>0</v>
      </c>
    </row>
    <row r="6968" spans="1:11" x14ac:dyDescent="0.25">
      <c r="A6968" t="str">
        <f>"8679"</f>
        <v>8679</v>
      </c>
      <c r="B6968" t="str">
        <f t="shared" si="455"/>
        <v>1</v>
      </c>
      <c r="C6968" t="str">
        <f t="shared" si="456"/>
        <v>374</v>
      </c>
      <c r="D6968" t="str">
        <f>"19"</f>
        <v>19</v>
      </c>
      <c r="E6968" t="str">
        <f>"1-374-19"</f>
        <v>1-374-19</v>
      </c>
      <c r="F6968" t="s">
        <v>15</v>
      </c>
      <c r="G6968" t="s">
        <v>16</v>
      </c>
      <c r="H6968" t="s">
        <v>17</v>
      </c>
      <c r="I6968">
        <v>0</v>
      </c>
      <c r="J6968">
        <v>1</v>
      </c>
      <c r="K6968">
        <v>0</v>
      </c>
    </row>
    <row r="6969" spans="1:11" x14ac:dyDescent="0.25">
      <c r="A6969" t="str">
        <f>"8680"</f>
        <v>8680</v>
      </c>
      <c r="B6969" t="str">
        <f t="shared" si="455"/>
        <v>1</v>
      </c>
      <c r="C6969" t="str">
        <f t="shared" si="456"/>
        <v>374</v>
      </c>
      <c r="D6969" t="str">
        <f>"1"</f>
        <v>1</v>
      </c>
      <c r="E6969" t="str">
        <f>"1-374-1"</f>
        <v>1-374-1</v>
      </c>
      <c r="F6969" t="s">
        <v>15</v>
      </c>
      <c r="G6969" t="s">
        <v>16</v>
      </c>
      <c r="H6969" t="s">
        <v>17</v>
      </c>
      <c r="I6969">
        <v>1</v>
      </c>
      <c r="J6969">
        <v>0</v>
      </c>
      <c r="K6969">
        <v>0</v>
      </c>
    </row>
    <row r="6970" spans="1:11" x14ac:dyDescent="0.25">
      <c r="A6970" t="str">
        <f>"8681"</f>
        <v>8681</v>
      </c>
      <c r="B6970" t="str">
        <f t="shared" si="455"/>
        <v>1</v>
      </c>
      <c r="C6970" t="str">
        <f t="shared" si="456"/>
        <v>374</v>
      </c>
      <c r="D6970" t="str">
        <f>"20"</f>
        <v>20</v>
      </c>
      <c r="E6970" t="str">
        <f>"1-374-20"</f>
        <v>1-374-20</v>
      </c>
      <c r="F6970" t="s">
        <v>15</v>
      </c>
      <c r="G6970" t="s">
        <v>16</v>
      </c>
      <c r="H6970" t="s">
        <v>17</v>
      </c>
      <c r="I6970">
        <v>0</v>
      </c>
      <c r="J6970">
        <v>1</v>
      </c>
      <c r="K6970">
        <v>0</v>
      </c>
    </row>
    <row r="6971" spans="1:11" x14ac:dyDescent="0.25">
      <c r="A6971" t="str">
        <f>"8682"</f>
        <v>8682</v>
      </c>
      <c r="B6971" t="str">
        <f t="shared" si="455"/>
        <v>1</v>
      </c>
      <c r="C6971" t="str">
        <f t="shared" si="456"/>
        <v>374</v>
      </c>
      <c r="D6971" t="str">
        <f>"8"</f>
        <v>8</v>
      </c>
      <c r="E6971" t="str">
        <f>"1-374-8"</f>
        <v>1-374-8</v>
      </c>
      <c r="F6971" t="s">
        <v>15</v>
      </c>
      <c r="G6971" t="s">
        <v>16</v>
      </c>
      <c r="H6971" t="s">
        <v>17</v>
      </c>
      <c r="I6971">
        <v>1</v>
      </c>
      <c r="J6971">
        <v>0</v>
      </c>
      <c r="K6971">
        <v>0</v>
      </c>
    </row>
    <row r="6972" spans="1:11" x14ac:dyDescent="0.25">
      <c r="A6972" t="str">
        <f>"8683"</f>
        <v>8683</v>
      </c>
      <c r="B6972" t="str">
        <f t="shared" si="455"/>
        <v>1</v>
      </c>
      <c r="C6972" t="str">
        <f t="shared" si="456"/>
        <v>374</v>
      </c>
      <c r="D6972" t="str">
        <f>"21"</f>
        <v>21</v>
      </c>
      <c r="E6972" t="str">
        <f>"1-374-21"</f>
        <v>1-374-21</v>
      </c>
      <c r="F6972" t="s">
        <v>15</v>
      </c>
      <c r="G6972" t="s">
        <v>16</v>
      </c>
      <c r="H6972" t="s">
        <v>17</v>
      </c>
      <c r="I6972">
        <v>0</v>
      </c>
      <c r="J6972">
        <v>1</v>
      </c>
      <c r="K6972">
        <v>0</v>
      </c>
    </row>
    <row r="6973" spans="1:11" x14ac:dyDescent="0.25">
      <c r="A6973" t="str">
        <f>"8684"</f>
        <v>8684</v>
      </c>
      <c r="B6973" t="str">
        <f t="shared" si="455"/>
        <v>1</v>
      </c>
      <c r="C6973" t="str">
        <f t="shared" si="456"/>
        <v>374</v>
      </c>
      <c r="D6973" t="str">
        <f>"3"</f>
        <v>3</v>
      </c>
      <c r="E6973" t="str">
        <f>"1-374-3"</f>
        <v>1-374-3</v>
      </c>
      <c r="F6973" t="s">
        <v>15</v>
      </c>
      <c r="G6973" t="s">
        <v>16</v>
      </c>
      <c r="H6973" t="s">
        <v>17</v>
      </c>
      <c r="I6973">
        <v>0</v>
      </c>
      <c r="J6973">
        <v>1</v>
      </c>
      <c r="K6973">
        <v>0</v>
      </c>
    </row>
    <row r="6974" spans="1:11" x14ac:dyDescent="0.25">
      <c r="A6974" t="str">
        <f>"8685"</f>
        <v>8685</v>
      </c>
      <c r="B6974" t="str">
        <f t="shared" si="455"/>
        <v>1</v>
      </c>
      <c r="C6974" t="str">
        <f t="shared" si="456"/>
        <v>374</v>
      </c>
      <c r="D6974" t="str">
        <f>"22"</f>
        <v>22</v>
      </c>
      <c r="E6974" t="str">
        <f>"1-374-22"</f>
        <v>1-374-22</v>
      </c>
      <c r="F6974" t="s">
        <v>15</v>
      </c>
      <c r="G6974" t="s">
        <v>16</v>
      </c>
      <c r="H6974" t="s">
        <v>17</v>
      </c>
      <c r="I6974">
        <v>0</v>
      </c>
      <c r="J6974">
        <v>0</v>
      </c>
      <c r="K6974">
        <v>1</v>
      </c>
    </row>
    <row r="6975" spans="1:11" x14ac:dyDescent="0.25">
      <c r="A6975" t="str">
        <f>"8686"</f>
        <v>8686</v>
      </c>
      <c r="B6975" t="str">
        <f t="shared" si="455"/>
        <v>1</v>
      </c>
      <c r="C6975" t="str">
        <f t="shared" si="456"/>
        <v>374</v>
      </c>
      <c r="D6975" t="str">
        <f>"2"</f>
        <v>2</v>
      </c>
      <c r="E6975" t="str">
        <f>"1-374-2"</f>
        <v>1-374-2</v>
      </c>
      <c r="F6975" t="s">
        <v>15</v>
      </c>
      <c r="G6975" t="s">
        <v>18</v>
      </c>
      <c r="H6975" t="s">
        <v>19</v>
      </c>
      <c r="I6975">
        <v>0</v>
      </c>
      <c r="J6975">
        <v>0</v>
      </c>
      <c r="K6975">
        <v>1</v>
      </c>
    </row>
    <row r="6976" spans="1:11" x14ac:dyDescent="0.25">
      <c r="A6976" t="str">
        <f>"8687"</f>
        <v>8687</v>
      </c>
      <c r="B6976" t="str">
        <f t="shared" si="455"/>
        <v>1</v>
      </c>
      <c r="C6976" t="str">
        <f t="shared" si="456"/>
        <v>374</v>
      </c>
      <c r="D6976" t="str">
        <f>"23"</f>
        <v>23</v>
      </c>
      <c r="E6976" t="str">
        <f>"1-374-23"</f>
        <v>1-374-23</v>
      </c>
      <c r="F6976" t="s">
        <v>15</v>
      </c>
      <c r="G6976" t="s">
        <v>18</v>
      </c>
      <c r="H6976" t="s">
        <v>19</v>
      </c>
      <c r="I6976">
        <v>0</v>
      </c>
      <c r="J6976">
        <v>0</v>
      </c>
      <c r="K6976">
        <v>1</v>
      </c>
    </row>
    <row r="6977" spans="1:11" x14ac:dyDescent="0.25">
      <c r="A6977" t="str">
        <f>"8688"</f>
        <v>8688</v>
      </c>
      <c r="B6977" t="str">
        <f t="shared" si="455"/>
        <v>1</v>
      </c>
      <c r="C6977" t="str">
        <f t="shared" si="456"/>
        <v>374</v>
      </c>
      <c r="D6977" t="str">
        <f>"4"</f>
        <v>4</v>
      </c>
      <c r="E6977" t="str">
        <f>"1-374-4"</f>
        <v>1-374-4</v>
      </c>
      <c r="F6977" t="s">
        <v>15</v>
      </c>
      <c r="G6977" t="s">
        <v>18</v>
      </c>
      <c r="H6977" t="s">
        <v>19</v>
      </c>
      <c r="I6977">
        <v>0</v>
      </c>
      <c r="J6977">
        <v>0</v>
      </c>
      <c r="K6977">
        <v>1</v>
      </c>
    </row>
    <row r="6978" spans="1:11" x14ac:dyDescent="0.25">
      <c r="A6978" t="str">
        <f>"8689"</f>
        <v>8689</v>
      </c>
      <c r="B6978" t="str">
        <f t="shared" si="455"/>
        <v>1</v>
      </c>
      <c r="C6978" t="str">
        <f t="shared" si="456"/>
        <v>374</v>
      </c>
      <c r="D6978" t="str">
        <f>"24"</f>
        <v>24</v>
      </c>
      <c r="E6978" t="str">
        <f>"1-374-24"</f>
        <v>1-374-24</v>
      </c>
      <c r="F6978" t="s">
        <v>15</v>
      </c>
      <c r="G6978" t="s">
        <v>16</v>
      </c>
      <c r="H6978" t="s">
        <v>17</v>
      </c>
      <c r="I6978">
        <v>1</v>
      </c>
      <c r="J6978">
        <v>0</v>
      </c>
      <c r="K6978">
        <v>0</v>
      </c>
    </row>
    <row r="6979" spans="1:11" x14ac:dyDescent="0.25">
      <c r="A6979" t="str">
        <f>"8690"</f>
        <v>8690</v>
      </c>
      <c r="B6979" t="str">
        <f t="shared" si="455"/>
        <v>1</v>
      </c>
      <c r="C6979" t="str">
        <f t="shared" si="456"/>
        <v>374</v>
      </c>
      <c r="D6979" t="str">
        <f>"12"</f>
        <v>12</v>
      </c>
      <c r="E6979" t="str">
        <f>"1-374-12"</f>
        <v>1-374-12</v>
      </c>
      <c r="F6979" t="s">
        <v>15</v>
      </c>
      <c r="G6979" t="s">
        <v>16</v>
      </c>
      <c r="H6979" t="s">
        <v>17</v>
      </c>
      <c r="I6979">
        <v>1</v>
      </c>
      <c r="J6979">
        <v>0</v>
      </c>
      <c r="K6979">
        <v>0</v>
      </c>
    </row>
    <row r="6980" spans="1:11" x14ac:dyDescent="0.25">
      <c r="A6980" t="str">
        <f>"8691"</f>
        <v>8691</v>
      </c>
      <c r="B6980" t="str">
        <f t="shared" si="455"/>
        <v>1</v>
      </c>
      <c r="C6980" t="str">
        <f t="shared" si="456"/>
        <v>374</v>
      </c>
      <c r="D6980" t="str">
        <f>"25"</f>
        <v>25</v>
      </c>
      <c r="E6980" t="str">
        <f>"1-374-25"</f>
        <v>1-374-25</v>
      </c>
      <c r="F6980" t="s">
        <v>15</v>
      </c>
      <c r="G6980" t="s">
        <v>18</v>
      </c>
      <c r="H6980" t="s">
        <v>19</v>
      </c>
      <c r="I6980">
        <v>0</v>
      </c>
      <c r="J6980">
        <v>1</v>
      </c>
      <c r="K6980">
        <v>0</v>
      </c>
    </row>
    <row r="6981" spans="1:11" x14ac:dyDescent="0.25">
      <c r="A6981" t="str">
        <f>"8692"</f>
        <v>8692</v>
      </c>
      <c r="B6981" t="str">
        <f t="shared" si="455"/>
        <v>1</v>
      </c>
      <c r="C6981" t="str">
        <f t="shared" si="456"/>
        <v>374</v>
      </c>
      <c r="D6981" t="str">
        <f>"11"</f>
        <v>11</v>
      </c>
      <c r="E6981" t="str">
        <f>"1-374-11"</f>
        <v>1-374-11</v>
      </c>
      <c r="F6981" t="s">
        <v>15</v>
      </c>
      <c r="G6981" t="s">
        <v>16</v>
      </c>
      <c r="H6981" t="s">
        <v>17</v>
      </c>
      <c r="I6981">
        <v>0</v>
      </c>
      <c r="J6981">
        <v>1</v>
      </c>
      <c r="K6981">
        <v>0</v>
      </c>
    </row>
    <row r="6982" spans="1:11" x14ac:dyDescent="0.25">
      <c r="A6982" t="str">
        <f>"8693"</f>
        <v>8693</v>
      </c>
      <c r="B6982" t="str">
        <f t="shared" si="455"/>
        <v>1</v>
      </c>
      <c r="C6982" t="str">
        <f t="shared" si="456"/>
        <v>374</v>
      </c>
      <c r="D6982" t="str">
        <f>"5"</f>
        <v>5</v>
      </c>
      <c r="E6982" t="str">
        <f>"1-374-5"</f>
        <v>1-374-5</v>
      </c>
      <c r="F6982" t="s">
        <v>15</v>
      </c>
      <c r="G6982" t="s">
        <v>18</v>
      </c>
      <c r="H6982" t="s">
        <v>19</v>
      </c>
      <c r="I6982">
        <v>1</v>
      </c>
      <c r="J6982">
        <v>0</v>
      </c>
      <c r="K6982">
        <v>0</v>
      </c>
    </row>
    <row r="6983" spans="1:11" x14ac:dyDescent="0.25">
      <c r="A6983" t="str">
        <f>"8694"</f>
        <v>8694</v>
      </c>
      <c r="B6983" t="str">
        <f t="shared" si="455"/>
        <v>1</v>
      </c>
      <c r="C6983" t="str">
        <f t="shared" si="456"/>
        <v>374</v>
      </c>
      <c r="D6983" t="str">
        <f>"10"</f>
        <v>10</v>
      </c>
      <c r="E6983" t="str">
        <f>"1-374-10"</f>
        <v>1-374-10</v>
      </c>
      <c r="F6983" t="s">
        <v>15</v>
      </c>
      <c r="G6983" t="s">
        <v>16</v>
      </c>
      <c r="H6983" t="s">
        <v>17</v>
      </c>
      <c r="I6983">
        <v>0</v>
      </c>
      <c r="J6983">
        <v>0</v>
      </c>
      <c r="K6983">
        <v>1</v>
      </c>
    </row>
    <row r="6984" spans="1:11" x14ac:dyDescent="0.25">
      <c r="A6984" t="str">
        <f>"8695"</f>
        <v>8695</v>
      </c>
      <c r="B6984" t="str">
        <f t="shared" si="455"/>
        <v>1</v>
      </c>
      <c r="C6984" t="str">
        <f t="shared" si="456"/>
        <v>374</v>
      </c>
      <c r="D6984" t="str">
        <f>"6"</f>
        <v>6</v>
      </c>
      <c r="E6984" t="str">
        <f>"1-374-6"</f>
        <v>1-374-6</v>
      </c>
      <c r="F6984" t="s">
        <v>15</v>
      </c>
      <c r="G6984" t="s">
        <v>16</v>
      </c>
      <c r="H6984" t="s">
        <v>17</v>
      </c>
      <c r="I6984">
        <v>0</v>
      </c>
      <c r="J6984">
        <v>1</v>
      </c>
      <c r="K6984">
        <v>0</v>
      </c>
    </row>
    <row r="6985" spans="1:11" x14ac:dyDescent="0.25">
      <c r="A6985" t="str">
        <f>"8696"</f>
        <v>8696</v>
      </c>
      <c r="B6985" t="str">
        <f t="shared" si="455"/>
        <v>1</v>
      </c>
      <c r="C6985" t="str">
        <f t="shared" ref="C6985:C7002" si="457">"375"</f>
        <v>375</v>
      </c>
      <c r="D6985" t="str">
        <f>"15"</f>
        <v>15</v>
      </c>
      <c r="E6985" t="str">
        <f>"1-375-15"</f>
        <v>1-375-15</v>
      </c>
      <c r="F6985" t="s">
        <v>15</v>
      </c>
      <c r="G6985" t="s">
        <v>16</v>
      </c>
      <c r="H6985" t="s">
        <v>17</v>
      </c>
      <c r="I6985">
        <v>0</v>
      </c>
      <c r="J6985">
        <v>1</v>
      </c>
      <c r="K6985">
        <v>0</v>
      </c>
    </row>
    <row r="6986" spans="1:11" x14ac:dyDescent="0.25">
      <c r="A6986" t="str">
        <f>"8697"</f>
        <v>8697</v>
      </c>
      <c r="B6986" t="str">
        <f t="shared" si="455"/>
        <v>1</v>
      </c>
      <c r="C6986" t="str">
        <f t="shared" si="457"/>
        <v>375</v>
      </c>
      <c r="D6986" t="str">
        <f>"2"</f>
        <v>2</v>
      </c>
      <c r="E6986" t="str">
        <f>"1-375-2"</f>
        <v>1-375-2</v>
      </c>
      <c r="F6986" t="s">
        <v>15</v>
      </c>
      <c r="G6986" t="s">
        <v>20</v>
      </c>
      <c r="H6986" t="s">
        <v>21</v>
      </c>
      <c r="I6986">
        <v>0</v>
      </c>
      <c r="J6986">
        <v>1</v>
      </c>
      <c r="K6986">
        <v>0</v>
      </c>
    </row>
    <row r="6987" spans="1:11" x14ac:dyDescent="0.25">
      <c r="A6987" t="str">
        <f>"8698"</f>
        <v>8698</v>
      </c>
      <c r="B6987" t="str">
        <f t="shared" si="455"/>
        <v>1</v>
      </c>
      <c r="C6987" t="str">
        <f t="shared" si="457"/>
        <v>375</v>
      </c>
      <c r="D6987" t="str">
        <f>"16"</f>
        <v>16</v>
      </c>
      <c r="E6987" t="str">
        <f>"1-375-16"</f>
        <v>1-375-16</v>
      </c>
      <c r="F6987" t="s">
        <v>15</v>
      </c>
      <c r="G6987" t="s">
        <v>16</v>
      </c>
      <c r="H6987" t="s">
        <v>17</v>
      </c>
      <c r="I6987">
        <v>0</v>
      </c>
      <c r="J6987">
        <v>1</v>
      </c>
      <c r="K6987">
        <v>0</v>
      </c>
    </row>
    <row r="6988" spans="1:11" x14ac:dyDescent="0.25">
      <c r="A6988" t="str">
        <f>"8699"</f>
        <v>8699</v>
      </c>
      <c r="B6988" t="str">
        <f t="shared" si="455"/>
        <v>1</v>
      </c>
      <c r="C6988" t="str">
        <f t="shared" si="457"/>
        <v>375</v>
      </c>
      <c r="D6988" t="str">
        <f>"7"</f>
        <v>7</v>
      </c>
      <c r="E6988" t="str">
        <f>"1-375-7"</f>
        <v>1-375-7</v>
      </c>
      <c r="F6988" t="s">
        <v>15</v>
      </c>
      <c r="G6988" t="s">
        <v>16</v>
      </c>
      <c r="H6988" t="s">
        <v>17</v>
      </c>
      <c r="I6988">
        <v>1</v>
      </c>
      <c r="J6988">
        <v>0</v>
      </c>
      <c r="K6988">
        <v>0</v>
      </c>
    </row>
    <row r="6989" spans="1:11" x14ac:dyDescent="0.25">
      <c r="A6989" t="str">
        <f>"8700"</f>
        <v>8700</v>
      </c>
      <c r="B6989" t="str">
        <f t="shared" si="455"/>
        <v>1</v>
      </c>
      <c r="C6989" t="str">
        <f t="shared" si="457"/>
        <v>375</v>
      </c>
      <c r="D6989" t="str">
        <f>"17"</f>
        <v>17</v>
      </c>
      <c r="E6989" t="str">
        <f>"1-375-17"</f>
        <v>1-375-17</v>
      </c>
      <c r="F6989" t="s">
        <v>15</v>
      </c>
      <c r="G6989" t="s">
        <v>18</v>
      </c>
      <c r="H6989" t="s">
        <v>19</v>
      </c>
      <c r="I6989">
        <v>0</v>
      </c>
      <c r="J6989">
        <v>1</v>
      </c>
      <c r="K6989">
        <v>0</v>
      </c>
    </row>
    <row r="6990" spans="1:11" x14ac:dyDescent="0.25">
      <c r="A6990" t="str">
        <f>"8701"</f>
        <v>8701</v>
      </c>
      <c r="B6990" t="str">
        <f t="shared" si="455"/>
        <v>1</v>
      </c>
      <c r="C6990" t="str">
        <f t="shared" si="457"/>
        <v>375</v>
      </c>
      <c r="D6990" t="str">
        <f>"1"</f>
        <v>1</v>
      </c>
      <c r="E6990" t="str">
        <f>"1-375-1"</f>
        <v>1-375-1</v>
      </c>
      <c r="F6990" t="s">
        <v>15</v>
      </c>
      <c r="G6990" t="s">
        <v>20</v>
      </c>
      <c r="H6990" t="s">
        <v>21</v>
      </c>
      <c r="I6990">
        <v>0</v>
      </c>
      <c r="J6990">
        <v>0</v>
      </c>
      <c r="K6990">
        <v>1</v>
      </c>
    </row>
    <row r="6991" spans="1:11" x14ac:dyDescent="0.25">
      <c r="A6991" t="str">
        <f>"8702"</f>
        <v>8702</v>
      </c>
      <c r="B6991" t="str">
        <f t="shared" si="455"/>
        <v>1</v>
      </c>
      <c r="C6991" t="str">
        <f t="shared" si="457"/>
        <v>375</v>
      </c>
      <c r="D6991" t="str">
        <f>"18"</f>
        <v>18</v>
      </c>
      <c r="E6991" t="str">
        <f>"1-375-18"</f>
        <v>1-375-18</v>
      </c>
      <c r="F6991" t="s">
        <v>15</v>
      </c>
      <c r="G6991" t="s">
        <v>18</v>
      </c>
      <c r="H6991" t="s">
        <v>19</v>
      </c>
      <c r="I6991">
        <v>0</v>
      </c>
      <c r="J6991">
        <v>1</v>
      </c>
      <c r="K6991">
        <v>0</v>
      </c>
    </row>
    <row r="6992" spans="1:11" x14ac:dyDescent="0.25">
      <c r="A6992" t="str">
        <f>"8703"</f>
        <v>8703</v>
      </c>
      <c r="B6992" t="str">
        <f t="shared" si="455"/>
        <v>1</v>
      </c>
      <c r="C6992" t="str">
        <f t="shared" si="457"/>
        <v>375</v>
      </c>
      <c r="D6992" t="str">
        <f>"9"</f>
        <v>9</v>
      </c>
      <c r="E6992" t="str">
        <f>"1-375-9"</f>
        <v>1-375-9</v>
      </c>
      <c r="F6992" t="s">
        <v>15</v>
      </c>
      <c r="G6992" t="s">
        <v>16</v>
      </c>
      <c r="H6992" t="s">
        <v>17</v>
      </c>
      <c r="I6992">
        <v>0</v>
      </c>
      <c r="J6992">
        <v>0</v>
      </c>
      <c r="K6992">
        <v>1</v>
      </c>
    </row>
    <row r="6993" spans="1:11" x14ac:dyDescent="0.25">
      <c r="A6993" t="str">
        <f>"8704"</f>
        <v>8704</v>
      </c>
      <c r="B6993" t="str">
        <f t="shared" si="455"/>
        <v>1</v>
      </c>
      <c r="C6993" t="str">
        <f t="shared" si="457"/>
        <v>375</v>
      </c>
      <c r="D6993" t="str">
        <f>"6"</f>
        <v>6</v>
      </c>
      <c r="E6993" t="str">
        <f>"1-375-6"</f>
        <v>1-375-6</v>
      </c>
      <c r="F6993" t="s">
        <v>15</v>
      </c>
      <c r="G6993" t="s">
        <v>16</v>
      </c>
      <c r="H6993" t="s">
        <v>17</v>
      </c>
      <c r="I6993">
        <v>1</v>
      </c>
      <c r="J6993">
        <v>0</v>
      </c>
      <c r="K6993">
        <v>0</v>
      </c>
    </row>
    <row r="6994" spans="1:11" x14ac:dyDescent="0.25">
      <c r="A6994" t="str">
        <f>"8705"</f>
        <v>8705</v>
      </c>
      <c r="B6994" t="str">
        <f t="shared" si="455"/>
        <v>1</v>
      </c>
      <c r="C6994" t="str">
        <f t="shared" si="457"/>
        <v>375</v>
      </c>
      <c r="D6994" t="str">
        <f>"4"</f>
        <v>4</v>
      </c>
      <c r="E6994" t="str">
        <f>"1-375-4"</f>
        <v>1-375-4</v>
      </c>
      <c r="F6994" t="s">
        <v>15</v>
      </c>
      <c r="G6994" t="s">
        <v>16</v>
      </c>
      <c r="H6994" t="s">
        <v>17</v>
      </c>
      <c r="I6994">
        <v>1</v>
      </c>
      <c r="J6994">
        <v>0</v>
      </c>
      <c r="K6994">
        <v>0</v>
      </c>
    </row>
    <row r="6995" spans="1:11" x14ac:dyDescent="0.25">
      <c r="A6995" t="str">
        <f>"8706"</f>
        <v>8706</v>
      </c>
      <c r="B6995" t="str">
        <f t="shared" si="455"/>
        <v>1</v>
      </c>
      <c r="C6995" t="str">
        <f t="shared" si="457"/>
        <v>375</v>
      </c>
      <c r="D6995" t="str">
        <f>"13"</f>
        <v>13</v>
      </c>
      <c r="E6995" t="str">
        <f>"1-375-13"</f>
        <v>1-375-13</v>
      </c>
      <c r="F6995" t="s">
        <v>15</v>
      </c>
      <c r="G6995" t="s">
        <v>16</v>
      </c>
      <c r="H6995" t="s">
        <v>17</v>
      </c>
      <c r="I6995">
        <v>1</v>
      </c>
      <c r="J6995">
        <v>0</v>
      </c>
      <c r="K6995">
        <v>0</v>
      </c>
    </row>
    <row r="6996" spans="1:11" x14ac:dyDescent="0.25">
      <c r="A6996" t="str">
        <f>"8707"</f>
        <v>8707</v>
      </c>
      <c r="B6996" t="str">
        <f t="shared" si="455"/>
        <v>1</v>
      </c>
      <c r="C6996" t="str">
        <f t="shared" si="457"/>
        <v>375</v>
      </c>
      <c r="D6996" t="str">
        <f>"8"</f>
        <v>8</v>
      </c>
      <c r="E6996" t="str">
        <f>"1-375-8"</f>
        <v>1-375-8</v>
      </c>
      <c r="F6996" t="s">
        <v>15</v>
      </c>
      <c r="G6996" t="s">
        <v>16</v>
      </c>
      <c r="H6996" t="s">
        <v>17</v>
      </c>
      <c r="I6996">
        <v>1</v>
      </c>
      <c r="J6996">
        <v>0</v>
      </c>
      <c r="K6996">
        <v>0</v>
      </c>
    </row>
    <row r="6997" spans="1:11" x14ac:dyDescent="0.25">
      <c r="A6997" t="str">
        <f>"8708"</f>
        <v>8708</v>
      </c>
      <c r="B6997" t="str">
        <f t="shared" si="455"/>
        <v>1</v>
      </c>
      <c r="C6997" t="str">
        <f t="shared" si="457"/>
        <v>375</v>
      </c>
      <c r="D6997" t="str">
        <f>"14"</f>
        <v>14</v>
      </c>
      <c r="E6997" t="str">
        <f>"1-375-14"</f>
        <v>1-375-14</v>
      </c>
      <c r="F6997" t="s">
        <v>15</v>
      </c>
      <c r="G6997" t="s">
        <v>16</v>
      </c>
      <c r="H6997" t="s">
        <v>17</v>
      </c>
      <c r="I6997">
        <v>0</v>
      </c>
      <c r="J6997">
        <v>1</v>
      </c>
      <c r="K6997">
        <v>0</v>
      </c>
    </row>
    <row r="6998" spans="1:11" x14ac:dyDescent="0.25">
      <c r="A6998" t="str">
        <f>"8709"</f>
        <v>8709</v>
      </c>
      <c r="B6998" t="str">
        <f t="shared" si="455"/>
        <v>1</v>
      </c>
      <c r="C6998" t="str">
        <f t="shared" si="457"/>
        <v>375</v>
      </c>
      <c r="D6998" t="str">
        <f>"5"</f>
        <v>5</v>
      </c>
      <c r="E6998" t="str">
        <f>"1-375-5"</f>
        <v>1-375-5</v>
      </c>
      <c r="F6998" t="s">
        <v>15</v>
      </c>
      <c r="G6998" t="s">
        <v>16</v>
      </c>
      <c r="H6998" t="s">
        <v>17</v>
      </c>
      <c r="I6998">
        <v>1</v>
      </c>
      <c r="J6998">
        <v>0</v>
      </c>
      <c r="K6998">
        <v>0</v>
      </c>
    </row>
    <row r="6999" spans="1:11" x14ac:dyDescent="0.25">
      <c r="A6999" t="str">
        <f>"8710"</f>
        <v>8710</v>
      </c>
      <c r="B6999" t="str">
        <f t="shared" si="455"/>
        <v>1</v>
      </c>
      <c r="C6999" t="str">
        <f t="shared" si="457"/>
        <v>375</v>
      </c>
      <c r="D6999" t="str">
        <f>"10"</f>
        <v>10</v>
      </c>
      <c r="E6999" t="str">
        <f>"1-375-10"</f>
        <v>1-375-10</v>
      </c>
      <c r="F6999" t="s">
        <v>15</v>
      </c>
      <c r="G6999" t="s">
        <v>18</v>
      </c>
      <c r="H6999" t="s">
        <v>19</v>
      </c>
      <c r="I6999">
        <v>1</v>
      </c>
      <c r="J6999">
        <v>0</v>
      </c>
      <c r="K6999">
        <v>0</v>
      </c>
    </row>
    <row r="7000" spans="1:11" x14ac:dyDescent="0.25">
      <c r="A7000" t="str">
        <f>"8711"</f>
        <v>8711</v>
      </c>
      <c r="B7000" t="str">
        <f t="shared" si="455"/>
        <v>1</v>
      </c>
      <c r="C7000" t="str">
        <f t="shared" si="457"/>
        <v>375</v>
      </c>
      <c r="D7000" t="str">
        <f>"12"</f>
        <v>12</v>
      </c>
      <c r="E7000" t="str">
        <f>"1-375-12"</f>
        <v>1-375-12</v>
      </c>
      <c r="F7000" t="s">
        <v>15</v>
      </c>
      <c r="G7000" t="s">
        <v>16</v>
      </c>
      <c r="H7000" t="s">
        <v>17</v>
      </c>
      <c r="I7000">
        <v>1</v>
      </c>
      <c r="J7000">
        <v>0</v>
      </c>
      <c r="K7000">
        <v>0</v>
      </c>
    </row>
    <row r="7001" spans="1:11" x14ac:dyDescent="0.25">
      <c r="A7001" t="str">
        <f>"8712"</f>
        <v>8712</v>
      </c>
      <c r="B7001" t="str">
        <f t="shared" si="455"/>
        <v>1</v>
      </c>
      <c r="C7001" t="str">
        <f t="shared" si="457"/>
        <v>375</v>
      </c>
      <c r="D7001" t="str">
        <f>"11"</f>
        <v>11</v>
      </c>
      <c r="E7001" t="str">
        <f>"1-375-11"</f>
        <v>1-375-11</v>
      </c>
      <c r="F7001" t="s">
        <v>15</v>
      </c>
      <c r="G7001" t="s">
        <v>18</v>
      </c>
      <c r="H7001" t="s">
        <v>19</v>
      </c>
      <c r="I7001">
        <v>1</v>
      </c>
      <c r="J7001">
        <v>0</v>
      </c>
      <c r="K7001">
        <v>0</v>
      </c>
    </row>
    <row r="7002" spans="1:11" x14ac:dyDescent="0.25">
      <c r="A7002" t="str">
        <f>"8713"</f>
        <v>8713</v>
      </c>
      <c r="B7002" t="str">
        <f t="shared" si="455"/>
        <v>1</v>
      </c>
      <c r="C7002" t="str">
        <f t="shared" si="457"/>
        <v>375</v>
      </c>
      <c r="D7002" t="str">
        <f>"3"</f>
        <v>3</v>
      </c>
      <c r="E7002" t="str">
        <f>"1-375-3"</f>
        <v>1-375-3</v>
      </c>
      <c r="F7002" t="s">
        <v>15</v>
      </c>
      <c r="G7002" t="s">
        <v>16</v>
      </c>
      <c r="H7002" t="s">
        <v>17</v>
      </c>
      <c r="I7002">
        <v>0</v>
      </c>
      <c r="J7002">
        <v>0</v>
      </c>
      <c r="K7002">
        <v>0</v>
      </c>
    </row>
    <row r="7003" spans="1:11" x14ac:dyDescent="0.25">
      <c r="A7003" t="str">
        <f>"8714"</f>
        <v>8714</v>
      </c>
      <c r="B7003" t="str">
        <f t="shared" si="455"/>
        <v>1</v>
      </c>
      <c r="C7003" t="str">
        <f t="shared" ref="C7003:C7027" si="458">"376"</f>
        <v>376</v>
      </c>
      <c r="D7003" t="str">
        <f>"15"</f>
        <v>15</v>
      </c>
      <c r="E7003" t="str">
        <f>"1-376-15"</f>
        <v>1-376-15</v>
      </c>
      <c r="F7003" t="s">
        <v>15</v>
      </c>
      <c r="G7003" t="s">
        <v>18</v>
      </c>
      <c r="H7003" t="s">
        <v>19</v>
      </c>
      <c r="I7003">
        <v>1</v>
      </c>
      <c r="J7003">
        <v>0</v>
      </c>
      <c r="K7003">
        <v>0</v>
      </c>
    </row>
    <row r="7004" spans="1:11" x14ac:dyDescent="0.25">
      <c r="A7004" t="str">
        <f>"8715"</f>
        <v>8715</v>
      </c>
      <c r="B7004" t="str">
        <f t="shared" si="455"/>
        <v>1</v>
      </c>
      <c r="C7004" t="str">
        <f t="shared" si="458"/>
        <v>376</v>
      </c>
      <c r="D7004" t="str">
        <f>"3"</f>
        <v>3</v>
      </c>
      <c r="E7004" t="str">
        <f>"1-376-3"</f>
        <v>1-376-3</v>
      </c>
      <c r="F7004" t="s">
        <v>15</v>
      </c>
      <c r="G7004" t="s">
        <v>16</v>
      </c>
      <c r="H7004" t="s">
        <v>17</v>
      </c>
      <c r="I7004">
        <v>1</v>
      </c>
      <c r="J7004">
        <v>0</v>
      </c>
      <c r="K7004">
        <v>0</v>
      </c>
    </row>
    <row r="7005" spans="1:11" x14ac:dyDescent="0.25">
      <c r="A7005" t="str">
        <f>"8716"</f>
        <v>8716</v>
      </c>
      <c r="B7005" t="str">
        <f t="shared" si="455"/>
        <v>1</v>
      </c>
      <c r="C7005" t="str">
        <f t="shared" si="458"/>
        <v>376</v>
      </c>
      <c r="D7005" t="str">
        <f>"16"</f>
        <v>16</v>
      </c>
      <c r="E7005" t="str">
        <f>"1-376-16"</f>
        <v>1-376-16</v>
      </c>
      <c r="F7005" t="s">
        <v>15</v>
      </c>
      <c r="G7005" t="s">
        <v>16</v>
      </c>
      <c r="H7005" t="s">
        <v>17</v>
      </c>
      <c r="I7005">
        <v>0</v>
      </c>
      <c r="J7005">
        <v>0</v>
      </c>
      <c r="K7005">
        <v>1</v>
      </c>
    </row>
    <row r="7006" spans="1:11" x14ac:dyDescent="0.25">
      <c r="A7006" t="str">
        <f>"8717"</f>
        <v>8717</v>
      </c>
      <c r="B7006" t="str">
        <f t="shared" si="455"/>
        <v>1</v>
      </c>
      <c r="C7006" t="str">
        <f t="shared" si="458"/>
        <v>376</v>
      </c>
      <c r="D7006" t="str">
        <f>"6"</f>
        <v>6</v>
      </c>
      <c r="E7006" t="str">
        <f>"1-376-6"</f>
        <v>1-376-6</v>
      </c>
      <c r="F7006" t="s">
        <v>15</v>
      </c>
      <c r="G7006" t="s">
        <v>16</v>
      </c>
      <c r="H7006" t="s">
        <v>17</v>
      </c>
      <c r="I7006">
        <v>1</v>
      </c>
      <c r="J7006">
        <v>0</v>
      </c>
      <c r="K7006">
        <v>0</v>
      </c>
    </row>
    <row r="7007" spans="1:11" x14ac:dyDescent="0.25">
      <c r="A7007" t="str">
        <f>"8718"</f>
        <v>8718</v>
      </c>
      <c r="B7007" t="str">
        <f t="shared" si="455"/>
        <v>1</v>
      </c>
      <c r="C7007" t="str">
        <f t="shared" si="458"/>
        <v>376</v>
      </c>
      <c r="D7007" t="str">
        <f>"17"</f>
        <v>17</v>
      </c>
      <c r="E7007" t="str">
        <f>"1-376-17"</f>
        <v>1-376-17</v>
      </c>
      <c r="F7007" t="s">
        <v>15</v>
      </c>
      <c r="G7007" t="s">
        <v>16</v>
      </c>
      <c r="H7007" t="s">
        <v>17</v>
      </c>
      <c r="I7007">
        <v>0</v>
      </c>
      <c r="J7007">
        <v>0</v>
      </c>
      <c r="K7007">
        <v>1</v>
      </c>
    </row>
    <row r="7008" spans="1:11" x14ac:dyDescent="0.25">
      <c r="A7008" t="str">
        <f>"8719"</f>
        <v>8719</v>
      </c>
      <c r="B7008" t="str">
        <f t="shared" si="455"/>
        <v>1</v>
      </c>
      <c r="C7008" t="str">
        <f t="shared" si="458"/>
        <v>376</v>
      </c>
      <c r="D7008" t="str">
        <f>"1"</f>
        <v>1</v>
      </c>
      <c r="E7008" t="str">
        <f>"1-376-1"</f>
        <v>1-376-1</v>
      </c>
      <c r="F7008" t="s">
        <v>15</v>
      </c>
      <c r="G7008" t="s">
        <v>16</v>
      </c>
      <c r="H7008" t="s">
        <v>17</v>
      </c>
      <c r="I7008">
        <v>0</v>
      </c>
      <c r="J7008">
        <v>0</v>
      </c>
      <c r="K7008">
        <v>1</v>
      </c>
    </row>
    <row r="7009" spans="1:11" x14ac:dyDescent="0.25">
      <c r="A7009" t="str">
        <f>"8720"</f>
        <v>8720</v>
      </c>
      <c r="B7009" t="str">
        <f t="shared" si="455"/>
        <v>1</v>
      </c>
      <c r="C7009" t="str">
        <f t="shared" si="458"/>
        <v>376</v>
      </c>
      <c r="D7009" t="str">
        <f>"18"</f>
        <v>18</v>
      </c>
      <c r="E7009" t="str">
        <f>"1-376-18"</f>
        <v>1-376-18</v>
      </c>
      <c r="F7009" t="s">
        <v>15</v>
      </c>
      <c r="G7009" t="s">
        <v>18</v>
      </c>
      <c r="H7009" t="s">
        <v>19</v>
      </c>
      <c r="I7009">
        <v>1</v>
      </c>
      <c r="J7009">
        <v>0</v>
      </c>
      <c r="K7009">
        <v>0</v>
      </c>
    </row>
    <row r="7010" spans="1:11" x14ac:dyDescent="0.25">
      <c r="A7010" t="str">
        <f>"8721"</f>
        <v>8721</v>
      </c>
      <c r="B7010" t="str">
        <f t="shared" si="455"/>
        <v>1</v>
      </c>
      <c r="C7010" t="str">
        <f t="shared" si="458"/>
        <v>376</v>
      </c>
      <c r="D7010" t="str">
        <f>"14"</f>
        <v>14</v>
      </c>
      <c r="E7010" t="str">
        <f>"1-376-14"</f>
        <v>1-376-14</v>
      </c>
      <c r="F7010" t="s">
        <v>15</v>
      </c>
      <c r="G7010" t="s">
        <v>18</v>
      </c>
      <c r="H7010" t="s">
        <v>19</v>
      </c>
      <c r="I7010">
        <v>1</v>
      </c>
      <c r="J7010">
        <v>0</v>
      </c>
      <c r="K7010">
        <v>0</v>
      </c>
    </row>
    <row r="7011" spans="1:11" x14ac:dyDescent="0.25">
      <c r="A7011" t="str">
        <f>"8722"</f>
        <v>8722</v>
      </c>
      <c r="B7011" t="str">
        <f t="shared" si="455"/>
        <v>1</v>
      </c>
      <c r="C7011" t="str">
        <f t="shared" si="458"/>
        <v>376</v>
      </c>
      <c r="D7011" t="str">
        <f>"19"</f>
        <v>19</v>
      </c>
      <c r="E7011" t="str">
        <f>"1-376-19"</f>
        <v>1-376-19</v>
      </c>
      <c r="F7011" t="s">
        <v>15</v>
      </c>
      <c r="G7011" t="s">
        <v>18</v>
      </c>
      <c r="H7011" t="s">
        <v>19</v>
      </c>
      <c r="I7011">
        <v>1</v>
      </c>
      <c r="J7011">
        <v>0</v>
      </c>
      <c r="K7011">
        <v>0</v>
      </c>
    </row>
    <row r="7012" spans="1:11" x14ac:dyDescent="0.25">
      <c r="A7012" t="str">
        <f>"8723"</f>
        <v>8723</v>
      </c>
      <c r="B7012" t="str">
        <f t="shared" si="455"/>
        <v>1</v>
      </c>
      <c r="C7012" t="str">
        <f t="shared" si="458"/>
        <v>376</v>
      </c>
      <c r="D7012" t="str">
        <f>"20"</f>
        <v>20</v>
      </c>
      <c r="E7012" t="str">
        <f>"1-376-20"</f>
        <v>1-376-20</v>
      </c>
      <c r="F7012" t="s">
        <v>15</v>
      </c>
      <c r="G7012" t="s">
        <v>16</v>
      </c>
      <c r="H7012" t="s">
        <v>17</v>
      </c>
      <c r="I7012">
        <v>1</v>
      </c>
      <c r="J7012">
        <v>0</v>
      </c>
      <c r="K7012">
        <v>0</v>
      </c>
    </row>
    <row r="7013" spans="1:11" x14ac:dyDescent="0.25">
      <c r="A7013" t="str">
        <f>"8724"</f>
        <v>8724</v>
      </c>
      <c r="B7013" t="str">
        <f t="shared" si="455"/>
        <v>1</v>
      </c>
      <c r="C7013" t="str">
        <f t="shared" si="458"/>
        <v>376</v>
      </c>
      <c r="D7013" t="str">
        <f>"10"</f>
        <v>10</v>
      </c>
      <c r="E7013" t="str">
        <f>"1-376-10"</f>
        <v>1-376-10</v>
      </c>
      <c r="F7013" t="s">
        <v>15</v>
      </c>
      <c r="G7013" t="s">
        <v>16</v>
      </c>
      <c r="H7013" t="s">
        <v>17</v>
      </c>
      <c r="I7013">
        <v>0</v>
      </c>
      <c r="J7013">
        <v>1</v>
      </c>
      <c r="K7013">
        <v>0</v>
      </c>
    </row>
    <row r="7014" spans="1:11" x14ac:dyDescent="0.25">
      <c r="A7014" t="str">
        <f>"8725"</f>
        <v>8725</v>
      </c>
      <c r="B7014" t="str">
        <f t="shared" si="455"/>
        <v>1</v>
      </c>
      <c r="C7014" t="str">
        <f t="shared" si="458"/>
        <v>376</v>
      </c>
      <c r="D7014" t="str">
        <f>"2"</f>
        <v>2</v>
      </c>
      <c r="E7014" t="str">
        <f>"1-376-2"</f>
        <v>1-376-2</v>
      </c>
      <c r="F7014" t="s">
        <v>15</v>
      </c>
      <c r="G7014" t="s">
        <v>16</v>
      </c>
      <c r="H7014" t="s">
        <v>17</v>
      </c>
      <c r="I7014">
        <v>1</v>
      </c>
      <c r="J7014">
        <v>0</v>
      </c>
      <c r="K7014">
        <v>0</v>
      </c>
    </row>
    <row r="7015" spans="1:11" x14ac:dyDescent="0.25">
      <c r="A7015" t="str">
        <f>"8726"</f>
        <v>8726</v>
      </c>
      <c r="B7015" t="str">
        <f t="shared" si="455"/>
        <v>1</v>
      </c>
      <c r="C7015" t="str">
        <f t="shared" si="458"/>
        <v>376</v>
      </c>
      <c r="D7015" t="str">
        <f>"22"</f>
        <v>22</v>
      </c>
      <c r="E7015" t="str">
        <f>"1-376-22"</f>
        <v>1-376-22</v>
      </c>
      <c r="F7015" t="s">
        <v>15</v>
      </c>
      <c r="G7015" t="s">
        <v>16</v>
      </c>
      <c r="H7015" t="s">
        <v>17</v>
      </c>
      <c r="I7015">
        <v>1</v>
      </c>
      <c r="J7015">
        <v>0</v>
      </c>
      <c r="K7015">
        <v>0</v>
      </c>
    </row>
    <row r="7016" spans="1:11" x14ac:dyDescent="0.25">
      <c r="A7016" t="str">
        <f>"8727"</f>
        <v>8727</v>
      </c>
      <c r="B7016" t="str">
        <f t="shared" si="455"/>
        <v>1</v>
      </c>
      <c r="C7016" t="str">
        <f t="shared" si="458"/>
        <v>376</v>
      </c>
      <c r="D7016" t="str">
        <f>"11"</f>
        <v>11</v>
      </c>
      <c r="E7016" t="str">
        <f>"1-376-11"</f>
        <v>1-376-11</v>
      </c>
      <c r="F7016" t="s">
        <v>15</v>
      </c>
      <c r="G7016" t="s">
        <v>18</v>
      </c>
      <c r="H7016" t="s">
        <v>19</v>
      </c>
      <c r="I7016">
        <v>1</v>
      </c>
      <c r="J7016">
        <v>0</v>
      </c>
      <c r="K7016">
        <v>0</v>
      </c>
    </row>
    <row r="7017" spans="1:11" x14ac:dyDescent="0.25">
      <c r="A7017" t="str">
        <f>"8728"</f>
        <v>8728</v>
      </c>
      <c r="B7017" t="str">
        <f t="shared" si="455"/>
        <v>1</v>
      </c>
      <c r="C7017" t="str">
        <f t="shared" si="458"/>
        <v>376</v>
      </c>
      <c r="D7017" t="str">
        <f>"23"</f>
        <v>23</v>
      </c>
      <c r="E7017" t="str">
        <f>"1-376-23"</f>
        <v>1-376-23</v>
      </c>
      <c r="F7017" t="s">
        <v>15</v>
      </c>
      <c r="G7017" t="s">
        <v>16</v>
      </c>
      <c r="H7017" t="s">
        <v>17</v>
      </c>
      <c r="I7017">
        <v>1</v>
      </c>
      <c r="J7017">
        <v>0</v>
      </c>
      <c r="K7017">
        <v>0</v>
      </c>
    </row>
    <row r="7018" spans="1:11" x14ac:dyDescent="0.25">
      <c r="A7018" t="str">
        <f>"8729"</f>
        <v>8729</v>
      </c>
      <c r="B7018" t="str">
        <f t="shared" si="455"/>
        <v>1</v>
      </c>
      <c r="C7018" t="str">
        <f t="shared" si="458"/>
        <v>376</v>
      </c>
      <c r="D7018" t="str">
        <f>"13"</f>
        <v>13</v>
      </c>
      <c r="E7018" t="str">
        <f>"1-376-13"</f>
        <v>1-376-13</v>
      </c>
      <c r="F7018" t="s">
        <v>15</v>
      </c>
      <c r="G7018" t="s">
        <v>16</v>
      </c>
      <c r="H7018" t="s">
        <v>17</v>
      </c>
      <c r="I7018">
        <v>1</v>
      </c>
      <c r="J7018">
        <v>0</v>
      </c>
      <c r="K7018">
        <v>0</v>
      </c>
    </row>
    <row r="7019" spans="1:11" x14ac:dyDescent="0.25">
      <c r="A7019" t="str">
        <f>"8730"</f>
        <v>8730</v>
      </c>
      <c r="B7019" t="str">
        <f t="shared" ref="B7019:B7066" si="459">"1"</f>
        <v>1</v>
      </c>
      <c r="C7019" t="str">
        <f t="shared" si="458"/>
        <v>376</v>
      </c>
      <c r="D7019" t="str">
        <f>"25"</f>
        <v>25</v>
      </c>
      <c r="E7019" t="str">
        <f>"1-376-25"</f>
        <v>1-376-25</v>
      </c>
      <c r="F7019" t="s">
        <v>15</v>
      </c>
      <c r="G7019" t="s">
        <v>20</v>
      </c>
      <c r="H7019" t="s">
        <v>21</v>
      </c>
      <c r="I7019">
        <v>1</v>
      </c>
      <c r="J7019">
        <v>0</v>
      </c>
      <c r="K7019">
        <v>0</v>
      </c>
    </row>
    <row r="7020" spans="1:11" x14ac:dyDescent="0.25">
      <c r="A7020" t="str">
        <f>"8731"</f>
        <v>8731</v>
      </c>
      <c r="B7020" t="str">
        <f t="shared" si="459"/>
        <v>1</v>
      </c>
      <c r="C7020" t="str">
        <f t="shared" si="458"/>
        <v>376</v>
      </c>
      <c r="D7020" t="str">
        <f>"9"</f>
        <v>9</v>
      </c>
      <c r="E7020" t="str">
        <f>"1-376-9"</f>
        <v>1-376-9</v>
      </c>
      <c r="F7020" t="s">
        <v>15</v>
      </c>
      <c r="G7020" t="s">
        <v>16</v>
      </c>
      <c r="H7020" t="s">
        <v>17</v>
      </c>
      <c r="I7020">
        <v>0</v>
      </c>
      <c r="J7020">
        <v>1</v>
      </c>
      <c r="K7020">
        <v>0</v>
      </c>
    </row>
    <row r="7021" spans="1:11" x14ac:dyDescent="0.25">
      <c r="A7021" t="str">
        <f>"8732"</f>
        <v>8732</v>
      </c>
      <c r="B7021" t="str">
        <f t="shared" si="459"/>
        <v>1</v>
      </c>
      <c r="C7021" t="str">
        <f t="shared" si="458"/>
        <v>376</v>
      </c>
      <c r="D7021" t="str">
        <f>"5"</f>
        <v>5</v>
      </c>
      <c r="E7021" t="str">
        <f>"1-376-5"</f>
        <v>1-376-5</v>
      </c>
      <c r="F7021" t="s">
        <v>15</v>
      </c>
      <c r="G7021" t="s">
        <v>16</v>
      </c>
      <c r="H7021" t="s">
        <v>17</v>
      </c>
      <c r="I7021">
        <v>0</v>
      </c>
      <c r="J7021">
        <v>1</v>
      </c>
      <c r="K7021">
        <v>0</v>
      </c>
    </row>
    <row r="7022" spans="1:11" x14ac:dyDescent="0.25">
      <c r="A7022" t="str">
        <f>"8733"</f>
        <v>8733</v>
      </c>
      <c r="B7022" t="str">
        <f t="shared" si="459"/>
        <v>1</v>
      </c>
      <c r="C7022" t="str">
        <f t="shared" si="458"/>
        <v>376</v>
      </c>
      <c r="D7022" t="str">
        <f>"8"</f>
        <v>8</v>
      </c>
      <c r="E7022" t="str">
        <f>"1-376-8"</f>
        <v>1-376-8</v>
      </c>
      <c r="F7022" t="s">
        <v>15</v>
      </c>
      <c r="G7022" t="s">
        <v>16</v>
      </c>
      <c r="H7022" t="s">
        <v>17</v>
      </c>
      <c r="I7022">
        <v>1</v>
      </c>
      <c r="J7022">
        <v>0</v>
      </c>
      <c r="K7022">
        <v>0</v>
      </c>
    </row>
    <row r="7023" spans="1:11" x14ac:dyDescent="0.25">
      <c r="A7023" t="str">
        <f>"8734"</f>
        <v>8734</v>
      </c>
      <c r="B7023" t="str">
        <f t="shared" si="459"/>
        <v>1</v>
      </c>
      <c r="C7023" t="str">
        <f t="shared" si="458"/>
        <v>376</v>
      </c>
      <c r="D7023" t="str">
        <f>"7"</f>
        <v>7</v>
      </c>
      <c r="E7023" t="str">
        <f>"1-376-7"</f>
        <v>1-376-7</v>
      </c>
      <c r="F7023" t="s">
        <v>15</v>
      </c>
      <c r="G7023" t="s">
        <v>16</v>
      </c>
      <c r="H7023" t="s">
        <v>17</v>
      </c>
      <c r="I7023">
        <v>1</v>
      </c>
      <c r="J7023">
        <v>0</v>
      </c>
      <c r="K7023">
        <v>0</v>
      </c>
    </row>
    <row r="7024" spans="1:11" x14ac:dyDescent="0.25">
      <c r="A7024" t="str">
        <f>"8735"</f>
        <v>8735</v>
      </c>
      <c r="B7024" t="str">
        <f t="shared" si="459"/>
        <v>1</v>
      </c>
      <c r="C7024" t="str">
        <f t="shared" si="458"/>
        <v>376</v>
      </c>
      <c r="D7024" t="str">
        <f>"4"</f>
        <v>4</v>
      </c>
      <c r="E7024" t="str">
        <f>"1-376-4"</f>
        <v>1-376-4</v>
      </c>
      <c r="F7024" t="s">
        <v>15</v>
      </c>
      <c r="G7024" t="s">
        <v>16</v>
      </c>
      <c r="H7024" t="s">
        <v>17</v>
      </c>
      <c r="I7024">
        <v>1</v>
      </c>
      <c r="J7024">
        <v>0</v>
      </c>
      <c r="K7024">
        <v>0</v>
      </c>
    </row>
    <row r="7025" spans="1:11" x14ac:dyDescent="0.25">
      <c r="A7025" t="str">
        <f>"8736"</f>
        <v>8736</v>
      </c>
      <c r="B7025" t="str">
        <f t="shared" si="459"/>
        <v>1</v>
      </c>
      <c r="C7025" t="str">
        <f t="shared" si="458"/>
        <v>376</v>
      </c>
      <c r="D7025" t="str">
        <f>"12"</f>
        <v>12</v>
      </c>
      <c r="E7025" t="str">
        <f>"1-376-12"</f>
        <v>1-376-12</v>
      </c>
      <c r="F7025" t="s">
        <v>15</v>
      </c>
      <c r="G7025" t="s">
        <v>16</v>
      </c>
      <c r="H7025" t="s">
        <v>17</v>
      </c>
      <c r="I7025">
        <v>0</v>
      </c>
      <c r="J7025">
        <v>0</v>
      </c>
      <c r="K7025">
        <v>0</v>
      </c>
    </row>
    <row r="7026" spans="1:11" x14ac:dyDescent="0.25">
      <c r="A7026" t="str">
        <f>"8737"</f>
        <v>8737</v>
      </c>
      <c r="B7026" t="str">
        <f t="shared" si="459"/>
        <v>1</v>
      </c>
      <c r="C7026" t="str">
        <f t="shared" si="458"/>
        <v>376</v>
      </c>
      <c r="D7026" t="str">
        <f>"24"</f>
        <v>24</v>
      </c>
      <c r="E7026" t="str">
        <f>"1-376-24"</f>
        <v>1-376-24</v>
      </c>
      <c r="F7026" t="s">
        <v>15</v>
      </c>
      <c r="G7026" t="s">
        <v>16</v>
      </c>
      <c r="H7026" t="s">
        <v>17</v>
      </c>
      <c r="I7026">
        <v>0</v>
      </c>
      <c r="J7026">
        <v>0</v>
      </c>
      <c r="K7026">
        <v>0</v>
      </c>
    </row>
    <row r="7027" spans="1:11" x14ac:dyDescent="0.25">
      <c r="A7027" t="str">
        <f>"8738"</f>
        <v>8738</v>
      </c>
      <c r="B7027" t="str">
        <f t="shared" si="459"/>
        <v>1</v>
      </c>
      <c r="C7027" t="str">
        <f t="shared" si="458"/>
        <v>376</v>
      </c>
      <c r="D7027" t="str">
        <f>"21"</f>
        <v>21</v>
      </c>
      <c r="E7027" t="str">
        <f>"1-376-21"</f>
        <v>1-376-21</v>
      </c>
      <c r="F7027" t="s">
        <v>15</v>
      </c>
      <c r="G7027" t="s">
        <v>18</v>
      </c>
      <c r="H7027" t="s">
        <v>19</v>
      </c>
      <c r="I7027">
        <v>0</v>
      </c>
      <c r="J7027">
        <v>1</v>
      </c>
      <c r="K7027">
        <v>0</v>
      </c>
    </row>
    <row r="7028" spans="1:11" x14ac:dyDescent="0.25">
      <c r="A7028" t="str">
        <f>"8755"</f>
        <v>8755</v>
      </c>
      <c r="B7028" t="str">
        <f t="shared" si="459"/>
        <v>1</v>
      </c>
      <c r="C7028" t="str">
        <f t="shared" ref="C7028:C7052" si="460">"378"</f>
        <v>378</v>
      </c>
      <c r="D7028" t="str">
        <f>"15"</f>
        <v>15</v>
      </c>
      <c r="E7028" t="str">
        <f>"1-378-15"</f>
        <v>1-378-15</v>
      </c>
      <c r="F7028" t="s">
        <v>15</v>
      </c>
      <c r="G7028" t="s">
        <v>16</v>
      </c>
      <c r="H7028" t="s">
        <v>17</v>
      </c>
      <c r="I7028">
        <v>0</v>
      </c>
      <c r="J7028">
        <v>1</v>
      </c>
      <c r="K7028">
        <v>0</v>
      </c>
    </row>
    <row r="7029" spans="1:11" x14ac:dyDescent="0.25">
      <c r="A7029" t="str">
        <f>"8756"</f>
        <v>8756</v>
      </c>
      <c r="B7029" t="str">
        <f t="shared" si="459"/>
        <v>1</v>
      </c>
      <c r="C7029" t="str">
        <f t="shared" si="460"/>
        <v>378</v>
      </c>
      <c r="D7029" t="str">
        <f>"4"</f>
        <v>4</v>
      </c>
      <c r="E7029" t="str">
        <f>"1-378-4"</f>
        <v>1-378-4</v>
      </c>
      <c r="F7029" t="s">
        <v>15</v>
      </c>
      <c r="G7029" t="s">
        <v>16</v>
      </c>
      <c r="H7029" t="s">
        <v>17</v>
      </c>
      <c r="I7029">
        <v>1</v>
      </c>
      <c r="J7029">
        <v>0</v>
      </c>
      <c r="K7029">
        <v>0</v>
      </c>
    </row>
    <row r="7030" spans="1:11" x14ac:dyDescent="0.25">
      <c r="A7030" t="str">
        <f>"8757"</f>
        <v>8757</v>
      </c>
      <c r="B7030" t="str">
        <f t="shared" si="459"/>
        <v>1</v>
      </c>
      <c r="C7030" t="str">
        <f t="shared" si="460"/>
        <v>378</v>
      </c>
      <c r="D7030" t="str">
        <f>"21"</f>
        <v>21</v>
      </c>
      <c r="E7030" t="str">
        <f>"1-378-21"</f>
        <v>1-378-21</v>
      </c>
      <c r="F7030" t="s">
        <v>15</v>
      </c>
      <c r="G7030" t="s">
        <v>16</v>
      </c>
      <c r="H7030" t="s">
        <v>17</v>
      </c>
      <c r="I7030">
        <v>1</v>
      </c>
      <c r="J7030">
        <v>0</v>
      </c>
      <c r="K7030">
        <v>0</v>
      </c>
    </row>
    <row r="7031" spans="1:11" x14ac:dyDescent="0.25">
      <c r="A7031" t="str">
        <f>"8758"</f>
        <v>8758</v>
      </c>
      <c r="B7031" t="str">
        <f t="shared" si="459"/>
        <v>1</v>
      </c>
      <c r="C7031" t="str">
        <f t="shared" si="460"/>
        <v>378</v>
      </c>
      <c r="D7031" t="str">
        <f>"16"</f>
        <v>16</v>
      </c>
      <c r="E7031" t="str">
        <f>"1-378-16"</f>
        <v>1-378-16</v>
      </c>
      <c r="F7031" t="s">
        <v>15</v>
      </c>
      <c r="G7031" t="s">
        <v>16</v>
      </c>
      <c r="H7031" t="s">
        <v>17</v>
      </c>
      <c r="I7031">
        <v>1</v>
      </c>
      <c r="J7031">
        <v>0</v>
      </c>
      <c r="K7031">
        <v>0</v>
      </c>
    </row>
    <row r="7032" spans="1:11" x14ac:dyDescent="0.25">
      <c r="A7032" t="str">
        <f>"8759"</f>
        <v>8759</v>
      </c>
      <c r="B7032" t="str">
        <f t="shared" si="459"/>
        <v>1</v>
      </c>
      <c r="C7032" t="str">
        <f t="shared" si="460"/>
        <v>378</v>
      </c>
      <c r="D7032" t="str">
        <f>"6"</f>
        <v>6</v>
      </c>
      <c r="E7032" t="str">
        <f>"1-378-6"</f>
        <v>1-378-6</v>
      </c>
      <c r="F7032" t="s">
        <v>15</v>
      </c>
      <c r="G7032" t="s">
        <v>16</v>
      </c>
      <c r="H7032" t="s">
        <v>17</v>
      </c>
      <c r="I7032">
        <v>1</v>
      </c>
      <c r="J7032">
        <v>0</v>
      </c>
      <c r="K7032">
        <v>0</v>
      </c>
    </row>
    <row r="7033" spans="1:11" x14ac:dyDescent="0.25">
      <c r="A7033" t="str">
        <f>"8760"</f>
        <v>8760</v>
      </c>
      <c r="B7033" t="str">
        <f t="shared" si="459"/>
        <v>1</v>
      </c>
      <c r="C7033" t="str">
        <f t="shared" si="460"/>
        <v>378</v>
      </c>
      <c r="D7033" t="str">
        <f>"17"</f>
        <v>17</v>
      </c>
      <c r="E7033" t="str">
        <f>"1-378-17"</f>
        <v>1-378-17</v>
      </c>
      <c r="F7033" t="s">
        <v>15</v>
      </c>
      <c r="G7033" t="s">
        <v>18</v>
      </c>
      <c r="H7033" t="s">
        <v>19</v>
      </c>
      <c r="I7033">
        <v>0</v>
      </c>
      <c r="J7033">
        <v>1</v>
      </c>
      <c r="K7033">
        <v>0</v>
      </c>
    </row>
    <row r="7034" spans="1:11" x14ac:dyDescent="0.25">
      <c r="A7034" t="str">
        <f>"8761"</f>
        <v>8761</v>
      </c>
      <c r="B7034" t="str">
        <f t="shared" si="459"/>
        <v>1</v>
      </c>
      <c r="C7034" t="str">
        <f t="shared" si="460"/>
        <v>378</v>
      </c>
      <c r="D7034" t="str">
        <f>"1"</f>
        <v>1</v>
      </c>
      <c r="E7034" t="str">
        <f>"1-378-1"</f>
        <v>1-378-1</v>
      </c>
      <c r="F7034" t="s">
        <v>15</v>
      </c>
      <c r="G7034" t="s">
        <v>16</v>
      </c>
      <c r="H7034" t="s">
        <v>17</v>
      </c>
      <c r="I7034">
        <v>1</v>
      </c>
      <c r="J7034">
        <v>0</v>
      </c>
      <c r="K7034">
        <v>0</v>
      </c>
    </row>
    <row r="7035" spans="1:11" x14ac:dyDescent="0.25">
      <c r="A7035" t="str">
        <f>"8762"</f>
        <v>8762</v>
      </c>
      <c r="B7035" t="str">
        <f t="shared" si="459"/>
        <v>1</v>
      </c>
      <c r="C7035" t="str">
        <f t="shared" si="460"/>
        <v>378</v>
      </c>
      <c r="D7035" t="str">
        <f>"7"</f>
        <v>7</v>
      </c>
      <c r="E7035" t="str">
        <f>"1-378-7"</f>
        <v>1-378-7</v>
      </c>
      <c r="F7035" t="s">
        <v>15</v>
      </c>
      <c r="G7035" t="s">
        <v>16</v>
      </c>
      <c r="H7035" t="s">
        <v>17</v>
      </c>
      <c r="I7035">
        <v>1</v>
      </c>
      <c r="J7035">
        <v>0</v>
      </c>
      <c r="K7035">
        <v>0</v>
      </c>
    </row>
    <row r="7036" spans="1:11" x14ac:dyDescent="0.25">
      <c r="A7036" t="str">
        <f>"8763"</f>
        <v>8763</v>
      </c>
      <c r="B7036" t="str">
        <f t="shared" si="459"/>
        <v>1</v>
      </c>
      <c r="C7036" t="str">
        <f t="shared" si="460"/>
        <v>378</v>
      </c>
      <c r="D7036" t="str">
        <f>"2"</f>
        <v>2</v>
      </c>
      <c r="E7036" t="str">
        <f>"1-378-2"</f>
        <v>1-378-2</v>
      </c>
      <c r="F7036" t="s">
        <v>15</v>
      </c>
      <c r="G7036" t="s">
        <v>16</v>
      </c>
      <c r="H7036" t="s">
        <v>17</v>
      </c>
      <c r="I7036">
        <v>0</v>
      </c>
      <c r="J7036">
        <v>0</v>
      </c>
      <c r="K7036">
        <v>1</v>
      </c>
    </row>
    <row r="7037" spans="1:11" x14ac:dyDescent="0.25">
      <c r="A7037" t="str">
        <f>"8764"</f>
        <v>8764</v>
      </c>
      <c r="B7037" t="str">
        <f t="shared" si="459"/>
        <v>1</v>
      </c>
      <c r="C7037" t="str">
        <f t="shared" si="460"/>
        <v>378</v>
      </c>
      <c r="D7037" t="str">
        <f>"20"</f>
        <v>20</v>
      </c>
      <c r="E7037" t="str">
        <f>"1-378-20"</f>
        <v>1-378-20</v>
      </c>
      <c r="F7037" t="s">
        <v>15</v>
      </c>
      <c r="G7037" t="s">
        <v>16</v>
      </c>
      <c r="H7037" t="s">
        <v>17</v>
      </c>
      <c r="I7037">
        <v>1</v>
      </c>
      <c r="J7037">
        <v>0</v>
      </c>
      <c r="K7037">
        <v>0</v>
      </c>
    </row>
    <row r="7038" spans="1:11" x14ac:dyDescent="0.25">
      <c r="A7038" t="str">
        <f>"8765"</f>
        <v>8765</v>
      </c>
      <c r="B7038" t="str">
        <f t="shared" si="459"/>
        <v>1</v>
      </c>
      <c r="C7038" t="str">
        <f t="shared" si="460"/>
        <v>378</v>
      </c>
      <c r="D7038" t="str">
        <f>"13"</f>
        <v>13</v>
      </c>
      <c r="E7038" t="str">
        <f>"1-378-13"</f>
        <v>1-378-13</v>
      </c>
      <c r="F7038" t="s">
        <v>15</v>
      </c>
      <c r="G7038" t="s">
        <v>16</v>
      </c>
      <c r="H7038" t="s">
        <v>17</v>
      </c>
      <c r="I7038">
        <v>0</v>
      </c>
      <c r="J7038">
        <v>0</v>
      </c>
      <c r="K7038">
        <v>1</v>
      </c>
    </row>
    <row r="7039" spans="1:11" x14ac:dyDescent="0.25">
      <c r="A7039" t="str">
        <f>"8766"</f>
        <v>8766</v>
      </c>
      <c r="B7039" t="str">
        <f t="shared" si="459"/>
        <v>1</v>
      </c>
      <c r="C7039" t="str">
        <f t="shared" si="460"/>
        <v>378</v>
      </c>
      <c r="D7039" t="str">
        <f>"22"</f>
        <v>22</v>
      </c>
      <c r="E7039" t="str">
        <f>"1-378-22"</f>
        <v>1-378-22</v>
      </c>
      <c r="F7039" t="s">
        <v>15</v>
      </c>
      <c r="G7039" t="s">
        <v>16</v>
      </c>
      <c r="H7039" t="s">
        <v>17</v>
      </c>
      <c r="I7039">
        <v>1</v>
      </c>
      <c r="J7039">
        <v>0</v>
      </c>
      <c r="K7039">
        <v>0</v>
      </c>
    </row>
    <row r="7040" spans="1:11" x14ac:dyDescent="0.25">
      <c r="A7040" t="str">
        <f>"8767"</f>
        <v>8767</v>
      </c>
      <c r="B7040" t="str">
        <f t="shared" si="459"/>
        <v>1</v>
      </c>
      <c r="C7040" t="str">
        <f t="shared" si="460"/>
        <v>378</v>
      </c>
      <c r="D7040" t="str">
        <f>"10"</f>
        <v>10</v>
      </c>
      <c r="E7040" t="str">
        <f>"1-378-10"</f>
        <v>1-378-10</v>
      </c>
      <c r="F7040" t="s">
        <v>15</v>
      </c>
      <c r="G7040" t="s">
        <v>18</v>
      </c>
      <c r="H7040" t="s">
        <v>19</v>
      </c>
      <c r="I7040">
        <v>1</v>
      </c>
      <c r="J7040">
        <v>0</v>
      </c>
      <c r="K7040">
        <v>0</v>
      </c>
    </row>
    <row r="7041" spans="1:11" x14ac:dyDescent="0.25">
      <c r="A7041" t="str">
        <f>"8768"</f>
        <v>8768</v>
      </c>
      <c r="B7041" t="str">
        <f t="shared" si="459"/>
        <v>1</v>
      </c>
      <c r="C7041" t="str">
        <f t="shared" si="460"/>
        <v>378</v>
      </c>
      <c r="D7041" t="str">
        <f>"23"</f>
        <v>23</v>
      </c>
      <c r="E7041" t="str">
        <f>"1-378-23"</f>
        <v>1-378-23</v>
      </c>
      <c r="F7041" t="s">
        <v>15</v>
      </c>
      <c r="G7041" t="s">
        <v>16</v>
      </c>
      <c r="H7041" t="s">
        <v>17</v>
      </c>
      <c r="I7041">
        <v>0</v>
      </c>
      <c r="J7041">
        <v>0</v>
      </c>
      <c r="K7041">
        <v>1</v>
      </c>
    </row>
    <row r="7042" spans="1:11" x14ac:dyDescent="0.25">
      <c r="A7042" t="str">
        <f>"8769"</f>
        <v>8769</v>
      </c>
      <c r="B7042" t="str">
        <f t="shared" si="459"/>
        <v>1</v>
      </c>
      <c r="C7042" t="str">
        <f t="shared" si="460"/>
        <v>378</v>
      </c>
      <c r="D7042" t="str">
        <f>"12"</f>
        <v>12</v>
      </c>
      <c r="E7042" t="str">
        <f>"1-378-12"</f>
        <v>1-378-12</v>
      </c>
      <c r="F7042" t="s">
        <v>15</v>
      </c>
      <c r="G7042" t="s">
        <v>18</v>
      </c>
      <c r="H7042" t="s">
        <v>19</v>
      </c>
      <c r="I7042">
        <v>1</v>
      </c>
      <c r="J7042">
        <v>0</v>
      </c>
      <c r="K7042">
        <v>0</v>
      </c>
    </row>
    <row r="7043" spans="1:11" x14ac:dyDescent="0.25">
      <c r="A7043" t="str">
        <f>"8770"</f>
        <v>8770</v>
      </c>
      <c r="B7043" t="str">
        <f t="shared" si="459"/>
        <v>1</v>
      </c>
      <c r="C7043" t="str">
        <f t="shared" si="460"/>
        <v>378</v>
      </c>
      <c r="D7043" t="str">
        <f>"24"</f>
        <v>24</v>
      </c>
      <c r="E7043" t="str">
        <f>"1-378-24"</f>
        <v>1-378-24</v>
      </c>
      <c r="F7043" t="s">
        <v>15</v>
      </c>
      <c r="G7043" t="s">
        <v>16</v>
      </c>
      <c r="H7043" t="s">
        <v>17</v>
      </c>
      <c r="I7043">
        <v>0</v>
      </c>
      <c r="J7043">
        <v>1</v>
      </c>
      <c r="K7043">
        <v>0</v>
      </c>
    </row>
    <row r="7044" spans="1:11" x14ac:dyDescent="0.25">
      <c r="A7044" t="str">
        <f>"8771"</f>
        <v>8771</v>
      </c>
      <c r="B7044" t="str">
        <f t="shared" si="459"/>
        <v>1</v>
      </c>
      <c r="C7044" t="str">
        <f t="shared" si="460"/>
        <v>378</v>
      </c>
      <c r="D7044" t="str">
        <f>"3"</f>
        <v>3</v>
      </c>
      <c r="E7044" t="str">
        <f>"1-378-3"</f>
        <v>1-378-3</v>
      </c>
      <c r="F7044" t="s">
        <v>15</v>
      </c>
      <c r="G7044" t="s">
        <v>16</v>
      </c>
      <c r="H7044" t="s">
        <v>17</v>
      </c>
      <c r="I7044">
        <v>1</v>
      </c>
      <c r="J7044">
        <v>0</v>
      </c>
      <c r="K7044">
        <v>0</v>
      </c>
    </row>
    <row r="7045" spans="1:11" x14ac:dyDescent="0.25">
      <c r="A7045" t="str">
        <f>"8772"</f>
        <v>8772</v>
      </c>
      <c r="B7045" t="str">
        <f t="shared" si="459"/>
        <v>1</v>
      </c>
      <c r="C7045" t="str">
        <f t="shared" si="460"/>
        <v>378</v>
      </c>
      <c r="D7045" t="str">
        <f>"25"</f>
        <v>25</v>
      </c>
      <c r="E7045" t="str">
        <f>"1-378-25"</f>
        <v>1-378-25</v>
      </c>
      <c r="F7045" t="s">
        <v>15</v>
      </c>
      <c r="G7045" t="s">
        <v>16</v>
      </c>
      <c r="H7045" t="s">
        <v>17</v>
      </c>
      <c r="I7045">
        <v>0</v>
      </c>
      <c r="J7045">
        <v>0</v>
      </c>
      <c r="K7045">
        <v>1</v>
      </c>
    </row>
    <row r="7046" spans="1:11" x14ac:dyDescent="0.25">
      <c r="A7046" t="str">
        <f>"8773"</f>
        <v>8773</v>
      </c>
      <c r="B7046" t="str">
        <f t="shared" si="459"/>
        <v>1</v>
      </c>
      <c r="C7046" t="str">
        <f t="shared" si="460"/>
        <v>378</v>
      </c>
      <c r="D7046" t="str">
        <f>"5"</f>
        <v>5</v>
      </c>
      <c r="E7046" t="str">
        <f>"1-378-5"</f>
        <v>1-378-5</v>
      </c>
      <c r="F7046" t="s">
        <v>15</v>
      </c>
      <c r="G7046" t="s">
        <v>16</v>
      </c>
      <c r="H7046" t="s">
        <v>17</v>
      </c>
      <c r="I7046">
        <v>1</v>
      </c>
      <c r="J7046">
        <v>0</v>
      </c>
      <c r="K7046">
        <v>0</v>
      </c>
    </row>
    <row r="7047" spans="1:11" x14ac:dyDescent="0.25">
      <c r="A7047" t="str">
        <f>"8774"</f>
        <v>8774</v>
      </c>
      <c r="B7047" t="str">
        <f t="shared" si="459"/>
        <v>1</v>
      </c>
      <c r="C7047" t="str">
        <f t="shared" si="460"/>
        <v>378</v>
      </c>
      <c r="D7047" t="str">
        <f>"14"</f>
        <v>14</v>
      </c>
      <c r="E7047" t="str">
        <f>"1-378-14"</f>
        <v>1-378-14</v>
      </c>
      <c r="F7047" t="s">
        <v>15</v>
      </c>
      <c r="G7047" t="s">
        <v>16</v>
      </c>
      <c r="H7047" t="s">
        <v>17</v>
      </c>
      <c r="I7047">
        <v>0</v>
      </c>
      <c r="J7047">
        <v>1</v>
      </c>
      <c r="K7047">
        <v>0</v>
      </c>
    </row>
    <row r="7048" spans="1:11" x14ac:dyDescent="0.25">
      <c r="A7048" t="str">
        <f>"8775"</f>
        <v>8775</v>
      </c>
      <c r="B7048" t="str">
        <f t="shared" si="459"/>
        <v>1</v>
      </c>
      <c r="C7048" t="str">
        <f t="shared" si="460"/>
        <v>378</v>
      </c>
      <c r="D7048" t="str">
        <f>"9"</f>
        <v>9</v>
      </c>
      <c r="E7048" t="str">
        <f>"1-378-9"</f>
        <v>1-378-9</v>
      </c>
      <c r="F7048" t="s">
        <v>15</v>
      </c>
      <c r="G7048" t="s">
        <v>16</v>
      </c>
      <c r="H7048" t="s">
        <v>17</v>
      </c>
      <c r="I7048">
        <v>0</v>
      </c>
      <c r="J7048">
        <v>1</v>
      </c>
      <c r="K7048">
        <v>0</v>
      </c>
    </row>
    <row r="7049" spans="1:11" x14ac:dyDescent="0.25">
      <c r="A7049" t="str">
        <f>"8776"</f>
        <v>8776</v>
      </c>
      <c r="B7049" t="str">
        <f t="shared" si="459"/>
        <v>1</v>
      </c>
      <c r="C7049" t="str">
        <f t="shared" si="460"/>
        <v>378</v>
      </c>
      <c r="D7049" t="str">
        <f>"8"</f>
        <v>8</v>
      </c>
      <c r="E7049" t="str">
        <f>"1-378-8"</f>
        <v>1-378-8</v>
      </c>
      <c r="F7049" t="s">
        <v>15</v>
      </c>
      <c r="G7049" t="s">
        <v>18</v>
      </c>
      <c r="H7049" t="s">
        <v>19</v>
      </c>
      <c r="I7049">
        <v>0</v>
      </c>
      <c r="J7049">
        <v>0</v>
      </c>
      <c r="K7049">
        <v>1</v>
      </c>
    </row>
    <row r="7050" spans="1:11" x14ac:dyDescent="0.25">
      <c r="A7050" t="str">
        <f>"8777"</f>
        <v>8777</v>
      </c>
      <c r="B7050" t="str">
        <f t="shared" si="459"/>
        <v>1</v>
      </c>
      <c r="C7050" t="str">
        <f t="shared" si="460"/>
        <v>378</v>
      </c>
      <c r="D7050" t="str">
        <f>"11"</f>
        <v>11</v>
      </c>
      <c r="E7050" t="str">
        <f>"1-378-11"</f>
        <v>1-378-11</v>
      </c>
      <c r="F7050" t="s">
        <v>15</v>
      </c>
      <c r="G7050" t="s">
        <v>18</v>
      </c>
      <c r="H7050" t="s">
        <v>19</v>
      </c>
      <c r="I7050">
        <v>1</v>
      </c>
      <c r="J7050">
        <v>0</v>
      </c>
      <c r="K7050">
        <v>0</v>
      </c>
    </row>
    <row r="7051" spans="1:11" x14ac:dyDescent="0.25">
      <c r="A7051" t="str">
        <f>"8778"</f>
        <v>8778</v>
      </c>
      <c r="B7051" t="str">
        <f t="shared" si="459"/>
        <v>1</v>
      </c>
      <c r="C7051" t="str">
        <f t="shared" si="460"/>
        <v>378</v>
      </c>
      <c r="D7051" t="str">
        <f>"18"</f>
        <v>18</v>
      </c>
      <c r="E7051" t="str">
        <f>"1-378-18"</f>
        <v>1-378-18</v>
      </c>
      <c r="F7051" t="s">
        <v>15</v>
      </c>
      <c r="G7051" t="s">
        <v>16</v>
      </c>
      <c r="H7051" t="s">
        <v>17</v>
      </c>
      <c r="I7051">
        <v>0</v>
      </c>
      <c r="J7051">
        <v>0</v>
      </c>
      <c r="K7051">
        <v>0</v>
      </c>
    </row>
    <row r="7052" spans="1:11" x14ac:dyDescent="0.25">
      <c r="A7052" t="str">
        <f>"8779"</f>
        <v>8779</v>
      </c>
      <c r="B7052" t="str">
        <f t="shared" si="459"/>
        <v>1</v>
      </c>
      <c r="C7052" t="str">
        <f t="shared" si="460"/>
        <v>378</v>
      </c>
      <c r="D7052" t="str">
        <f>"19"</f>
        <v>19</v>
      </c>
      <c r="E7052" t="str">
        <f>"1-378-19"</f>
        <v>1-378-19</v>
      </c>
      <c r="F7052" t="s">
        <v>15</v>
      </c>
      <c r="G7052" t="s">
        <v>16</v>
      </c>
      <c r="H7052" t="s">
        <v>17</v>
      </c>
      <c r="I7052">
        <v>0</v>
      </c>
      <c r="J7052">
        <v>0</v>
      </c>
      <c r="K7052">
        <v>0</v>
      </c>
    </row>
    <row r="7053" spans="1:11" x14ac:dyDescent="0.25">
      <c r="A7053" t="str">
        <f>"8780"</f>
        <v>8780</v>
      </c>
      <c r="B7053" t="str">
        <f t="shared" si="459"/>
        <v>1</v>
      </c>
      <c r="C7053" t="str">
        <f t="shared" ref="C7053:C7081" si="461">"379"</f>
        <v>379</v>
      </c>
      <c r="D7053" t="str">
        <f>"15"</f>
        <v>15</v>
      </c>
      <c r="E7053" t="str">
        <f>"1-379-15"</f>
        <v>1-379-15</v>
      </c>
      <c r="F7053" t="s">
        <v>15</v>
      </c>
      <c r="G7053" t="s">
        <v>20</v>
      </c>
      <c r="H7053" t="s">
        <v>21</v>
      </c>
      <c r="I7053">
        <v>0</v>
      </c>
      <c r="J7053">
        <v>0</v>
      </c>
      <c r="K7053">
        <v>1</v>
      </c>
    </row>
    <row r="7054" spans="1:11" x14ac:dyDescent="0.25">
      <c r="A7054" t="str">
        <f>"8781"</f>
        <v>8781</v>
      </c>
      <c r="B7054" t="str">
        <f t="shared" si="459"/>
        <v>1</v>
      </c>
      <c r="C7054" t="str">
        <f t="shared" si="461"/>
        <v>379</v>
      </c>
      <c r="D7054" t="str">
        <f>"5"</f>
        <v>5</v>
      </c>
      <c r="E7054" t="str">
        <f>"1-379-5"</f>
        <v>1-379-5</v>
      </c>
      <c r="F7054" t="s">
        <v>15</v>
      </c>
      <c r="G7054" t="s">
        <v>20</v>
      </c>
      <c r="H7054" t="s">
        <v>21</v>
      </c>
      <c r="I7054">
        <v>1</v>
      </c>
      <c r="J7054">
        <v>0</v>
      </c>
      <c r="K7054">
        <v>0</v>
      </c>
    </row>
    <row r="7055" spans="1:11" x14ac:dyDescent="0.25">
      <c r="A7055" t="str">
        <f>"8782"</f>
        <v>8782</v>
      </c>
      <c r="B7055" t="str">
        <f t="shared" si="459"/>
        <v>1</v>
      </c>
      <c r="C7055" t="str">
        <f t="shared" si="461"/>
        <v>379</v>
      </c>
      <c r="D7055" t="str">
        <f>"21"</f>
        <v>21</v>
      </c>
      <c r="E7055" t="str">
        <f>"1-379-21"</f>
        <v>1-379-21</v>
      </c>
      <c r="F7055" t="s">
        <v>15</v>
      </c>
      <c r="G7055" t="s">
        <v>20</v>
      </c>
      <c r="H7055" t="s">
        <v>21</v>
      </c>
      <c r="I7055">
        <v>0</v>
      </c>
      <c r="J7055">
        <v>1</v>
      </c>
      <c r="K7055">
        <v>0</v>
      </c>
    </row>
    <row r="7056" spans="1:11" x14ac:dyDescent="0.25">
      <c r="A7056" t="str">
        <f>"8783"</f>
        <v>8783</v>
      </c>
      <c r="B7056" t="str">
        <f t="shared" si="459"/>
        <v>1</v>
      </c>
      <c r="C7056" t="str">
        <f t="shared" si="461"/>
        <v>379</v>
      </c>
      <c r="D7056" t="str">
        <f>"16"</f>
        <v>16</v>
      </c>
      <c r="E7056" t="str">
        <f>"1-379-16"</f>
        <v>1-379-16</v>
      </c>
      <c r="F7056" t="s">
        <v>15</v>
      </c>
      <c r="G7056" t="s">
        <v>20</v>
      </c>
      <c r="H7056" t="s">
        <v>21</v>
      </c>
      <c r="I7056">
        <v>1</v>
      </c>
      <c r="J7056">
        <v>0</v>
      </c>
      <c r="K7056">
        <v>0</v>
      </c>
    </row>
    <row r="7057" spans="1:11" x14ac:dyDescent="0.25">
      <c r="A7057" t="str">
        <f>"8784"</f>
        <v>8784</v>
      </c>
      <c r="B7057" t="str">
        <f t="shared" si="459"/>
        <v>1</v>
      </c>
      <c r="C7057" t="str">
        <f t="shared" si="461"/>
        <v>379</v>
      </c>
      <c r="D7057" t="str">
        <f>"2"</f>
        <v>2</v>
      </c>
      <c r="E7057" t="str">
        <f>"1-379-2"</f>
        <v>1-379-2</v>
      </c>
      <c r="F7057" t="s">
        <v>15</v>
      </c>
      <c r="G7057" t="s">
        <v>20</v>
      </c>
      <c r="H7057" t="s">
        <v>21</v>
      </c>
      <c r="I7057">
        <v>1</v>
      </c>
      <c r="J7057">
        <v>0</v>
      </c>
      <c r="K7057">
        <v>0</v>
      </c>
    </row>
    <row r="7058" spans="1:11" x14ac:dyDescent="0.25">
      <c r="A7058" t="str">
        <f>"8785"</f>
        <v>8785</v>
      </c>
      <c r="B7058" t="str">
        <f t="shared" si="459"/>
        <v>1</v>
      </c>
      <c r="C7058" t="str">
        <f t="shared" si="461"/>
        <v>379</v>
      </c>
      <c r="D7058" t="str">
        <f>"17"</f>
        <v>17</v>
      </c>
      <c r="E7058" t="str">
        <f>"1-379-17"</f>
        <v>1-379-17</v>
      </c>
      <c r="F7058" t="s">
        <v>15</v>
      </c>
      <c r="G7058" t="s">
        <v>20</v>
      </c>
      <c r="H7058" t="s">
        <v>21</v>
      </c>
      <c r="I7058">
        <v>0</v>
      </c>
      <c r="J7058">
        <v>0</v>
      </c>
      <c r="K7058">
        <v>1</v>
      </c>
    </row>
    <row r="7059" spans="1:11" x14ac:dyDescent="0.25">
      <c r="A7059" t="str">
        <f>"8786"</f>
        <v>8786</v>
      </c>
      <c r="B7059" t="str">
        <f t="shared" si="459"/>
        <v>1</v>
      </c>
      <c r="C7059" t="str">
        <f t="shared" si="461"/>
        <v>379</v>
      </c>
      <c r="D7059" t="str">
        <f>"1"</f>
        <v>1</v>
      </c>
      <c r="E7059" t="str">
        <f>"1-379-1"</f>
        <v>1-379-1</v>
      </c>
      <c r="F7059" t="s">
        <v>15</v>
      </c>
      <c r="G7059" t="s">
        <v>20</v>
      </c>
      <c r="H7059" t="s">
        <v>21</v>
      </c>
      <c r="I7059">
        <v>1</v>
      </c>
      <c r="J7059">
        <v>0</v>
      </c>
      <c r="K7059">
        <v>0</v>
      </c>
    </row>
    <row r="7060" spans="1:11" x14ac:dyDescent="0.25">
      <c r="A7060" t="str">
        <f>"8787"</f>
        <v>8787</v>
      </c>
      <c r="B7060" t="str">
        <f t="shared" si="459"/>
        <v>1</v>
      </c>
      <c r="C7060" t="str">
        <f t="shared" si="461"/>
        <v>379</v>
      </c>
      <c r="D7060" t="str">
        <f>"18"</f>
        <v>18</v>
      </c>
      <c r="E7060" t="str">
        <f>"1-379-18"</f>
        <v>1-379-18</v>
      </c>
      <c r="F7060" t="s">
        <v>15</v>
      </c>
      <c r="G7060" t="s">
        <v>20</v>
      </c>
      <c r="H7060" t="s">
        <v>21</v>
      </c>
      <c r="I7060">
        <v>1</v>
      </c>
      <c r="J7060">
        <v>0</v>
      </c>
      <c r="K7060">
        <v>0</v>
      </c>
    </row>
    <row r="7061" spans="1:11" x14ac:dyDescent="0.25">
      <c r="A7061" t="str">
        <f>"8788"</f>
        <v>8788</v>
      </c>
      <c r="B7061" t="str">
        <f t="shared" si="459"/>
        <v>1</v>
      </c>
      <c r="C7061" t="str">
        <f t="shared" si="461"/>
        <v>379</v>
      </c>
      <c r="D7061" t="str">
        <f>"9"</f>
        <v>9</v>
      </c>
      <c r="E7061" t="str">
        <f>"1-379-9"</f>
        <v>1-379-9</v>
      </c>
      <c r="F7061" t="s">
        <v>15</v>
      </c>
      <c r="G7061" t="s">
        <v>20</v>
      </c>
      <c r="H7061" t="s">
        <v>21</v>
      </c>
      <c r="I7061">
        <v>1</v>
      </c>
      <c r="J7061">
        <v>0</v>
      </c>
      <c r="K7061">
        <v>0</v>
      </c>
    </row>
    <row r="7062" spans="1:11" x14ac:dyDescent="0.25">
      <c r="A7062" t="str">
        <f>"8789"</f>
        <v>8789</v>
      </c>
      <c r="B7062" t="str">
        <f t="shared" si="459"/>
        <v>1</v>
      </c>
      <c r="C7062" t="str">
        <f t="shared" si="461"/>
        <v>379</v>
      </c>
      <c r="D7062" t="str">
        <f>"19"</f>
        <v>19</v>
      </c>
      <c r="E7062" t="str">
        <f>"1-379-19"</f>
        <v>1-379-19</v>
      </c>
      <c r="F7062" t="s">
        <v>15</v>
      </c>
      <c r="G7062" t="s">
        <v>20</v>
      </c>
      <c r="H7062" t="s">
        <v>21</v>
      </c>
      <c r="I7062">
        <v>0</v>
      </c>
      <c r="J7062">
        <v>0</v>
      </c>
      <c r="K7062">
        <v>1</v>
      </c>
    </row>
    <row r="7063" spans="1:11" x14ac:dyDescent="0.25">
      <c r="A7063" t="str">
        <f>"8790"</f>
        <v>8790</v>
      </c>
      <c r="B7063" t="str">
        <f t="shared" si="459"/>
        <v>1</v>
      </c>
      <c r="C7063" t="str">
        <f t="shared" si="461"/>
        <v>379</v>
      </c>
      <c r="D7063" t="str">
        <f>"3"</f>
        <v>3</v>
      </c>
      <c r="E7063" t="str">
        <f>"1-379-3"</f>
        <v>1-379-3</v>
      </c>
      <c r="F7063" t="s">
        <v>15</v>
      </c>
      <c r="G7063" t="s">
        <v>20</v>
      </c>
      <c r="H7063" t="s">
        <v>21</v>
      </c>
      <c r="I7063">
        <v>1</v>
      </c>
      <c r="J7063">
        <v>0</v>
      </c>
      <c r="K7063">
        <v>0</v>
      </c>
    </row>
    <row r="7064" spans="1:11" x14ac:dyDescent="0.25">
      <c r="A7064" t="str">
        <f>"8791"</f>
        <v>8791</v>
      </c>
      <c r="B7064" t="str">
        <f t="shared" si="459"/>
        <v>1</v>
      </c>
      <c r="C7064" t="str">
        <f t="shared" si="461"/>
        <v>379</v>
      </c>
      <c r="D7064" t="str">
        <f>"20"</f>
        <v>20</v>
      </c>
      <c r="E7064" t="str">
        <f>"1-379-20"</f>
        <v>1-379-20</v>
      </c>
      <c r="F7064" t="s">
        <v>15</v>
      </c>
      <c r="G7064" t="s">
        <v>20</v>
      </c>
      <c r="H7064" t="s">
        <v>21</v>
      </c>
      <c r="I7064">
        <v>0</v>
      </c>
      <c r="J7064">
        <v>0</v>
      </c>
      <c r="K7064">
        <v>1</v>
      </c>
    </row>
    <row r="7065" spans="1:11" x14ac:dyDescent="0.25">
      <c r="A7065" t="str">
        <f>"8792"</f>
        <v>8792</v>
      </c>
      <c r="B7065" t="str">
        <f t="shared" si="459"/>
        <v>1</v>
      </c>
      <c r="C7065" t="str">
        <f t="shared" si="461"/>
        <v>379</v>
      </c>
      <c r="D7065" t="str">
        <f>"12"</f>
        <v>12</v>
      </c>
      <c r="E7065" t="str">
        <f>"1-379-12"</f>
        <v>1-379-12</v>
      </c>
      <c r="F7065" t="s">
        <v>15</v>
      </c>
      <c r="G7065" t="s">
        <v>20</v>
      </c>
      <c r="H7065" t="s">
        <v>21</v>
      </c>
      <c r="I7065">
        <v>1</v>
      </c>
      <c r="J7065">
        <v>0</v>
      </c>
      <c r="K7065">
        <v>0</v>
      </c>
    </row>
    <row r="7066" spans="1:11" x14ac:dyDescent="0.25">
      <c r="A7066" t="str">
        <f>"8793"</f>
        <v>8793</v>
      </c>
      <c r="B7066" t="str">
        <f t="shared" si="459"/>
        <v>1</v>
      </c>
      <c r="C7066" t="str">
        <f t="shared" si="461"/>
        <v>379</v>
      </c>
      <c r="D7066" t="str">
        <f>"22"</f>
        <v>22</v>
      </c>
      <c r="E7066" t="str">
        <f>"1-379-22"</f>
        <v>1-379-22</v>
      </c>
      <c r="F7066" t="s">
        <v>15</v>
      </c>
      <c r="G7066" t="s">
        <v>20</v>
      </c>
      <c r="H7066" t="s">
        <v>21</v>
      </c>
      <c r="I7066">
        <v>0</v>
      </c>
      <c r="J7066">
        <v>1</v>
      </c>
      <c r="K7066">
        <v>0</v>
      </c>
    </row>
    <row r="7067" spans="1:11" x14ac:dyDescent="0.25">
      <c r="A7067" t="str">
        <f>"8794"</f>
        <v>8794</v>
      </c>
      <c r="B7067" t="str">
        <f t="shared" ref="B7067:B7081" si="462">"1"</f>
        <v>1</v>
      </c>
      <c r="C7067" t="str">
        <f t="shared" si="461"/>
        <v>379</v>
      </c>
      <c r="D7067" t="str">
        <f>"4"</f>
        <v>4</v>
      </c>
      <c r="E7067" t="str">
        <f>"1-379-4"</f>
        <v>1-379-4</v>
      </c>
      <c r="F7067" t="s">
        <v>15</v>
      </c>
      <c r="G7067" t="s">
        <v>20</v>
      </c>
      <c r="H7067" t="s">
        <v>21</v>
      </c>
      <c r="I7067">
        <v>1</v>
      </c>
      <c r="J7067">
        <v>0</v>
      </c>
      <c r="K7067">
        <v>0</v>
      </c>
    </row>
    <row r="7068" spans="1:11" x14ac:dyDescent="0.25">
      <c r="A7068" t="str">
        <f>"8795"</f>
        <v>8795</v>
      </c>
      <c r="B7068" t="str">
        <f t="shared" si="462"/>
        <v>1</v>
      </c>
      <c r="C7068" t="str">
        <f t="shared" si="461"/>
        <v>379</v>
      </c>
      <c r="D7068" t="str">
        <f>"13"</f>
        <v>13</v>
      </c>
      <c r="E7068" t="str">
        <f>"1-379-13"</f>
        <v>1-379-13</v>
      </c>
      <c r="F7068" t="s">
        <v>15</v>
      </c>
      <c r="G7068" t="s">
        <v>20</v>
      </c>
      <c r="H7068" t="s">
        <v>21</v>
      </c>
      <c r="I7068">
        <v>1</v>
      </c>
      <c r="J7068">
        <v>0</v>
      </c>
      <c r="K7068">
        <v>0</v>
      </c>
    </row>
    <row r="7069" spans="1:11" x14ac:dyDescent="0.25">
      <c r="A7069" t="str">
        <f>"8796"</f>
        <v>8796</v>
      </c>
      <c r="B7069" t="str">
        <f t="shared" si="462"/>
        <v>1</v>
      </c>
      <c r="C7069" t="str">
        <f t="shared" si="461"/>
        <v>379</v>
      </c>
      <c r="D7069" t="str">
        <f>"24"</f>
        <v>24</v>
      </c>
      <c r="E7069" t="str">
        <f>"1-379-24"</f>
        <v>1-379-24</v>
      </c>
      <c r="F7069" t="s">
        <v>15</v>
      </c>
      <c r="G7069" t="s">
        <v>20</v>
      </c>
      <c r="H7069" t="s">
        <v>21</v>
      </c>
      <c r="I7069">
        <v>0</v>
      </c>
      <c r="J7069">
        <v>1</v>
      </c>
      <c r="K7069">
        <v>0</v>
      </c>
    </row>
    <row r="7070" spans="1:11" x14ac:dyDescent="0.25">
      <c r="A7070" t="str">
        <f>"8797"</f>
        <v>8797</v>
      </c>
      <c r="B7070" t="str">
        <f t="shared" si="462"/>
        <v>1</v>
      </c>
      <c r="C7070" t="str">
        <f t="shared" si="461"/>
        <v>379</v>
      </c>
      <c r="D7070" t="str">
        <f>"14"</f>
        <v>14</v>
      </c>
      <c r="E7070" t="str">
        <f>"1-379-14"</f>
        <v>1-379-14</v>
      </c>
      <c r="F7070" t="s">
        <v>15</v>
      </c>
      <c r="G7070" t="s">
        <v>20</v>
      </c>
      <c r="H7070" t="s">
        <v>21</v>
      </c>
      <c r="I7070">
        <v>0</v>
      </c>
      <c r="J7070">
        <v>1</v>
      </c>
      <c r="K7070">
        <v>0</v>
      </c>
    </row>
    <row r="7071" spans="1:11" x14ac:dyDescent="0.25">
      <c r="A7071" t="str">
        <f>"8798"</f>
        <v>8798</v>
      </c>
      <c r="B7071" t="str">
        <f t="shared" si="462"/>
        <v>1</v>
      </c>
      <c r="C7071" t="str">
        <f t="shared" si="461"/>
        <v>379</v>
      </c>
      <c r="D7071" t="str">
        <f>"25"</f>
        <v>25</v>
      </c>
      <c r="E7071" t="str">
        <f>"1-379-25"</f>
        <v>1-379-25</v>
      </c>
      <c r="F7071" t="s">
        <v>15</v>
      </c>
      <c r="G7071" t="s">
        <v>20</v>
      </c>
      <c r="H7071" t="s">
        <v>21</v>
      </c>
      <c r="I7071">
        <v>0</v>
      </c>
      <c r="J7071">
        <v>1</v>
      </c>
      <c r="K7071">
        <v>0</v>
      </c>
    </row>
    <row r="7072" spans="1:11" x14ac:dyDescent="0.25">
      <c r="A7072" t="str">
        <f>"8799"</f>
        <v>8799</v>
      </c>
      <c r="B7072" t="str">
        <f t="shared" si="462"/>
        <v>1</v>
      </c>
      <c r="C7072" t="str">
        <f t="shared" si="461"/>
        <v>379</v>
      </c>
      <c r="D7072" t="str">
        <f>"8"</f>
        <v>8</v>
      </c>
      <c r="E7072" t="str">
        <f>"1-379-8"</f>
        <v>1-379-8</v>
      </c>
      <c r="F7072" t="s">
        <v>15</v>
      </c>
      <c r="G7072" t="s">
        <v>20</v>
      </c>
      <c r="H7072" t="s">
        <v>21</v>
      </c>
      <c r="I7072">
        <v>0</v>
      </c>
      <c r="J7072">
        <v>1</v>
      </c>
      <c r="K7072">
        <v>0</v>
      </c>
    </row>
    <row r="7073" spans="1:11" x14ac:dyDescent="0.25">
      <c r="A7073" t="str">
        <f>"8800"</f>
        <v>8800</v>
      </c>
      <c r="B7073" t="str">
        <f t="shared" si="462"/>
        <v>1</v>
      </c>
      <c r="C7073" t="str">
        <f t="shared" si="461"/>
        <v>379</v>
      </c>
      <c r="D7073" t="str">
        <f>"26"</f>
        <v>26</v>
      </c>
      <c r="E7073" t="str">
        <f>"1-379-26"</f>
        <v>1-379-26</v>
      </c>
      <c r="F7073" t="s">
        <v>15</v>
      </c>
      <c r="G7073" t="s">
        <v>20</v>
      </c>
      <c r="H7073" t="s">
        <v>21</v>
      </c>
      <c r="I7073">
        <v>0</v>
      </c>
      <c r="J7073">
        <v>1</v>
      </c>
      <c r="K7073">
        <v>0</v>
      </c>
    </row>
    <row r="7074" spans="1:11" x14ac:dyDescent="0.25">
      <c r="A7074" t="str">
        <f>"8801"</f>
        <v>8801</v>
      </c>
      <c r="B7074" t="str">
        <f t="shared" si="462"/>
        <v>1</v>
      </c>
      <c r="C7074" t="str">
        <f t="shared" si="461"/>
        <v>379</v>
      </c>
      <c r="D7074" t="str">
        <f>"6"</f>
        <v>6</v>
      </c>
      <c r="E7074" t="str">
        <f>"1-379-6"</f>
        <v>1-379-6</v>
      </c>
      <c r="F7074" t="s">
        <v>15</v>
      </c>
      <c r="G7074" t="s">
        <v>20</v>
      </c>
      <c r="H7074" t="s">
        <v>21</v>
      </c>
      <c r="I7074">
        <v>1</v>
      </c>
      <c r="J7074">
        <v>0</v>
      </c>
      <c r="K7074">
        <v>0</v>
      </c>
    </row>
    <row r="7075" spans="1:11" x14ac:dyDescent="0.25">
      <c r="A7075" t="str">
        <f>"8802"</f>
        <v>8802</v>
      </c>
      <c r="B7075" t="str">
        <f t="shared" si="462"/>
        <v>1</v>
      </c>
      <c r="C7075" t="str">
        <f t="shared" si="461"/>
        <v>379</v>
      </c>
      <c r="D7075" t="str">
        <f>"28"</f>
        <v>28</v>
      </c>
      <c r="E7075" t="str">
        <f>"1-379-28"</f>
        <v>1-379-28</v>
      </c>
      <c r="F7075" t="s">
        <v>15</v>
      </c>
      <c r="G7075" t="s">
        <v>20</v>
      </c>
      <c r="H7075" t="s">
        <v>21</v>
      </c>
      <c r="I7075">
        <v>1</v>
      </c>
      <c r="J7075">
        <v>0</v>
      </c>
      <c r="K7075">
        <v>0</v>
      </c>
    </row>
    <row r="7076" spans="1:11" x14ac:dyDescent="0.25">
      <c r="A7076" t="str">
        <f>"8803"</f>
        <v>8803</v>
      </c>
      <c r="B7076" t="str">
        <f t="shared" si="462"/>
        <v>1</v>
      </c>
      <c r="C7076" t="str">
        <f t="shared" si="461"/>
        <v>379</v>
      </c>
      <c r="D7076" t="str">
        <f>"11"</f>
        <v>11</v>
      </c>
      <c r="E7076" t="str">
        <f>"1-379-11"</f>
        <v>1-379-11</v>
      </c>
      <c r="F7076" t="s">
        <v>15</v>
      </c>
      <c r="G7076" t="s">
        <v>20</v>
      </c>
      <c r="H7076" t="s">
        <v>21</v>
      </c>
      <c r="I7076">
        <v>0</v>
      </c>
      <c r="J7076">
        <v>1</v>
      </c>
      <c r="K7076">
        <v>0</v>
      </c>
    </row>
    <row r="7077" spans="1:11" x14ac:dyDescent="0.25">
      <c r="A7077" t="str">
        <f>"8804"</f>
        <v>8804</v>
      </c>
      <c r="B7077" t="str">
        <f t="shared" si="462"/>
        <v>1</v>
      </c>
      <c r="C7077" t="str">
        <f t="shared" si="461"/>
        <v>379</v>
      </c>
      <c r="D7077" t="str">
        <f>"29"</f>
        <v>29</v>
      </c>
      <c r="E7077" t="str">
        <f>"1-379-29"</f>
        <v>1-379-29</v>
      </c>
      <c r="F7077" t="s">
        <v>15</v>
      </c>
      <c r="G7077" t="s">
        <v>18</v>
      </c>
      <c r="H7077" t="s">
        <v>19</v>
      </c>
      <c r="I7077">
        <v>1</v>
      </c>
      <c r="J7077">
        <v>0</v>
      </c>
      <c r="K7077">
        <v>0</v>
      </c>
    </row>
    <row r="7078" spans="1:11" x14ac:dyDescent="0.25">
      <c r="A7078" t="str">
        <f>"8805"</f>
        <v>8805</v>
      </c>
      <c r="B7078" t="str">
        <f t="shared" si="462"/>
        <v>1</v>
      </c>
      <c r="C7078" t="str">
        <f t="shared" si="461"/>
        <v>379</v>
      </c>
      <c r="D7078" t="str">
        <f>"10"</f>
        <v>10</v>
      </c>
      <c r="E7078" t="str">
        <f>"1-379-10"</f>
        <v>1-379-10</v>
      </c>
      <c r="F7078" t="s">
        <v>15</v>
      </c>
      <c r="G7078" t="s">
        <v>20</v>
      </c>
      <c r="H7078" t="s">
        <v>21</v>
      </c>
      <c r="I7078">
        <v>0</v>
      </c>
      <c r="J7078">
        <v>1</v>
      </c>
      <c r="K7078">
        <v>0</v>
      </c>
    </row>
    <row r="7079" spans="1:11" x14ac:dyDescent="0.25">
      <c r="A7079" t="str">
        <f>"8806"</f>
        <v>8806</v>
      </c>
      <c r="B7079" t="str">
        <f t="shared" si="462"/>
        <v>1</v>
      </c>
      <c r="C7079" t="str">
        <f t="shared" si="461"/>
        <v>379</v>
      </c>
      <c r="D7079" t="str">
        <f>"7"</f>
        <v>7</v>
      </c>
      <c r="E7079" t="str">
        <f>"1-379-7"</f>
        <v>1-379-7</v>
      </c>
      <c r="F7079" t="s">
        <v>15</v>
      </c>
      <c r="G7079" t="s">
        <v>20</v>
      </c>
      <c r="H7079" t="s">
        <v>21</v>
      </c>
      <c r="I7079">
        <v>1</v>
      </c>
      <c r="J7079">
        <v>0</v>
      </c>
      <c r="K7079">
        <v>0</v>
      </c>
    </row>
    <row r="7080" spans="1:11" x14ac:dyDescent="0.25">
      <c r="A7080" t="str">
        <f>"8807"</f>
        <v>8807</v>
      </c>
      <c r="B7080" t="str">
        <f t="shared" si="462"/>
        <v>1</v>
      </c>
      <c r="C7080" t="str">
        <f t="shared" si="461"/>
        <v>379</v>
      </c>
      <c r="D7080" t="str">
        <f>"23"</f>
        <v>23</v>
      </c>
      <c r="E7080" t="str">
        <f>"1-379-23"</f>
        <v>1-379-23</v>
      </c>
      <c r="F7080" t="s">
        <v>15</v>
      </c>
      <c r="G7080" t="s">
        <v>20</v>
      </c>
      <c r="H7080" t="s">
        <v>21</v>
      </c>
      <c r="I7080">
        <v>0</v>
      </c>
      <c r="J7080">
        <v>0</v>
      </c>
      <c r="K7080">
        <v>0</v>
      </c>
    </row>
    <row r="7081" spans="1:11" x14ac:dyDescent="0.25">
      <c r="A7081" t="str">
        <f>"8808"</f>
        <v>8808</v>
      </c>
      <c r="B7081" t="str">
        <f t="shared" si="462"/>
        <v>1</v>
      </c>
      <c r="C7081" t="str">
        <f t="shared" si="461"/>
        <v>379</v>
      </c>
      <c r="D7081" t="str">
        <f>"27"</f>
        <v>27</v>
      </c>
      <c r="E7081" t="str">
        <f>"1-379-27"</f>
        <v>1-379-27</v>
      </c>
      <c r="F7081" t="s">
        <v>15</v>
      </c>
      <c r="G7081" t="s">
        <v>20</v>
      </c>
      <c r="H7081" t="s">
        <v>21</v>
      </c>
      <c r="I7081">
        <v>0</v>
      </c>
      <c r="J7081">
        <v>0</v>
      </c>
      <c r="K7081">
        <v>0</v>
      </c>
    </row>
    <row r="7082" spans="1:11" x14ac:dyDescent="0.25">
      <c r="A7082" t="str">
        <f>"8859"</f>
        <v>8859</v>
      </c>
      <c r="B7082" t="str">
        <f t="shared" ref="B7082:B7136" si="463">"1"</f>
        <v>1</v>
      </c>
      <c r="C7082" t="str">
        <f t="shared" ref="C7082:C7109" si="464">"382"</f>
        <v>382</v>
      </c>
      <c r="D7082" t="str">
        <f>"24"</f>
        <v>24</v>
      </c>
      <c r="E7082" t="str">
        <f>"1-382-24"</f>
        <v>1-382-24</v>
      </c>
      <c r="F7082" t="s">
        <v>15</v>
      </c>
      <c r="G7082" t="s">
        <v>20</v>
      </c>
      <c r="H7082" t="s">
        <v>21</v>
      </c>
      <c r="I7082">
        <v>0</v>
      </c>
      <c r="J7082">
        <v>0</v>
      </c>
      <c r="K7082">
        <v>1</v>
      </c>
    </row>
    <row r="7083" spans="1:11" x14ac:dyDescent="0.25">
      <c r="A7083" t="str">
        <f>"8860"</f>
        <v>8860</v>
      </c>
      <c r="B7083" t="str">
        <f t="shared" si="463"/>
        <v>1</v>
      </c>
      <c r="C7083" t="str">
        <f t="shared" si="464"/>
        <v>382</v>
      </c>
      <c r="D7083" t="str">
        <f>"23"</f>
        <v>23</v>
      </c>
      <c r="E7083" t="str">
        <f>"1-382-23"</f>
        <v>1-382-23</v>
      </c>
      <c r="F7083" t="s">
        <v>15</v>
      </c>
      <c r="G7083" t="s">
        <v>20</v>
      </c>
      <c r="H7083" t="s">
        <v>21</v>
      </c>
      <c r="I7083">
        <v>0</v>
      </c>
      <c r="J7083">
        <v>0</v>
      </c>
      <c r="K7083">
        <v>1</v>
      </c>
    </row>
    <row r="7084" spans="1:11" x14ac:dyDescent="0.25">
      <c r="A7084" t="str">
        <f>"8861"</f>
        <v>8861</v>
      </c>
      <c r="B7084" t="str">
        <f t="shared" si="463"/>
        <v>1</v>
      </c>
      <c r="C7084" t="str">
        <f t="shared" si="464"/>
        <v>382</v>
      </c>
      <c r="D7084" t="str">
        <f>"17"</f>
        <v>17</v>
      </c>
      <c r="E7084" t="str">
        <f>"1-382-17"</f>
        <v>1-382-17</v>
      </c>
      <c r="F7084" t="s">
        <v>15</v>
      </c>
      <c r="G7084" t="s">
        <v>20</v>
      </c>
      <c r="H7084" t="s">
        <v>21</v>
      </c>
      <c r="I7084">
        <v>1</v>
      </c>
      <c r="J7084">
        <v>0</v>
      </c>
      <c r="K7084">
        <v>0</v>
      </c>
    </row>
    <row r="7085" spans="1:11" x14ac:dyDescent="0.25">
      <c r="A7085" t="str">
        <f>"8862"</f>
        <v>8862</v>
      </c>
      <c r="B7085" t="str">
        <f t="shared" si="463"/>
        <v>1</v>
      </c>
      <c r="C7085" t="str">
        <f t="shared" si="464"/>
        <v>382</v>
      </c>
      <c r="D7085" t="str">
        <f>"1"</f>
        <v>1</v>
      </c>
      <c r="E7085" t="str">
        <f>"1-382-1"</f>
        <v>1-382-1</v>
      </c>
      <c r="F7085" t="s">
        <v>15</v>
      </c>
      <c r="G7085" t="s">
        <v>20</v>
      </c>
      <c r="H7085" t="s">
        <v>21</v>
      </c>
      <c r="I7085">
        <v>0</v>
      </c>
      <c r="J7085">
        <v>1</v>
      </c>
      <c r="K7085">
        <v>0</v>
      </c>
    </row>
    <row r="7086" spans="1:11" x14ac:dyDescent="0.25">
      <c r="A7086" t="str">
        <f>"8863"</f>
        <v>8863</v>
      </c>
      <c r="B7086" t="str">
        <f t="shared" si="463"/>
        <v>1</v>
      </c>
      <c r="C7086" t="str">
        <f t="shared" si="464"/>
        <v>382</v>
      </c>
      <c r="D7086" t="str">
        <f>"10"</f>
        <v>10</v>
      </c>
      <c r="E7086" t="str">
        <f>"1-382-10"</f>
        <v>1-382-10</v>
      </c>
      <c r="F7086" t="s">
        <v>15</v>
      </c>
      <c r="G7086" t="s">
        <v>20</v>
      </c>
      <c r="H7086" t="s">
        <v>21</v>
      </c>
      <c r="I7086">
        <v>0</v>
      </c>
      <c r="J7086">
        <v>1</v>
      </c>
      <c r="K7086">
        <v>0</v>
      </c>
    </row>
    <row r="7087" spans="1:11" x14ac:dyDescent="0.25">
      <c r="A7087" t="str">
        <f>"8864"</f>
        <v>8864</v>
      </c>
      <c r="B7087" t="str">
        <f t="shared" si="463"/>
        <v>1</v>
      </c>
      <c r="C7087" t="str">
        <f t="shared" si="464"/>
        <v>382</v>
      </c>
      <c r="D7087" t="str">
        <f>"18"</f>
        <v>18</v>
      </c>
      <c r="E7087" t="str">
        <f>"1-382-18"</f>
        <v>1-382-18</v>
      </c>
      <c r="F7087" t="s">
        <v>15</v>
      </c>
      <c r="G7087" t="s">
        <v>20</v>
      </c>
      <c r="H7087" t="s">
        <v>21</v>
      </c>
      <c r="I7087">
        <v>0</v>
      </c>
      <c r="J7087">
        <v>0</v>
      </c>
      <c r="K7087">
        <v>1</v>
      </c>
    </row>
    <row r="7088" spans="1:11" x14ac:dyDescent="0.25">
      <c r="A7088" t="str">
        <f>"8865"</f>
        <v>8865</v>
      </c>
      <c r="B7088" t="str">
        <f t="shared" si="463"/>
        <v>1</v>
      </c>
      <c r="C7088" t="str">
        <f t="shared" si="464"/>
        <v>382</v>
      </c>
      <c r="D7088" t="str">
        <f>"3"</f>
        <v>3</v>
      </c>
      <c r="E7088" t="str">
        <f>"1-382-3"</f>
        <v>1-382-3</v>
      </c>
      <c r="F7088" t="s">
        <v>15</v>
      </c>
      <c r="G7088" t="s">
        <v>20</v>
      </c>
      <c r="H7088" t="s">
        <v>21</v>
      </c>
      <c r="I7088">
        <v>1</v>
      </c>
      <c r="J7088">
        <v>0</v>
      </c>
      <c r="K7088">
        <v>0</v>
      </c>
    </row>
    <row r="7089" spans="1:11" x14ac:dyDescent="0.25">
      <c r="A7089" t="str">
        <f>"8866"</f>
        <v>8866</v>
      </c>
      <c r="B7089" t="str">
        <f t="shared" si="463"/>
        <v>1</v>
      </c>
      <c r="C7089" t="str">
        <f t="shared" si="464"/>
        <v>382</v>
      </c>
      <c r="D7089" t="str">
        <f>"19"</f>
        <v>19</v>
      </c>
      <c r="E7089" t="str">
        <f>"1-382-19"</f>
        <v>1-382-19</v>
      </c>
      <c r="F7089" t="s">
        <v>15</v>
      </c>
      <c r="G7089" t="s">
        <v>20</v>
      </c>
      <c r="H7089" t="s">
        <v>21</v>
      </c>
      <c r="I7089">
        <v>1</v>
      </c>
      <c r="J7089">
        <v>0</v>
      </c>
      <c r="K7089">
        <v>0</v>
      </c>
    </row>
    <row r="7090" spans="1:11" x14ac:dyDescent="0.25">
      <c r="A7090" t="str">
        <f>"8867"</f>
        <v>8867</v>
      </c>
      <c r="B7090" t="str">
        <f t="shared" si="463"/>
        <v>1</v>
      </c>
      <c r="C7090" t="str">
        <f t="shared" si="464"/>
        <v>382</v>
      </c>
      <c r="D7090" t="str">
        <f>"14"</f>
        <v>14</v>
      </c>
      <c r="E7090" t="str">
        <f>"1-382-14"</f>
        <v>1-382-14</v>
      </c>
      <c r="F7090" t="s">
        <v>15</v>
      </c>
      <c r="G7090" t="s">
        <v>20</v>
      </c>
      <c r="H7090" t="s">
        <v>21</v>
      </c>
      <c r="I7090">
        <v>1</v>
      </c>
      <c r="J7090">
        <v>0</v>
      </c>
      <c r="K7090">
        <v>0</v>
      </c>
    </row>
    <row r="7091" spans="1:11" x14ac:dyDescent="0.25">
      <c r="A7091" t="str">
        <f>"8868"</f>
        <v>8868</v>
      </c>
      <c r="B7091" t="str">
        <f t="shared" si="463"/>
        <v>1</v>
      </c>
      <c r="C7091" t="str">
        <f t="shared" si="464"/>
        <v>382</v>
      </c>
      <c r="D7091" t="str">
        <f>"20"</f>
        <v>20</v>
      </c>
      <c r="E7091" t="str">
        <f>"1-382-20"</f>
        <v>1-382-20</v>
      </c>
      <c r="F7091" t="s">
        <v>15</v>
      </c>
      <c r="G7091" t="s">
        <v>20</v>
      </c>
      <c r="H7091" t="s">
        <v>21</v>
      </c>
      <c r="I7091">
        <v>0</v>
      </c>
      <c r="J7091">
        <v>0</v>
      </c>
      <c r="K7091">
        <v>1</v>
      </c>
    </row>
    <row r="7092" spans="1:11" x14ac:dyDescent="0.25">
      <c r="A7092" t="str">
        <f>"8869"</f>
        <v>8869</v>
      </c>
      <c r="B7092" t="str">
        <f t="shared" si="463"/>
        <v>1</v>
      </c>
      <c r="C7092" t="str">
        <f t="shared" si="464"/>
        <v>382</v>
      </c>
      <c r="D7092" t="str">
        <f>"13"</f>
        <v>13</v>
      </c>
      <c r="E7092" t="str">
        <f>"1-382-13"</f>
        <v>1-382-13</v>
      </c>
      <c r="F7092" t="s">
        <v>15</v>
      </c>
      <c r="G7092" t="s">
        <v>20</v>
      </c>
      <c r="H7092" t="s">
        <v>21</v>
      </c>
      <c r="I7092">
        <v>1</v>
      </c>
      <c r="J7092">
        <v>0</v>
      </c>
      <c r="K7092">
        <v>0</v>
      </c>
    </row>
    <row r="7093" spans="1:11" x14ac:dyDescent="0.25">
      <c r="A7093" t="str">
        <f>"8870"</f>
        <v>8870</v>
      </c>
      <c r="B7093" t="str">
        <f t="shared" si="463"/>
        <v>1</v>
      </c>
      <c r="C7093" t="str">
        <f t="shared" si="464"/>
        <v>382</v>
      </c>
      <c r="D7093" t="str">
        <f>"21"</f>
        <v>21</v>
      </c>
      <c r="E7093" t="str">
        <f>"1-382-21"</f>
        <v>1-382-21</v>
      </c>
      <c r="F7093" t="s">
        <v>15</v>
      </c>
      <c r="G7093" t="s">
        <v>20</v>
      </c>
      <c r="H7093" t="s">
        <v>21</v>
      </c>
      <c r="I7093">
        <v>0</v>
      </c>
      <c r="J7093">
        <v>0</v>
      </c>
      <c r="K7093">
        <v>1</v>
      </c>
    </row>
    <row r="7094" spans="1:11" x14ac:dyDescent="0.25">
      <c r="A7094" t="str">
        <f>"8871"</f>
        <v>8871</v>
      </c>
      <c r="B7094" t="str">
        <f t="shared" si="463"/>
        <v>1</v>
      </c>
      <c r="C7094" t="str">
        <f t="shared" si="464"/>
        <v>382</v>
      </c>
      <c r="D7094" t="str">
        <f>"2"</f>
        <v>2</v>
      </c>
      <c r="E7094" t="str">
        <f>"1-382-2"</f>
        <v>1-382-2</v>
      </c>
      <c r="F7094" t="s">
        <v>15</v>
      </c>
      <c r="G7094" t="s">
        <v>20</v>
      </c>
      <c r="H7094" t="s">
        <v>21</v>
      </c>
      <c r="I7094">
        <v>0</v>
      </c>
      <c r="J7094">
        <v>0</v>
      </c>
      <c r="K7094">
        <v>1</v>
      </c>
    </row>
    <row r="7095" spans="1:11" x14ac:dyDescent="0.25">
      <c r="A7095" t="str">
        <f>"8872"</f>
        <v>8872</v>
      </c>
      <c r="B7095" t="str">
        <f t="shared" si="463"/>
        <v>1</v>
      </c>
      <c r="C7095" t="str">
        <f t="shared" si="464"/>
        <v>382</v>
      </c>
      <c r="D7095" t="str">
        <f>"22"</f>
        <v>22</v>
      </c>
      <c r="E7095" t="str">
        <f>"1-382-22"</f>
        <v>1-382-22</v>
      </c>
      <c r="F7095" t="s">
        <v>15</v>
      </c>
      <c r="G7095" t="s">
        <v>20</v>
      </c>
      <c r="H7095" t="s">
        <v>21</v>
      </c>
      <c r="I7095">
        <v>1</v>
      </c>
      <c r="J7095">
        <v>0</v>
      </c>
      <c r="K7095">
        <v>0</v>
      </c>
    </row>
    <row r="7096" spans="1:11" x14ac:dyDescent="0.25">
      <c r="A7096" t="str">
        <f>"8873"</f>
        <v>8873</v>
      </c>
      <c r="B7096" t="str">
        <f t="shared" si="463"/>
        <v>1</v>
      </c>
      <c r="C7096" t="str">
        <f t="shared" si="464"/>
        <v>382</v>
      </c>
      <c r="D7096" t="str">
        <f>"7"</f>
        <v>7</v>
      </c>
      <c r="E7096" t="str">
        <f>"1-382-7"</f>
        <v>1-382-7</v>
      </c>
      <c r="F7096" t="s">
        <v>15</v>
      </c>
      <c r="G7096" t="s">
        <v>20</v>
      </c>
      <c r="H7096" t="s">
        <v>21</v>
      </c>
      <c r="I7096">
        <v>0</v>
      </c>
      <c r="J7096">
        <v>0</v>
      </c>
      <c r="K7096">
        <v>1</v>
      </c>
    </row>
    <row r="7097" spans="1:11" x14ac:dyDescent="0.25">
      <c r="A7097" t="str">
        <f>"8874"</f>
        <v>8874</v>
      </c>
      <c r="B7097" t="str">
        <f t="shared" si="463"/>
        <v>1</v>
      </c>
      <c r="C7097" t="str">
        <f t="shared" si="464"/>
        <v>382</v>
      </c>
      <c r="D7097" t="str">
        <f>"25"</f>
        <v>25</v>
      </c>
      <c r="E7097" t="str">
        <f>"1-382-25"</f>
        <v>1-382-25</v>
      </c>
      <c r="F7097" t="s">
        <v>15</v>
      </c>
      <c r="G7097" t="s">
        <v>20</v>
      </c>
      <c r="H7097" t="s">
        <v>21</v>
      </c>
      <c r="I7097">
        <v>1</v>
      </c>
      <c r="J7097">
        <v>0</v>
      </c>
      <c r="K7097">
        <v>0</v>
      </c>
    </row>
    <row r="7098" spans="1:11" x14ac:dyDescent="0.25">
      <c r="A7098" t="str">
        <f>"8875"</f>
        <v>8875</v>
      </c>
      <c r="B7098" t="str">
        <f t="shared" si="463"/>
        <v>1</v>
      </c>
      <c r="C7098" t="str">
        <f t="shared" si="464"/>
        <v>382</v>
      </c>
      <c r="D7098" t="str">
        <f>"11"</f>
        <v>11</v>
      </c>
      <c r="E7098" t="str">
        <f>"1-382-11"</f>
        <v>1-382-11</v>
      </c>
      <c r="F7098" t="s">
        <v>15</v>
      </c>
      <c r="G7098" t="s">
        <v>20</v>
      </c>
      <c r="H7098" t="s">
        <v>21</v>
      </c>
      <c r="I7098">
        <v>0</v>
      </c>
      <c r="J7098">
        <v>0</v>
      </c>
      <c r="K7098">
        <v>1</v>
      </c>
    </row>
    <row r="7099" spans="1:11" x14ac:dyDescent="0.25">
      <c r="A7099" t="str">
        <f>"8876"</f>
        <v>8876</v>
      </c>
      <c r="B7099" t="str">
        <f t="shared" si="463"/>
        <v>1</v>
      </c>
      <c r="C7099" t="str">
        <f t="shared" si="464"/>
        <v>382</v>
      </c>
      <c r="D7099" t="str">
        <f>"26"</f>
        <v>26</v>
      </c>
      <c r="E7099" t="str">
        <f>"1-382-26"</f>
        <v>1-382-26</v>
      </c>
      <c r="F7099" t="s">
        <v>15</v>
      </c>
      <c r="G7099" t="s">
        <v>20</v>
      </c>
      <c r="H7099" t="s">
        <v>21</v>
      </c>
      <c r="I7099">
        <v>0</v>
      </c>
      <c r="J7099">
        <v>1</v>
      </c>
      <c r="K7099">
        <v>0</v>
      </c>
    </row>
    <row r="7100" spans="1:11" x14ac:dyDescent="0.25">
      <c r="A7100" t="str">
        <f>"8877"</f>
        <v>8877</v>
      </c>
      <c r="B7100" t="str">
        <f t="shared" si="463"/>
        <v>1</v>
      </c>
      <c r="C7100" t="str">
        <f t="shared" si="464"/>
        <v>382</v>
      </c>
      <c r="D7100" t="str">
        <f>"4"</f>
        <v>4</v>
      </c>
      <c r="E7100" t="str">
        <f>"1-382-4"</f>
        <v>1-382-4</v>
      </c>
      <c r="F7100" t="s">
        <v>15</v>
      </c>
      <c r="G7100" t="s">
        <v>20</v>
      </c>
      <c r="H7100" t="s">
        <v>21</v>
      </c>
      <c r="I7100">
        <v>1</v>
      </c>
      <c r="J7100">
        <v>0</v>
      </c>
      <c r="K7100">
        <v>0</v>
      </c>
    </row>
    <row r="7101" spans="1:11" x14ac:dyDescent="0.25">
      <c r="A7101" t="str">
        <f>"8878"</f>
        <v>8878</v>
      </c>
      <c r="B7101" t="str">
        <f t="shared" si="463"/>
        <v>1</v>
      </c>
      <c r="C7101" t="str">
        <f t="shared" si="464"/>
        <v>382</v>
      </c>
      <c r="D7101" t="str">
        <f>"27"</f>
        <v>27</v>
      </c>
      <c r="E7101" t="str">
        <f>"1-382-27"</f>
        <v>1-382-27</v>
      </c>
      <c r="F7101" t="s">
        <v>15</v>
      </c>
      <c r="G7101" t="s">
        <v>20</v>
      </c>
      <c r="H7101" t="s">
        <v>21</v>
      </c>
      <c r="I7101">
        <v>0</v>
      </c>
      <c r="J7101">
        <v>1</v>
      </c>
      <c r="K7101">
        <v>0</v>
      </c>
    </row>
    <row r="7102" spans="1:11" x14ac:dyDescent="0.25">
      <c r="A7102" t="str">
        <f>"8879"</f>
        <v>8879</v>
      </c>
      <c r="B7102" t="str">
        <f t="shared" si="463"/>
        <v>1</v>
      </c>
      <c r="C7102" t="str">
        <f t="shared" si="464"/>
        <v>382</v>
      </c>
      <c r="D7102" t="str">
        <f>"9"</f>
        <v>9</v>
      </c>
      <c r="E7102" t="str">
        <f>"1-382-9"</f>
        <v>1-382-9</v>
      </c>
      <c r="F7102" t="s">
        <v>15</v>
      </c>
      <c r="G7102" t="s">
        <v>20</v>
      </c>
      <c r="H7102" t="s">
        <v>21</v>
      </c>
      <c r="I7102">
        <v>0</v>
      </c>
      <c r="J7102">
        <v>1</v>
      </c>
      <c r="K7102">
        <v>0</v>
      </c>
    </row>
    <row r="7103" spans="1:11" x14ac:dyDescent="0.25">
      <c r="A7103" t="str">
        <f>"8880"</f>
        <v>8880</v>
      </c>
      <c r="B7103" t="str">
        <f t="shared" si="463"/>
        <v>1</v>
      </c>
      <c r="C7103" t="str">
        <f t="shared" si="464"/>
        <v>382</v>
      </c>
      <c r="D7103" t="str">
        <f>"6"</f>
        <v>6</v>
      </c>
      <c r="E7103" t="str">
        <f>"1-382-6"</f>
        <v>1-382-6</v>
      </c>
      <c r="F7103" t="s">
        <v>15</v>
      </c>
      <c r="G7103" t="s">
        <v>20</v>
      </c>
      <c r="H7103" t="s">
        <v>21</v>
      </c>
      <c r="I7103">
        <v>1</v>
      </c>
      <c r="J7103">
        <v>0</v>
      </c>
      <c r="K7103">
        <v>0</v>
      </c>
    </row>
    <row r="7104" spans="1:11" x14ac:dyDescent="0.25">
      <c r="A7104" t="str">
        <f>"8881"</f>
        <v>8881</v>
      </c>
      <c r="B7104" t="str">
        <f t="shared" si="463"/>
        <v>1</v>
      </c>
      <c r="C7104" t="str">
        <f t="shared" si="464"/>
        <v>382</v>
      </c>
      <c r="D7104" t="str">
        <f>"5"</f>
        <v>5</v>
      </c>
      <c r="E7104" t="str">
        <f>"1-382-5"</f>
        <v>1-382-5</v>
      </c>
      <c r="F7104" t="s">
        <v>15</v>
      </c>
      <c r="G7104" t="s">
        <v>20</v>
      </c>
      <c r="H7104" t="s">
        <v>21</v>
      </c>
      <c r="I7104">
        <v>0</v>
      </c>
      <c r="J7104">
        <v>1</v>
      </c>
      <c r="K7104">
        <v>0</v>
      </c>
    </row>
    <row r="7105" spans="1:11" x14ac:dyDescent="0.25">
      <c r="A7105" t="str">
        <f>"8882"</f>
        <v>8882</v>
      </c>
      <c r="B7105" t="str">
        <f t="shared" si="463"/>
        <v>1</v>
      </c>
      <c r="C7105" t="str">
        <f t="shared" si="464"/>
        <v>382</v>
      </c>
      <c r="D7105" t="str">
        <f>"12"</f>
        <v>12</v>
      </c>
      <c r="E7105" t="str">
        <f>"1-382-12"</f>
        <v>1-382-12</v>
      </c>
      <c r="F7105" t="s">
        <v>15</v>
      </c>
      <c r="G7105" t="s">
        <v>20</v>
      </c>
      <c r="H7105" t="s">
        <v>21</v>
      </c>
      <c r="I7105">
        <v>1</v>
      </c>
      <c r="J7105">
        <v>0</v>
      </c>
      <c r="K7105">
        <v>0</v>
      </c>
    </row>
    <row r="7106" spans="1:11" x14ac:dyDescent="0.25">
      <c r="A7106" t="str">
        <f>"8883"</f>
        <v>8883</v>
      </c>
      <c r="B7106" t="str">
        <f t="shared" si="463"/>
        <v>1</v>
      </c>
      <c r="C7106" t="str">
        <f t="shared" si="464"/>
        <v>382</v>
      </c>
      <c r="D7106" t="str">
        <f>"8"</f>
        <v>8</v>
      </c>
      <c r="E7106" t="str">
        <f>"1-382-8"</f>
        <v>1-382-8</v>
      </c>
      <c r="F7106" t="s">
        <v>15</v>
      </c>
      <c r="G7106" t="s">
        <v>20</v>
      </c>
      <c r="H7106" t="s">
        <v>21</v>
      </c>
      <c r="I7106">
        <v>0</v>
      </c>
      <c r="J7106">
        <v>1</v>
      </c>
      <c r="K7106">
        <v>0</v>
      </c>
    </row>
    <row r="7107" spans="1:11" x14ac:dyDescent="0.25">
      <c r="A7107" t="str">
        <f>"8884"</f>
        <v>8884</v>
      </c>
      <c r="B7107" t="str">
        <f t="shared" si="463"/>
        <v>1</v>
      </c>
      <c r="C7107" t="str">
        <f t="shared" si="464"/>
        <v>382</v>
      </c>
      <c r="D7107" t="str">
        <f>"15"</f>
        <v>15</v>
      </c>
      <c r="E7107" t="str">
        <f>"1-382-15"</f>
        <v>1-382-15</v>
      </c>
      <c r="F7107" t="s">
        <v>15</v>
      </c>
      <c r="G7107" t="s">
        <v>20</v>
      </c>
      <c r="H7107" t="s">
        <v>21</v>
      </c>
      <c r="I7107">
        <v>1</v>
      </c>
      <c r="J7107">
        <v>0</v>
      </c>
      <c r="K7107">
        <v>0</v>
      </c>
    </row>
    <row r="7108" spans="1:11" x14ac:dyDescent="0.25">
      <c r="A7108" t="str">
        <f>"8885"</f>
        <v>8885</v>
      </c>
      <c r="B7108" t="str">
        <f t="shared" si="463"/>
        <v>1</v>
      </c>
      <c r="C7108" t="str">
        <f t="shared" si="464"/>
        <v>382</v>
      </c>
      <c r="D7108" t="str">
        <f>"16"</f>
        <v>16</v>
      </c>
      <c r="E7108" t="str">
        <f>"1-382-16"</f>
        <v>1-382-16</v>
      </c>
      <c r="F7108" t="s">
        <v>15</v>
      </c>
      <c r="G7108" t="s">
        <v>20</v>
      </c>
      <c r="H7108" t="s">
        <v>21</v>
      </c>
      <c r="I7108">
        <v>0</v>
      </c>
      <c r="J7108">
        <v>1</v>
      </c>
      <c r="K7108">
        <v>0</v>
      </c>
    </row>
    <row r="7109" spans="1:11" x14ac:dyDescent="0.25">
      <c r="A7109" t="str">
        <f>"8886"</f>
        <v>8886</v>
      </c>
      <c r="B7109" t="str">
        <f t="shared" si="463"/>
        <v>1</v>
      </c>
      <c r="C7109" t="str">
        <f t="shared" si="464"/>
        <v>382</v>
      </c>
      <c r="D7109" t="str">
        <f>"28"</f>
        <v>28</v>
      </c>
      <c r="E7109" t="str">
        <f>"1-382-28"</f>
        <v>1-382-28</v>
      </c>
      <c r="F7109" t="s">
        <v>15</v>
      </c>
      <c r="G7109" t="s">
        <v>20</v>
      </c>
      <c r="H7109" t="s">
        <v>21</v>
      </c>
      <c r="I7109">
        <v>0</v>
      </c>
      <c r="J7109">
        <v>0</v>
      </c>
      <c r="K7109">
        <v>0</v>
      </c>
    </row>
    <row r="7110" spans="1:11" x14ac:dyDescent="0.25">
      <c r="A7110" t="str">
        <f>"8887"</f>
        <v>8887</v>
      </c>
      <c r="B7110" t="str">
        <f t="shared" si="463"/>
        <v>1</v>
      </c>
      <c r="C7110" t="str">
        <f t="shared" ref="C7110:C7134" si="465">"383"</f>
        <v>383</v>
      </c>
      <c r="D7110" t="str">
        <f>"19"</f>
        <v>19</v>
      </c>
      <c r="E7110" t="str">
        <f>"1-383-19"</f>
        <v>1-383-19</v>
      </c>
      <c r="F7110" t="s">
        <v>15</v>
      </c>
      <c r="G7110" t="s">
        <v>18</v>
      </c>
      <c r="H7110" t="s">
        <v>19</v>
      </c>
      <c r="I7110">
        <v>1</v>
      </c>
      <c r="J7110">
        <v>0</v>
      </c>
      <c r="K7110">
        <v>0</v>
      </c>
    </row>
    <row r="7111" spans="1:11" x14ac:dyDescent="0.25">
      <c r="A7111" t="str">
        <f>"8888"</f>
        <v>8888</v>
      </c>
      <c r="B7111" t="str">
        <f t="shared" si="463"/>
        <v>1</v>
      </c>
      <c r="C7111" t="str">
        <f t="shared" si="465"/>
        <v>383</v>
      </c>
      <c r="D7111" t="str">
        <f>"15"</f>
        <v>15</v>
      </c>
      <c r="E7111" t="str">
        <f>"1-383-15"</f>
        <v>1-383-15</v>
      </c>
      <c r="F7111" t="s">
        <v>15</v>
      </c>
      <c r="G7111" t="s">
        <v>16</v>
      </c>
      <c r="H7111" t="s">
        <v>17</v>
      </c>
      <c r="I7111">
        <v>1</v>
      </c>
      <c r="J7111">
        <v>0</v>
      </c>
      <c r="K7111">
        <v>0</v>
      </c>
    </row>
    <row r="7112" spans="1:11" x14ac:dyDescent="0.25">
      <c r="A7112" t="str">
        <f>"8889"</f>
        <v>8889</v>
      </c>
      <c r="B7112" t="str">
        <f t="shared" si="463"/>
        <v>1</v>
      </c>
      <c r="C7112" t="str">
        <f t="shared" si="465"/>
        <v>383</v>
      </c>
      <c r="D7112" t="str">
        <f>"2"</f>
        <v>2</v>
      </c>
      <c r="E7112" t="str">
        <f>"1-383-2"</f>
        <v>1-383-2</v>
      </c>
      <c r="F7112" t="s">
        <v>15</v>
      </c>
      <c r="G7112" t="s">
        <v>16</v>
      </c>
      <c r="H7112" t="s">
        <v>17</v>
      </c>
      <c r="I7112">
        <v>1</v>
      </c>
      <c r="J7112">
        <v>0</v>
      </c>
      <c r="K7112">
        <v>0</v>
      </c>
    </row>
    <row r="7113" spans="1:11" x14ac:dyDescent="0.25">
      <c r="A7113" t="str">
        <f>"8890"</f>
        <v>8890</v>
      </c>
      <c r="B7113" t="str">
        <f t="shared" si="463"/>
        <v>1</v>
      </c>
      <c r="C7113" t="str">
        <f t="shared" si="465"/>
        <v>383</v>
      </c>
      <c r="D7113" t="str">
        <f>"16"</f>
        <v>16</v>
      </c>
      <c r="E7113" t="str">
        <f>"1-383-16"</f>
        <v>1-383-16</v>
      </c>
      <c r="F7113" t="s">
        <v>15</v>
      </c>
      <c r="G7113" t="s">
        <v>16</v>
      </c>
      <c r="H7113" t="s">
        <v>17</v>
      </c>
      <c r="I7113">
        <v>1</v>
      </c>
      <c r="J7113">
        <v>0</v>
      </c>
      <c r="K7113">
        <v>0</v>
      </c>
    </row>
    <row r="7114" spans="1:11" x14ac:dyDescent="0.25">
      <c r="A7114" t="str">
        <f>"8891"</f>
        <v>8891</v>
      </c>
      <c r="B7114" t="str">
        <f t="shared" si="463"/>
        <v>1</v>
      </c>
      <c r="C7114" t="str">
        <f t="shared" si="465"/>
        <v>383</v>
      </c>
      <c r="D7114" t="str">
        <f>"4"</f>
        <v>4</v>
      </c>
      <c r="E7114" t="str">
        <f>"1-383-4"</f>
        <v>1-383-4</v>
      </c>
      <c r="F7114" t="s">
        <v>15</v>
      </c>
      <c r="G7114" t="s">
        <v>16</v>
      </c>
      <c r="H7114" t="s">
        <v>17</v>
      </c>
      <c r="I7114">
        <v>0</v>
      </c>
      <c r="J7114">
        <v>1</v>
      </c>
      <c r="K7114">
        <v>0</v>
      </c>
    </row>
    <row r="7115" spans="1:11" x14ac:dyDescent="0.25">
      <c r="A7115" t="str">
        <f>"8892"</f>
        <v>8892</v>
      </c>
      <c r="B7115" t="str">
        <f t="shared" si="463"/>
        <v>1</v>
      </c>
      <c r="C7115" t="str">
        <f t="shared" si="465"/>
        <v>383</v>
      </c>
      <c r="D7115" t="str">
        <f>"17"</f>
        <v>17</v>
      </c>
      <c r="E7115" t="str">
        <f>"1-383-17"</f>
        <v>1-383-17</v>
      </c>
      <c r="F7115" t="s">
        <v>15</v>
      </c>
      <c r="G7115" t="s">
        <v>16</v>
      </c>
      <c r="H7115" t="s">
        <v>17</v>
      </c>
      <c r="I7115">
        <v>1</v>
      </c>
      <c r="J7115">
        <v>0</v>
      </c>
      <c r="K7115">
        <v>0</v>
      </c>
    </row>
    <row r="7116" spans="1:11" x14ac:dyDescent="0.25">
      <c r="A7116" t="str">
        <f>"8893"</f>
        <v>8893</v>
      </c>
      <c r="B7116" t="str">
        <f t="shared" si="463"/>
        <v>1</v>
      </c>
      <c r="C7116" t="str">
        <f t="shared" si="465"/>
        <v>383</v>
      </c>
      <c r="D7116" t="str">
        <f>"1"</f>
        <v>1</v>
      </c>
      <c r="E7116" t="str">
        <f>"1-383-1"</f>
        <v>1-383-1</v>
      </c>
      <c r="F7116" t="s">
        <v>15</v>
      </c>
      <c r="G7116" t="s">
        <v>18</v>
      </c>
      <c r="H7116" t="s">
        <v>19</v>
      </c>
      <c r="I7116">
        <v>0</v>
      </c>
      <c r="J7116">
        <v>1</v>
      </c>
      <c r="K7116">
        <v>0</v>
      </c>
    </row>
    <row r="7117" spans="1:11" x14ac:dyDescent="0.25">
      <c r="A7117" t="str">
        <f>"8894"</f>
        <v>8894</v>
      </c>
      <c r="B7117" t="str">
        <f t="shared" si="463"/>
        <v>1</v>
      </c>
      <c r="C7117" t="str">
        <f t="shared" si="465"/>
        <v>383</v>
      </c>
      <c r="D7117" t="str">
        <f>"18"</f>
        <v>18</v>
      </c>
      <c r="E7117" t="str">
        <f>"1-383-18"</f>
        <v>1-383-18</v>
      </c>
      <c r="F7117" t="s">
        <v>15</v>
      </c>
      <c r="G7117" t="s">
        <v>16</v>
      </c>
      <c r="H7117" t="s">
        <v>17</v>
      </c>
      <c r="I7117">
        <v>0</v>
      </c>
      <c r="J7117">
        <v>1</v>
      </c>
      <c r="K7117">
        <v>0</v>
      </c>
    </row>
    <row r="7118" spans="1:11" x14ac:dyDescent="0.25">
      <c r="A7118" t="str">
        <f>"8895"</f>
        <v>8895</v>
      </c>
      <c r="B7118" t="str">
        <f t="shared" si="463"/>
        <v>1</v>
      </c>
      <c r="C7118" t="str">
        <f t="shared" si="465"/>
        <v>383</v>
      </c>
      <c r="D7118" t="str">
        <f>"13"</f>
        <v>13</v>
      </c>
      <c r="E7118" t="str">
        <f>"1-383-13"</f>
        <v>1-383-13</v>
      </c>
      <c r="F7118" t="s">
        <v>15</v>
      </c>
      <c r="G7118" t="s">
        <v>16</v>
      </c>
      <c r="H7118" t="s">
        <v>17</v>
      </c>
      <c r="I7118">
        <v>0</v>
      </c>
      <c r="J7118">
        <v>0</v>
      </c>
      <c r="K7118">
        <v>1</v>
      </c>
    </row>
    <row r="7119" spans="1:11" x14ac:dyDescent="0.25">
      <c r="A7119" t="str">
        <f>"8896"</f>
        <v>8896</v>
      </c>
      <c r="B7119" t="str">
        <f t="shared" si="463"/>
        <v>1</v>
      </c>
      <c r="C7119" t="str">
        <f t="shared" si="465"/>
        <v>383</v>
      </c>
      <c r="D7119" t="str">
        <f>"20"</f>
        <v>20</v>
      </c>
      <c r="E7119" t="str">
        <f>"1-383-20"</f>
        <v>1-383-20</v>
      </c>
      <c r="F7119" t="s">
        <v>15</v>
      </c>
      <c r="G7119" t="s">
        <v>18</v>
      </c>
      <c r="H7119" t="s">
        <v>19</v>
      </c>
      <c r="I7119">
        <v>0</v>
      </c>
      <c r="J7119">
        <v>1</v>
      </c>
      <c r="K7119">
        <v>0</v>
      </c>
    </row>
    <row r="7120" spans="1:11" x14ac:dyDescent="0.25">
      <c r="A7120" t="str">
        <f>"8897"</f>
        <v>8897</v>
      </c>
      <c r="B7120" t="str">
        <f t="shared" si="463"/>
        <v>1</v>
      </c>
      <c r="C7120" t="str">
        <f t="shared" si="465"/>
        <v>383</v>
      </c>
      <c r="D7120" t="str">
        <f>"8"</f>
        <v>8</v>
      </c>
      <c r="E7120" t="str">
        <f>"1-383-8"</f>
        <v>1-383-8</v>
      </c>
      <c r="F7120" t="s">
        <v>15</v>
      </c>
      <c r="G7120" t="s">
        <v>16</v>
      </c>
      <c r="H7120" t="s">
        <v>17</v>
      </c>
      <c r="I7120">
        <v>0</v>
      </c>
      <c r="J7120">
        <v>1</v>
      </c>
      <c r="K7120">
        <v>0</v>
      </c>
    </row>
    <row r="7121" spans="1:11" x14ac:dyDescent="0.25">
      <c r="A7121" t="str">
        <f>"8898"</f>
        <v>8898</v>
      </c>
      <c r="B7121" t="str">
        <f t="shared" si="463"/>
        <v>1</v>
      </c>
      <c r="C7121" t="str">
        <f t="shared" si="465"/>
        <v>383</v>
      </c>
      <c r="D7121" t="str">
        <f>"21"</f>
        <v>21</v>
      </c>
      <c r="E7121" t="str">
        <f>"1-383-21"</f>
        <v>1-383-21</v>
      </c>
      <c r="F7121" t="s">
        <v>15</v>
      </c>
      <c r="G7121" t="s">
        <v>16</v>
      </c>
      <c r="H7121" t="s">
        <v>17</v>
      </c>
      <c r="I7121">
        <v>1</v>
      </c>
      <c r="J7121">
        <v>0</v>
      </c>
      <c r="K7121">
        <v>0</v>
      </c>
    </row>
    <row r="7122" spans="1:11" x14ac:dyDescent="0.25">
      <c r="A7122" t="str">
        <f>"8899"</f>
        <v>8899</v>
      </c>
      <c r="B7122" t="str">
        <f t="shared" si="463"/>
        <v>1</v>
      </c>
      <c r="C7122" t="str">
        <f t="shared" si="465"/>
        <v>383</v>
      </c>
      <c r="D7122" t="str">
        <f>"7"</f>
        <v>7</v>
      </c>
      <c r="E7122" t="str">
        <f>"1-383-7"</f>
        <v>1-383-7</v>
      </c>
      <c r="F7122" t="s">
        <v>15</v>
      </c>
      <c r="G7122" t="s">
        <v>16</v>
      </c>
      <c r="H7122" t="s">
        <v>17</v>
      </c>
      <c r="I7122">
        <v>0</v>
      </c>
      <c r="J7122">
        <v>1</v>
      </c>
      <c r="K7122">
        <v>0</v>
      </c>
    </row>
    <row r="7123" spans="1:11" x14ac:dyDescent="0.25">
      <c r="A7123" t="str">
        <f>"8900"</f>
        <v>8900</v>
      </c>
      <c r="B7123" t="str">
        <f t="shared" si="463"/>
        <v>1</v>
      </c>
      <c r="C7123" t="str">
        <f t="shared" si="465"/>
        <v>383</v>
      </c>
      <c r="D7123" t="str">
        <f>"22"</f>
        <v>22</v>
      </c>
      <c r="E7123" t="str">
        <f>"1-383-22"</f>
        <v>1-383-22</v>
      </c>
      <c r="F7123" t="s">
        <v>15</v>
      </c>
      <c r="G7123" t="s">
        <v>16</v>
      </c>
      <c r="H7123" t="s">
        <v>17</v>
      </c>
      <c r="I7123">
        <v>1</v>
      </c>
      <c r="J7123">
        <v>0</v>
      </c>
      <c r="K7123">
        <v>0</v>
      </c>
    </row>
    <row r="7124" spans="1:11" x14ac:dyDescent="0.25">
      <c r="A7124" t="str">
        <f>"8901"</f>
        <v>8901</v>
      </c>
      <c r="B7124" t="str">
        <f t="shared" si="463"/>
        <v>1</v>
      </c>
      <c r="C7124" t="str">
        <f t="shared" si="465"/>
        <v>383</v>
      </c>
      <c r="D7124" t="str">
        <f>"9"</f>
        <v>9</v>
      </c>
      <c r="E7124" t="str">
        <f>"1-383-9"</f>
        <v>1-383-9</v>
      </c>
      <c r="F7124" t="s">
        <v>15</v>
      </c>
      <c r="G7124" t="s">
        <v>16</v>
      </c>
      <c r="H7124" t="s">
        <v>17</v>
      </c>
      <c r="I7124">
        <v>1</v>
      </c>
      <c r="J7124">
        <v>0</v>
      </c>
      <c r="K7124">
        <v>0</v>
      </c>
    </row>
    <row r="7125" spans="1:11" x14ac:dyDescent="0.25">
      <c r="A7125" t="str">
        <f>"8902"</f>
        <v>8902</v>
      </c>
      <c r="B7125" t="str">
        <f t="shared" si="463"/>
        <v>1</v>
      </c>
      <c r="C7125" t="str">
        <f t="shared" si="465"/>
        <v>383</v>
      </c>
      <c r="D7125" t="str">
        <f>"23"</f>
        <v>23</v>
      </c>
      <c r="E7125" t="str">
        <f>"1-383-23"</f>
        <v>1-383-23</v>
      </c>
      <c r="F7125" t="s">
        <v>15</v>
      </c>
      <c r="G7125" t="s">
        <v>16</v>
      </c>
      <c r="H7125" t="s">
        <v>17</v>
      </c>
      <c r="I7125">
        <v>0</v>
      </c>
      <c r="J7125">
        <v>0</v>
      </c>
      <c r="K7125">
        <v>1</v>
      </c>
    </row>
    <row r="7126" spans="1:11" x14ac:dyDescent="0.25">
      <c r="A7126" t="str">
        <f>"8903"</f>
        <v>8903</v>
      </c>
      <c r="B7126" t="str">
        <f t="shared" si="463"/>
        <v>1</v>
      </c>
      <c r="C7126" t="str">
        <f t="shared" si="465"/>
        <v>383</v>
      </c>
      <c r="D7126" t="str">
        <f>"3"</f>
        <v>3</v>
      </c>
      <c r="E7126" t="str">
        <f>"1-383-3"</f>
        <v>1-383-3</v>
      </c>
      <c r="F7126" t="s">
        <v>15</v>
      </c>
      <c r="G7126" t="s">
        <v>16</v>
      </c>
      <c r="H7126" t="s">
        <v>17</v>
      </c>
      <c r="I7126">
        <v>0</v>
      </c>
      <c r="J7126">
        <v>1</v>
      </c>
      <c r="K7126">
        <v>0</v>
      </c>
    </row>
    <row r="7127" spans="1:11" x14ac:dyDescent="0.25">
      <c r="A7127" t="str">
        <f>"8904"</f>
        <v>8904</v>
      </c>
      <c r="B7127" t="str">
        <f t="shared" si="463"/>
        <v>1</v>
      </c>
      <c r="C7127" t="str">
        <f t="shared" si="465"/>
        <v>383</v>
      </c>
      <c r="D7127" t="str">
        <f>"24"</f>
        <v>24</v>
      </c>
      <c r="E7127" t="str">
        <f>"1-383-24"</f>
        <v>1-383-24</v>
      </c>
      <c r="F7127" t="s">
        <v>15</v>
      </c>
      <c r="G7127" t="s">
        <v>16</v>
      </c>
      <c r="H7127" t="s">
        <v>17</v>
      </c>
      <c r="I7127">
        <v>1</v>
      </c>
      <c r="J7127">
        <v>0</v>
      </c>
      <c r="K7127">
        <v>0</v>
      </c>
    </row>
    <row r="7128" spans="1:11" x14ac:dyDescent="0.25">
      <c r="A7128" t="str">
        <f>"8905"</f>
        <v>8905</v>
      </c>
      <c r="B7128" t="str">
        <f t="shared" si="463"/>
        <v>1</v>
      </c>
      <c r="C7128" t="str">
        <f t="shared" si="465"/>
        <v>383</v>
      </c>
      <c r="D7128" t="str">
        <f>"6"</f>
        <v>6</v>
      </c>
      <c r="E7128" t="str">
        <f>"1-383-6"</f>
        <v>1-383-6</v>
      </c>
      <c r="F7128" t="s">
        <v>15</v>
      </c>
      <c r="G7128" t="s">
        <v>16</v>
      </c>
      <c r="H7128" t="s">
        <v>17</v>
      </c>
      <c r="I7128">
        <v>0</v>
      </c>
      <c r="J7128">
        <v>1</v>
      </c>
      <c r="K7128">
        <v>0</v>
      </c>
    </row>
    <row r="7129" spans="1:11" x14ac:dyDescent="0.25">
      <c r="A7129" t="str">
        <f>"8906"</f>
        <v>8906</v>
      </c>
      <c r="B7129" t="str">
        <f t="shared" si="463"/>
        <v>1</v>
      </c>
      <c r="C7129" t="str">
        <f t="shared" si="465"/>
        <v>383</v>
      </c>
      <c r="D7129" t="str">
        <f>"25"</f>
        <v>25</v>
      </c>
      <c r="E7129" t="str">
        <f>"1-383-25"</f>
        <v>1-383-25</v>
      </c>
      <c r="F7129" t="s">
        <v>15</v>
      </c>
      <c r="G7129" t="s">
        <v>16</v>
      </c>
      <c r="H7129" t="s">
        <v>17</v>
      </c>
      <c r="I7129">
        <v>1</v>
      </c>
      <c r="J7129">
        <v>0</v>
      </c>
      <c r="K7129">
        <v>0</v>
      </c>
    </row>
    <row r="7130" spans="1:11" x14ac:dyDescent="0.25">
      <c r="A7130" t="str">
        <f>"8907"</f>
        <v>8907</v>
      </c>
      <c r="B7130" t="str">
        <f t="shared" si="463"/>
        <v>1</v>
      </c>
      <c r="C7130" t="str">
        <f t="shared" si="465"/>
        <v>383</v>
      </c>
      <c r="D7130" t="str">
        <f>"10"</f>
        <v>10</v>
      </c>
      <c r="E7130" t="str">
        <f>"1-383-10"</f>
        <v>1-383-10</v>
      </c>
      <c r="F7130" t="s">
        <v>15</v>
      </c>
      <c r="G7130" t="s">
        <v>16</v>
      </c>
      <c r="H7130" t="s">
        <v>17</v>
      </c>
      <c r="I7130">
        <v>1</v>
      </c>
      <c r="J7130">
        <v>0</v>
      </c>
      <c r="K7130">
        <v>0</v>
      </c>
    </row>
    <row r="7131" spans="1:11" x14ac:dyDescent="0.25">
      <c r="A7131" t="str">
        <f>"8908"</f>
        <v>8908</v>
      </c>
      <c r="B7131" t="str">
        <f t="shared" si="463"/>
        <v>1</v>
      </c>
      <c r="C7131" t="str">
        <f t="shared" si="465"/>
        <v>383</v>
      </c>
      <c r="D7131" t="str">
        <f>"11"</f>
        <v>11</v>
      </c>
      <c r="E7131" t="str">
        <f>"1-383-11"</f>
        <v>1-383-11</v>
      </c>
      <c r="F7131" t="s">
        <v>15</v>
      </c>
      <c r="G7131" t="s">
        <v>16</v>
      </c>
      <c r="H7131" t="s">
        <v>17</v>
      </c>
      <c r="I7131">
        <v>1</v>
      </c>
      <c r="J7131">
        <v>0</v>
      </c>
      <c r="K7131">
        <v>0</v>
      </c>
    </row>
    <row r="7132" spans="1:11" x14ac:dyDescent="0.25">
      <c r="A7132" t="str">
        <f>"8909"</f>
        <v>8909</v>
      </c>
      <c r="B7132" t="str">
        <f t="shared" si="463"/>
        <v>1</v>
      </c>
      <c r="C7132" t="str">
        <f t="shared" si="465"/>
        <v>383</v>
      </c>
      <c r="D7132" t="str">
        <f>"5"</f>
        <v>5</v>
      </c>
      <c r="E7132" t="str">
        <f>"1-383-5"</f>
        <v>1-383-5</v>
      </c>
      <c r="F7132" t="s">
        <v>15</v>
      </c>
      <c r="G7132" t="s">
        <v>16</v>
      </c>
      <c r="H7132" t="s">
        <v>17</v>
      </c>
      <c r="I7132">
        <v>1</v>
      </c>
      <c r="J7132">
        <v>0</v>
      </c>
      <c r="K7132">
        <v>0</v>
      </c>
    </row>
    <row r="7133" spans="1:11" x14ac:dyDescent="0.25">
      <c r="A7133" t="str">
        <f>"8910"</f>
        <v>8910</v>
      </c>
      <c r="B7133" t="str">
        <f t="shared" si="463"/>
        <v>1</v>
      </c>
      <c r="C7133" t="str">
        <f t="shared" si="465"/>
        <v>383</v>
      </c>
      <c r="D7133" t="str">
        <f>"12"</f>
        <v>12</v>
      </c>
      <c r="E7133" t="str">
        <f>"1-383-12"</f>
        <v>1-383-12</v>
      </c>
      <c r="F7133" t="s">
        <v>15</v>
      </c>
      <c r="G7133" t="s">
        <v>16</v>
      </c>
      <c r="H7133" t="s">
        <v>17</v>
      </c>
      <c r="I7133">
        <v>1</v>
      </c>
      <c r="J7133">
        <v>0</v>
      </c>
      <c r="K7133">
        <v>0</v>
      </c>
    </row>
    <row r="7134" spans="1:11" x14ac:dyDescent="0.25">
      <c r="A7134" t="str">
        <f>"8911"</f>
        <v>8911</v>
      </c>
      <c r="B7134" t="str">
        <f t="shared" si="463"/>
        <v>1</v>
      </c>
      <c r="C7134" t="str">
        <f t="shared" si="465"/>
        <v>383</v>
      </c>
      <c r="D7134" t="str">
        <f>"14"</f>
        <v>14</v>
      </c>
      <c r="E7134" t="str">
        <f>"1-383-14"</f>
        <v>1-383-14</v>
      </c>
      <c r="F7134" t="s">
        <v>15</v>
      </c>
      <c r="G7134" t="s">
        <v>16</v>
      </c>
      <c r="H7134" t="s">
        <v>17</v>
      </c>
      <c r="I7134">
        <v>0</v>
      </c>
      <c r="J7134">
        <v>0</v>
      </c>
      <c r="K7134">
        <v>1</v>
      </c>
    </row>
    <row r="7135" spans="1:11" x14ac:dyDescent="0.25">
      <c r="A7135" t="str">
        <f>"8912"</f>
        <v>8912</v>
      </c>
      <c r="B7135" t="str">
        <f t="shared" si="463"/>
        <v>1</v>
      </c>
      <c r="C7135" t="str">
        <f t="shared" ref="C7135:C7143" si="466">"384"</f>
        <v>384</v>
      </c>
      <c r="D7135" t="str">
        <f>"26"</f>
        <v>26</v>
      </c>
      <c r="E7135" t="str">
        <f>"1-384-26"</f>
        <v>1-384-26</v>
      </c>
      <c r="F7135" t="s">
        <v>15</v>
      </c>
      <c r="G7135" t="s">
        <v>18</v>
      </c>
      <c r="H7135" t="s">
        <v>19</v>
      </c>
      <c r="I7135">
        <v>0</v>
      </c>
      <c r="J7135">
        <v>0</v>
      </c>
      <c r="K7135">
        <v>1</v>
      </c>
    </row>
    <row r="7136" spans="1:11" x14ac:dyDescent="0.25">
      <c r="A7136" t="str">
        <f>"8913"</f>
        <v>8913</v>
      </c>
      <c r="B7136" t="str">
        <f t="shared" si="463"/>
        <v>1</v>
      </c>
      <c r="C7136" t="str">
        <f t="shared" si="466"/>
        <v>384</v>
      </c>
      <c r="D7136" t="str">
        <f>"25"</f>
        <v>25</v>
      </c>
      <c r="E7136" t="str">
        <f>"1-384-25"</f>
        <v>1-384-25</v>
      </c>
      <c r="F7136" t="s">
        <v>15</v>
      </c>
      <c r="G7136" t="s">
        <v>18</v>
      </c>
      <c r="H7136" t="s">
        <v>19</v>
      </c>
      <c r="I7136">
        <v>0</v>
      </c>
      <c r="J7136">
        <v>0</v>
      </c>
      <c r="K7136">
        <v>1</v>
      </c>
    </row>
    <row r="7137" spans="1:11" x14ac:dyDescent="0.25">
      <c r="A7137" t="str">
        <f>"8926"</f>
        <v>8926</v>
      </c>
      <c r="B7137" t="str">
        <f t="shared" ref="B7137:B7184" si="467">"1"</f>
        <v>1</v>
      </c>
      <c r="C7137" t="str">
        <f t="shared" si="466"/>
        <v>384</v>
      </c>
      <c r="D7137" t="str">
        <f>"22"</f>
        <v>22</v>
      </c>
      <c r="E7137" t="str">
        <f>"1-384-22"</f>
        <v>1-384-22</v>
      </c>
      <c r="F7137" t="s">
        <v>15</v>
      </c>
      <c r="G7137" t="s">
        <v>18</v>
      </c>
      <c r="H7137" t="s">
        <v>19</v>
      </c>
      <c r="I7137">
        <v>0</v>
      </c>
      <c r="J7137">
        <v>0</v>
      </c>
      <c r="K7137">
        <v>1</v>
      </c>
    </row>
    <row r="7138" spans="1:11" x14ac:dyDescent="0.25">
      <c r="A7138" t="str">
        <f>"8928"</f>
        <v>8928</v>
      </c>
      <c r="B7138" t="str">
        <f t="shared" si="467"/>
        <v>1</v>
      </c>
      <c r="C7138" t="str">
        <f t="shared" si="466"/>
        <v>384</v>
      </c>
      <c r="D7138" t="str">
        <f>"23"</f>
        <v>23</v>
      </c>
      <c r="E7138" t="str">
        <f>"1-384-23"</f>
        <v>1-384-23</v>
      </c>
      <c r="F7138" t="s">
        <v>15</v>
      </c>
      <c r="G7138" t="s">
        <v>18</v>
      </c>
      <c r="H7138" t="s">
        <v>19</v>
      </c>
      <c r="I7138">
        <v>0</v>
      </c>
      <c r="J7138">
        <v>1</v>
      </c>
      <c r="K7138">
        <v>0</v>
      </c>
    </row>
    <row r="7139" spans="1:11" x14ac:dyDescent="0.25">
      <c r="A7139" t="str">
        <f>"8930"</f>
        <v>8930</v>
      </c>
      <c r="B7139" t="str">
        <f t="shared" si="467"/>
        <v>1</v>
      </c>
      <c r="C7139" t="str">
        <f t="shared" si="466"/>
        <v>384</v>
      </c>
      <c r="D7139" t="str">
        <f>"24"</f>
        <v>24</v>
      </c>
      <c r="E7139" t="str">
        <f>"1-384-24"</f>
        <v>1-384-24</v>
      </c>
      <c r="F7139" t="s">
        <v>15</v>
      </c>
      <c r="G7139" t="s">
        <v>18</v>
      </c>
      <c r="H7139" t="s">
        <v>19</v>
      </c>
      <c r="I7139">
        <v>0</v>
      </c>
      <c r="J7139">
        <v>1</v>
      </c>
      <c r="K7139">
        <v>0</v>
      </c>
    </row>
    <row r="7140" spans="1:11" x14ac:dyDescent="0.25">
      <c r="A7140" t="str">
        <f>"8932"</f>
        <v>8932</v>
      </c>
      <c r="B7140" t="str">
        <f t="shared" si="467"/>
        <v>1</v>
      </c>
      <c r="C7140" t="str">
        <f t="shared" si="466"/>
        <v>384</v>
      </c>
      <c r="D7140" t="str">
        <f>"27"</f>
        <v>27</v>
      </c>
      <c r="E7140" t="str">
        <f>"1-384-27"</f>
        <v>1-384-27</v>
      </c>
      <c r="F7140" t="s">
        <v>15</v>
      </c>
      <c r="G7140" t="s">
        <v>18</v>
      </c>
      <c r="H7140" t="s">
        <v>19</v>
      </c>
      <c r="I7140">
        <v>0</v>
      </c>
      <c r="J7140">
        <v>1</v>
      </c>
      <c r="K7140">
        <v>0</v>
      </c>
    </row>
    <row r="7141" spans="1:11" x14ac:dyDescent="0.25">
      <c r="A7141" t="str">
        <f>"8934"</f>
        <v>8934</v>
      </c>
      <c r="B7141" t="str">
        <f t="shared" si="467"/>
        <v>1</v>
      </c>
      <c r="C7141" t="str">
        <f t="shared" si="466"/>
        <v>384</v>
      </c>
      <c r="D7141" t="str">
        <f>"28"</f>
        <v>28</v>
      </c>
      <c r="E7141" t="str">
        <f>"1-384-28"</f>
        <v>1-384-28</v>
      </c>
      <c r="F7141" t="s">
        <v>15</v>
      </c>
      <c r="G7141" t="s">
        <v>18</v>
      </c>
      <c r="H7141" t="s">
        <v>19</v>
      </c>
      <c r="I7141">
        <v>0</v>
      </c>
      <c r="J7141">
        <v>0</v>
      </c>
      <c r="K7141">
        <v>1</v>
      </c>
    </row>
    <row r="7142" spans="1:11" x14ac:dyDescent="0.25">
      <c r="A7142" t="str">
        <f>"8936"</f>
        <v>8936</v>
      </c>
      <c r="B7142" t="str">
        <f t="shared" si="467"/>
        <v>1</v>
      </c>
      <c r="C7142" t="str">
        <f t="shared" si="466"/>
        <v>384</v>
      </c>
      <c r="D7142" t="str">
        <f>"29"</f>
        <v>29</v>
      </c>
      <c r="E7142" t="str">
        <f>"1-384-29"</f>
        <v>1-384-29</v>
      </c>
      <c r="F7142" t="s">
        <v>15</v>
      </c>
      <c r="G7142" t="s">
        <v>18</v>
      </c>
      <c r="H7142" t="s">
        <v>19</v>
      </c>
      <c r="I7142">
        <v>0</v>
      </c>
      <c r="J7142">
        <v>1</v>
      </c>
      <c r="K7142">
        <v>0</v>
      </c>
    </row>
    <row r="7143" spans="1:11" x14ac:dyDescent="0.25">
      <c r="A7143" t="str">
        <f>"8938"</f>
        <v>8938</v>
      </c>
      <c r="B7143" t="str">
        <f t="shared" si="467"/>
        <v>1</v>
      </c>
      <c r="C7143" t="str">
        <f t="shared" si="466"/>
        <v>384</v>
      </c>
      <c r="D7143" t="str">
        <f>"30"</f>
        <v>30</v>
      </c>
      <c r="E7143" t="str">
        <f>"1-384-30"</f>
        <v>1-384-30</v>
      </c>
      <c r="F7143" t="s">
        <v>15</v>
      </c>
      <c r="G7143" t="s">
        <v>20</v>
      </c>
      <c r="H7143" t="s">
        <v>21</v>
      </c>
      <c r="I7143">
        <v>0</v>
      </c>
      <c r="J7143">
        <v>1</v>
      </c>
      <c r="K7143">
        <v>0</v>
      </c>
    </row>
    <row r="7144" spans="1:11" x14ac:dyDescent="0.25">
      <c r="A7144" t="str">
        <f>"8943"</f>
        <v>8943</v>
      </c>
      <c r="B7144" t="str">
        <f t="shared" si="467"/>
        <v>1</v>
      </c>
      <c r="C7144" t="str">
        <f t="shared" ref="C7144:C7151" si="468">"385"</f>
        <v>385</v>
      </c>
      <c r="D7144" t="str">
        <f>"1"</f>
        <v>1</v>
      </c>
      <c r="E7144" t="str">
        <f>"1-385-1"</f>
        <v>1-385-1</v>
      </c>
      <c r="F7144" t="s">
        <v>15</v>
      </c>
      <c r="G7144" t="s">
        <v>16</v>
      </c>
      <c r="H7144" t="s">
        <v>17</v>
      </c>
      <c r="I7144">
        <v>1</v>
      </c>
      <c r="J7144">
        <v>0</v>
      </c>
      <c r="K7144">
        <v>0</v>
      </c>
    </row>
    <row r="7145" spans="1:11" x14ac:dyDescent="0.25">
      <c r="A7145" t="str">
        <f>"8944"</f>
        <v>8944</v>
      </c>
      <c r="B7145" t="str">
        <f t="shared" si="467"/>
        <v>1</v>
      </c>
      <c r="C7145" t="str">
        <f t="shared" si="468"/>
        <v>385</v>
      </c>
      <c r="D7145" t="str">
        <f>"4"</f>
        <v>4</v>
      </c>
      <c r="E7145" t="str">
        <f>"1-385-4"</f>
        <v>1-385-4</v>
      </c>
      <c r="F7145" t="s">
        <v>15</v>
      </c>
      <c r="G7145" t="s">
        <v>20</v>
      </c>
      <c r="H7145" t="s">
        <v>21</v>
      </c>
      <c r="I7145">
        <v>1</v>
      </c>
      <c r="J7145">
        <v>0</v>
      </c>
      <c r="K7145">
        <v>0</v>
      </c>
    </row>
    <row r="7146" spans="1:11" x14ac:dyDescent="0.25">
      <c r="A7146" t="str">
        <f>"8945"</f>
        <v>8945</v>
      </c>
      <c r="B7146" t="str">
        <f t="shared" si="467"/>
        <v>1</v>
      </c>
      <c r="C7146" t="str">
        <f t="shared" si="468"/>
        <v>385</v>
      </c>
      <c r="D7146" t="str">
        <f>"5"</f>
        <v>5</v>
      </c>
      <c r="E7146" t="str">
        <f>"1-385-5"</f>
        <v>1-385-5</v>
      </c>
      <c r="F7146" t="s">
        <v>15</v>
      </c>
      <c r="G7146" t="s">
        <v>16</v>
      </c>
      <c r="H7146" t="s">
        <v>17</v>
      </c>
      <c r="I7146">
        <v>0</v>
      </c>
      <c r="J7146">
        <v>0</v>
      </c>
      <c r="K7146">
        <v>1</v>
      </c>
    </row>
    <row r="7147" spans="1:11" x14ac:dyDescent="0.25">
      <c r="A7147" t="str">
        <f>"8946"</f>
        <v>8946</v>
      </c>
      <c r="B7147" t="str">
        <f t="shared" si="467"/>
        <v>1</v>
      </c>
      <c r="C7147" t="str">
        <f t="shared" si="468"/>
        <v>385</v>
      </c>
      <c r="D7147" t="str">
        <f>"6"</f>
        <v>6</v>
      </c>
      <c r="E7147" t="str">
        <f>"1-385-6"</f>
        <v>1-385-6</v>
      </c>
      <c r="F7147" t="s">
        <v>15</v>
      </c>
      <c r="G7147" t="s">
        <v>16</v>
      </c>
      <c r="H7147" t="s">
        <v>17</v>
      </c>
      <c r="I7147">
        <v>0</v>
      </c>
      <c r="J7147">
        <v>0</v>
      </c>
      <c r="K7147">
        <v>1</v>
      </c>
    </row>
    <row r="7148" spans="1:11" x14ac:dyDescent="0.25">
      <c r="A7148" t="str">
        <f>"8947"</f>
        <v>8947</v>
      </c>
      <c r="B7148" t="str">
        <f t="shared" si="467"/>
        <v>1</v>
      </c>
      <c r="C7148" t="str">
        <f t="shared" si="468"/>
        <v>385</v>
      </c>
      <c r="D7148" t="str">
        <f>"3"</f>
        <v>3</v>
      </c>
      <c r="E7148" t="str">
        <f>"1-385-3"</f>
        <v>1-385-3</v>
      </c>
      <c r="F7148" t="s">
        <v>15</v>
      </c>
      <c r="G7148" t="s">
        <v>16</v>
      </c>
      <c r="H7148" t="s">
        <v>17</v>
      </c>
      <c r="I7148">
        <v>1</v>
      </c>
      <c r="J7148">
        <v>0</v>
      </c>
      <c r="K7148">
        <v>0</v>
      </c>
    </row>
    <row r="7149" spans="1:11" x14ac:dyDescent="0.25">
      <c r="A7149" t="str">
        <f>"8948"</f>
        <v>8948</v>
      </c>
      <c r="B7149" t="str">
        <f t="shared" si="467"/>
        <v>1</v>
      </c>
      <c r="C7149" t="str">
        <f t="shared" si="468"/>
        <v>385</v>
      </c>
      <c r="D7149" t="str">
        <f>"7"</f>
        <v>7</v>
      </c>
      <c r="E7149" t="str">
        <f>"1-385-7"</f>
        <v>1-385-7</v>
      </c>
      <c r="F7149" t="s">
        <v>15</v>
      </c>
      <c r="G7149" t="s">
        <v>18</v>
      </c>
      <c r="H7149" t="s">
        <v>19</v>
      </c>
      <c r="I7149">
        <v>1</v>
      </c>
      <c r="J7149">
        <v>0</v>
      </c>
      <c r="K7149">
        <v>0</v>
      </c>
    </row>
    <row r="7150" spans="1:11" x14ac:dyDescent="0.25">
      <c r="A7150" t="str">
        <f>"8949"</f>
        <v>8949</v>
      </c>
      <c r="B7150" t="str">
        <f t="shared" si="467"/>
        <v>1</v>
      </c>
      <c r="C7150" t="str">
        <f t="shared" si="468"/>
        <v>385</v>
      </c>
      <c r="D7150" t="str">
        <f>"2"</f>
        <v>2</v>
      </c>
      <c r="E7150" t="str">
        <f>"1-385-2"</f>
        <v>1-385-2</v>
      </c>
      <c r="F7150" t="s">
        <v>15</v>
      </c>
      <c r="G7150" t="s">
        <v>20</v>
      </c>
      <c r="H7150" t="s">
        <v>21</v>
      </c>
      <c r="I7150">
        <v>1</v>
      </c>
      <c r="J7150">
        <v>0</v>
      </c>
      <c r="K7150">
        <v>0</v>
      </c>
    </row>
    <row r="7151" spans="1:11" x14ac:dyDescent="0.25">
      <c r="A7151" t="str">
        <f>"8950"</f>
        <v>8950</v>
      </c>
      <c r="B7151" t="str">
        <f t="shared" si="467"/>
        <v>1</v>
      </c>
      <c r="C7151" t="str">
        <f t="shared" si="468"/>
        <v>385</v>
      </c>
      <c r="D7151" t="str">
        <f>"8"</f>
        <v>8</v>
      </c>
      <c r="E7151" t="str">
        <f>"1-385-8"</f>
        <v>1-385-8</v>
      </c>
      <c r="F7151" t="s">
        <v>15</v>
      </c>
      <c r="G7151" t="s">
        <v>16</v>
      </c>
      <c r="H7151" t="s">
        <v>17</v>
      </c>
      <c r="I7151">
        <v>1</v>
      </c>
      <c r="J7151">
        <v>0</v>
      </c>
      <c r="K7151">
        <v>0</v>
      </c>
    </row>
    <row r="7152" spans="1:11" x14ac:dyDescent="0.25">
      <c r="A7152" t="str">
        <f>"8951"</f>
        <v>8951</v>
      </c>
      <c r="B7152" t="str">
        <f t="shared" si="467"/>
        <v>1</v>
      </c>
      <c r="C7152" t="str">
        <f t="shared" ref="C7152:C7159" si="469">"386"</f>
        <v>386</v>
      </c>
      <c r="D7152" t="str">
        <f>"2"</f>
        <v>2</v>
      </c>
      <c r="E7152" t="str">
        <f>"1-386-2"</f>
        <v>1-386-2</v>
      </c>
      <c r="F7152" t="s">
        <v>15</v>
      </c>
      <c r="G7152" t="s">
        <v>18</v>
      </c>
      <c r="H7152" t="s">
        <v>19</v>
      </c>
      <c r="I7152">
        <v>0</v>
      </c>
      <c r="J7152">
        <v>0</v>
      </c>
      <c r="K7152">
        <v>1</v>
      </c>
    </row>
    <row r="7153" spans="1:11" x14ac:dyDescent="0.25">
      <c r="A7153" t="str">
        <f>"8952"</f>
        <v>8952</v>
      </c>
      <c r="B7153" t="str">
        <f t="shared" si="467"/>
        <v>1</v>
      </c>
      <c r="C7153" t="str">
        <f t="shared" si="469"/>
        <v>386</v>
      </c>
      <c r="D7153" t="str">
        <f>"5"</f>
        <v>5</v>
      </c>
      <c r="E7153" t="str">
        <f>"1-386-5"</f>
        <v>1-386-5</v>
      </c>
      <c r="F7153" t="s">
        <v>15</v>
      </c>
      <c r="G7153" t="s">
        <v>16</v>
      </c>
      <c r="H7153" t="s">
        <v>17</v>
      </c>
      <c r="I7153">
        <v>1</v>
      </c>
      <c r="J7153">
        <v>0</v>
      </c>
      <c r="K7153">
        <v>0</v>
      </c>
    </row>
    <row r="7154" spans="1:11" x14ac:dyDescent="0.25">
      <c r="A7154" t="str">
        <f>"8953"</f>
        <v>8953</v>
      </c>
      <c r="B7154" t="str">
        <f t="shared" si="467"/>
        <v>1</v>
      </c>
      <c r="C7154" t="str">
        <f t="shared" si="469"/>
        <v>386</v>
      </c>
      <c r="D7154" t="str">
        <f>"3"</f>
        <v>3</v>
      </c>
      <c r="E7154" t="str">
        <f>"1-386-3"</f>
        <v>1-386-3</v>
      </c>
      <c r="F7154" t="s">
        <v>15</v>
      </c>
      <c r="G7154" t="s">
        <v>16</v>
      </c>
      <c r="H7154" t="s">
        <v>17</v>
      </c>
      <c r="I7154">
        <v>0</v>
      </c>
      <c r="J7154">
        <v>1</v>
      </c>
      <c r="K7154">
        <v>0</v>
      </c>
    </row>
    <row r="7155" spans="1:11" x14ac:dyDescent="0.25">
      <c r="A7155" t="str">
        <f>"8954"</f>
        <v>8954</v>
      </c>
      <c r="B7155" t="str">
        <f t="shared" si="467"/>
        <v>1</v>
      </c>
      <c r="C7155" t="str">
        <f t="shared" si="469"/>
        <v>386</v>
      </c>
      <c r="D7155" t="str">
        <f>"4"</f>
        <v>4</v>
      </c>
      <c r="E7155" t="str">
        <f>"1-386-4"</f>
        <v>1-386-4</v>
      </c>
      <c r="F7155" t="s">
        <v>15</v>
      </c>
      <c r="G7155" t="s">
        <v>16</v>
      </c>
      <c r="H7155" t="s">
        <v>17</v>
      </c>
      <c r="I7155">
        <v>1</v>
      </c>
      <c r="J7155">
        <v>0</v>
      </c>
      <c r="K7155">
        <v>0</v>
      </c>
    </row>
    <row r="7156" spans="1:11" x14ac:dyDescent="0.25">
      <c r="A7156" t="str">
        <f>"8955"</f>
        <v>8955</v>
      </c>
      <c r="B7156" t="str">
        <f t="shared" si="467"/>
        <v>1</v>
      </c>
      <c r="C7156" t="str">
        <f t="shared" si="469"/>
        <v>386</v>
      </c>
      <c r="D7156" t="str">
        <f>"7"</f>
        <v>7</v>
      </c>
      <c r="E7156" t="str">
        <f>"1-386-7"</f>
        <v>1-386-7</v>
      </c>
      <c r="F7156" t="s">
        <v>15</v>
      </c>
      <c r="G7156" t="s">
        <v>20</v>
      </c>
      <c r="H7156" t="s">
        <v>21</v>
      </c>
      <c r="I7156">
        <v>0</v>
      </c>
      <c r="J7156">
        <v>1</v>
      </c>
      <c r="K7156">
        <v>0</v>
      </c>
    </row>
    <row r="7157" spans="1:11" x14ac:dyDescent="0.25">
      <c r="A7157" t="str">
        <f>"8956"</f>
        <v>8956</v>
      </c>
      <c r="B7157" t="str">
        <f t="shared" si="467"/>
        <v>1</v>
      </c>
      <c r="C7157" t="str">
        <f t="shared" si="469"/>
        <v>386</v>
      </c>
      <c r="D7157" t="str">
        <f>"1"</f>
        <v>1</v>
      </c>
      <c r="E7157" t="str">
        <f>"1-386-1"</f>
        <v>1-386-1</v>
      </c>
      <c r="F7157" t="s">
        <v>15</v>
      </c>
      <c r="G7157" t="s">
        <v>16</v>
      </c>
      <c r="H7157" t="s">
        <v>17</v>
      </c>
      <c r="I7157">
        <v>0</v>
      </c>
      <c r="J7157">
        <v>0</v>
      </c>
      <c r="K7157">
        <v>0</v>
      </c>
    </row>
    <row r="7158" spans="1:11" x14ac:dyDescent="0.25">
      <c r="A7158" t="str">
        <f>"8957"</f>
        <v>8957</v>
      </c>
      <c r="B7158" t="str">
        <f t="shared" si="467"/>
        <v>1</v>
      </c>
      <c r="C7158" t="str">
        <f t="shared" si="469"/>
        <v>386</v>
      </c>
      <c r="D7158" t="str">
        <f>"6"</f>
        <v>6</v>
      </c>
      <c r="E7158" t="str">
        <f>"1-386-6"</f>
        <v>1-386-6</v>
      </c>
      <c r="F7158" t="s">
        <v>15</v>
      </c>
      <c r="G7158" t="s">
        <v>16</v>
      </c>
      <c r="H7158" t="s">
        <v>17</v>
      </c>
      <c r="I7158">
        <v>0</v>
      </c>
      <c r="J7158">
        <v>0</v>
      </c>
      <c r="K7158">
        <v>0</v>
      </c>
    </row>
    <row r="7159" spans="1:11" x14ac:dyDescent="0.25">
      <c r="A7159" t="str">
        <f>"8958"</f>
        <v>8958</v>
      </c>
      <c r="B7159" t="str">
        <f t="shared" si="467"/>
        <v>1</v>
      </c>
      <c r="C7159" t="str">
        <f t="shared" si="469"/>
        <v>386</v>
      </c>
      <c r="D7159" t="str">
        <f>"8"</f>
        <v>8</v>
      </c>
      <c r="E7159" t="str">
        <f>"1-386-8"</f>
        <v>1-386-8</v>
      </c>
      <c r="F7159" t="s">
        <v>15</v>
      </c>
      <c r="G7159" t="s">
        <v>20</v>
      </c>
      <c r="H7159" t="s">
        <v>21</v>
      </c>
      <c r="I7159">
        <v>0</v>
      </c>
      <c r="J7159">
        <v>0</v>
      </c>
      <c r="K7159">
        <v>0</v>
      </c>
    </row>
    <row r="7160" spans="1:11" x14ac:dyDescent="0.25">
      <c r="A7160" t="str">
        <f>"8959"</f>
        <v>8959</v>
      </c>
      <c r="B7160" t="str">
        <f t="shared" si="467"/>
        <v>1</v>
      </c>
      <c r="C7160" t="str">
        <f t="shared" ref="C7160:C7184" si="470">"387"</f>
        <v>387</v>
      </c>
      <c r="D7160" t="str">
        <f>"23"</f>
        <v>23</v>
      </c>
      <c r="E7160" t="str">
        <f>"1-387-23"</f>
        <v>1-387-23</v>
      </c>
      <c r="F7160" t="s">
        <v>15</v>
      </c>
      <c r="G7160" t="s">
        <v>18</v>
      </c>
      <c r="H7160" t="s">
        <v>19</v>
      </c>
      <c r="I7160">
        <v>0</v>
      </c>
      <c r="J7160">
        <v>1</v>
      </c>
      <c r="K7160">
        <v>0</v>
      </c>
    </row>
    <row r="7161" spans="1:11" x14ac:dyDescent="0.25">
      <c r="A7161" t="str">
        <f>"8960"</f>
        <v>8960</v>
      </c>
      <c r="B7161" t="str">
        <f t="shared" si="467"/>
        <v>1</v>
      </c>
      <c r="C7161" t="str">
        <f t="shared" si="470"/>
        <v>387</v>
      </c>
      <c r="D7161" t="str">
        <f>"15"</f>
        <v>15</v>
      </c>
      <c r="E7161" t="str">
        <f>"1-387-15"</f>
        <v>1-387-15</v>
      </c>
      <c r="F7161" t="s">
        <v>15</v>
      </c>
      <c r="G7161" t="s">
        <v>18</v>
      </c>
      <c r="H7161" t="s">
        <v>19</v>
      </c>
      <c r="I7161">
        <v>1</v>
      </c>
      <c r="J7161">
        <v>0</v>
      </c>
      <c r="K7161">
        <v>0</v>
      </c>
    </row>
    <row r="7162" spans="1:11" x14ac:dyDescent="0.25">
      <c r="A7162" t="str">
        <f>"8961"</f>
        <v>8961</v>
      </c>
      <c r="B7162" t="str">
        <f t="shared" si="467"/>
        <v>1</v>
      </c>
      <c r="C7162" t="str">
        <f t="shared" si="470"/>
        <v>387</v>
      </c>
      <c r="D7162" t="str">
        <f>"3"</f>
        <v>3</v>
      </c>
      <c r="E7162" t="str">
        <f>"1-387-3"</f>
        <v>1-387-3</v>
      </c>
      <c r="F7162" t="s">
        <v>15</v>
      </c>
      <c r="G7162" t="s">
        <v>18</v>
      </c>
      <c r="H7162" t="s">
        <v>19</v>
      </c>
      <c r="I7162">
        <v>1</v>
      </c>
      <c r="J7162">
        <v>0</v>
      </c>
      <c r="K7162">
        <v>0</v>
      </c>
    </row>
    <row r="7163" spans="1:11" x14ac:dyDescent="0.25">
      <c r="A7163" t="str">
        <f>"8962"</f>
        <v>8962</v>
      </c>
      <c r="B7163" t="str">
        <f t="shared" si="467"/>
        <v>1</v>
      </c>
      <c r="C7163" t="str">
        <f t="shared" si="470"/>
        <v>387</v>
      </c>
      <c r="D7163" t="str">
        <f>"25"</f>
        <v>25</v>
      </c>
      <c r="E7163" t="str">
        <f>"1-387-25"</f>
        <v>1-387-25</v>
      </c>
      <c r="F7163" t="s">
        <v>15</v>
      </c>
      <c r="G7163" t="s">
        <v>18</v>
      </c>
      <c r="H7163" t="s">
        <v>19</v>
      </c>
      <c r="I7163">
        <v>0</v>
      </c>
      <c r="J7163">
        <v>0</v>
      </c>
      <c r="K7163">
        <v>1</v>
      </c>
    </row>
    <row r="7164" spans="1:11" x14ac:dyDescent="0.25">
      <c r="A7164" t="str">
        <f>"8963"</f>
        <v>8963</v>
      </c>
      <c r="B7164" t="str">
        <f t="shared" si="467"/>
        <v>1</v>
      </c>
      <c r="C7164" t="str">
        <f t="shared" si="470"/>
        <v>387</v>
      </c>
      <c r="D7164" t="str">
        <f>"16"</f>
        <v>16</v>
      </c>
      <c r="E7164" t="str">
        <f>"1-387-16"</f>
        <v>1-387-16</v>
      </c>
      <c r="F7164" t="s">
        <v>15</v>
      </c>
      <c r="G7164" t="s">
        <v>18</v>
      </c>
      <c r="H7164" t="s">
        <v>19</v>
      </c>
      <c r="I7164">
        <v>1</v>
      </c>
      <c r="J7164">
        <v>0</v>
      </c>
      <c r="K7164">
        <v>0</v>
      </c>
    </row>
    <row r="7165" spans="1:11" x14ac:dyDescent="0.25">
      <c r="A7165" t="str">
        <f>"8964"</f>
        <v>8964</v>
      </c>
      <c r="B7165" t="str">
        <f t="shared" si="467"/>
        <v>1</v>
      </c>
      <c r="C7165" t="str">
        <f t="shared" si="470"/>
        <v>387</v>
      </c>
      <c r="D7165" t="str">
        <f>"6"</f>
        <v>6</v>
      </c>
      <c r="E7165" t="str">
        <f>"1-387-6"</f>
        <v>1-387-6</v>
      </c>
      <c r="F7165" t="s">
        <v>15</v>
      </c>
      <c r="G7165" t="s">
        <v>18</v>
      </c>
      <c r="H7165" t="s">
        <v>19</v>
      </c>
      <c r="I7165">
        <v>0</v>
      </c>
      <c r="J7165">
        <v>0</v>
      </c>
      <c r="K7165">
        <v>1</v>
      </c>
    </row>
    <row r="7166" spans="1:11" x14ac:dyDescent="0.25">
      <c r="A7166" t="str">
        <f>"8965"</f>
        <v>8965</v>
      </c>
      <c r="B7166" t="str">
        <f t="shared" si="467"/>
        <v>1</v>
      </c>
      <c r="C7166" t="str">
        <f t="shared" si="470"/>
        <v>387</v>
      </c>
      <c r="D7166" t="str">
        <f>"17"</f>
        <v>17</v>
      </c>
      <c r="E7166" t="str">
        <f>"1-387-17"</f>
        <v>1-387-17</v>
      </c>
      <c r="F7166" t="s">
        <v>15</v>
      </c>
      <c r="G7166" t="s">
        <v>18</v>
      </c>
      <c r="H7166" t="s">
        <v>19</v>
      </c>
      <c r="I7166">
        <v>1</v>
      </c>
      <c r="J7166">
        <v>0</v>
      </c>
      <c r="K7166">
        <v>0</v>
      </c>
    </row>
    <row r="7167" spans="1:11" x14ac:dyDescent="0.25">
      <c r="A7167" t="str">
        <f>"8966"</f>
        <v>8966</v>
      </c>
      <c r="B7167" t="str">
        <f t="shared" si="467"/>
        <v>1</v>
      </c>
      <c r="C7167" t="str">
        <f t="shared" si="470"/>
        <v>387</v>
      </c>
      <c r="D7167" t="str">
        <f>"1"</f>
        <v>1</v>
      </c>
      <c r="E7167" t="str">
        <f>"1-387-1"</f>
        <v>1-387-1</v>
      </c>
      <c r="F7167" t="s">
        <v>15</v>
      </c>
      <c r="G7167" t="s">
        <v>18</v>
      </c>
      <c r="H7167" t="s">
        <v>19</v>
      </c>
      <c r="I7167">
        <v>0</v>
      </c>
      <c r="J7167">
        <v>1</v>
      </c>
      <c r="K7167">
        <v>0</v>
      </c>
    </row>
    <row r="7168" spans="1:11" x14ac:dyDescent="0.25">
      <c r="A7168" t="str">
        <f>"8967"</f>
        <v>8967</v>
      </c>
      <c r="B7168" t="str">
        <f t="shared" si="467"/>
        <v>1</v>
      </c>
      <c r="C7168" t="str">
        <f t="shared" si="470"/>
        <v>387</v>
      </c>
      <c r="D7168" t="str">
        <f>"19"</f>
        <v>19</v>
      </c>
      <c r="E7168" t="str">
        <f>"1-387-19"</f>
        <v>1-387-19</v>
      </c>
      <c r="F7168" t="s">
        <v>15</v>
      </c>
      <c r="G7168" t="s">
        <v>18</v>
      </c>
      <c r="H7168" t="s">
        <v>19</v>
      </c>
      <c r="I7168">
        <v>1</v>
      </c>
      <c r="J7168">
        <v>0</v>
      </c>
      <c r="K7168">
        <v>0</v>
      </c>
    </row>
    <row r="7169" spans="1:11" x14ac:dyDescent="0.25">
      <c r="A7169" t="str">
        <f>"8968"</f>
        <v>8968</v>
      </c>
      <c r="B7169" t="str">
        <f t="shared" si="467"/>
        <v>1</v>
      </c>
      <c r="C7169" t="str">
        <f t="shared" si="470"/>
        <v>387</v>
      </c>
      <c r="D7169" t="str">
        <f>"2"</f>
        <v>2</v>
      </c>
      <c r="E7169" t="str">
        <f>"1-387-2"</f>
        <v>1-387-2</v>
      </c>
      <c r="F7169" t="s">
        <v>15</v>
      </c>
      <c r="G7169" t="s">
        <v>18</v>
      </c>
      <c r="H7169" t="s">
        <v>19</v>
      </c>
      <c r="I7169">
        <v>0</v>
      </c>
      <c r="J7169">
        <v>1</v>
      </c>
      <c r="K7169">
        <v>0</v>
      </c>
    </row>
    <row r="7170" spans="1:11" x14ac:dyDescent="0.25">
      <c r="A7170" t="str">
        <f>"8969"</f>
        <v>8969</v>
      </c>
      <c r="B7170" t="str">
        <f t="shared" si="467"/>
        <v>1</v>
      </c>
      <c r="C7170" t="str">
        <f t="shared" si="470"/>
        <v>387</v>
      </c>
      <c r="D7170" t="str">
        <f>"20"</f>
        <v>20</v>
      </c>
      <c r="E7170" t="str">
        <f>"1-387-20"</f>
        <v>1-387-20</v>
      </c>
      <c r="F7170" t="s">
        <v>15</v>
      </c>
      <c r="G7170" t="s">
        <v>18</v>
      </c>
      <c r="H7170" t="s">
        <v>19</v>
      </c>
      <c r="I7170">
        <v>1</v>
      </c>
      <c r="J7170">
        <v>0</v>
      </c>
      <c r="K7170">
        <v>0</v>
      </c>
    </row>
    <row r="7171" spans="1:11" x14ac:dyDescent="0.25">
      <c r="A7171" t="str">
        <f>"8970"</f>
        <v>8970</v>
      </c>
      <c r="B7171" t="str">
        <f t="shared" si="467"/>
        <v>1</v>
      </c>
      <c r="C7171" t="str">
        <f t="shared" si="470"/>
        <v>387</v>
      </c>
      <c r="D7171" t="str">
        <f>"4"</f>
        <v>4</v>
      </c>
      <c r="E7171" t="str">
        <f>"1-387-4"</f>
        <v>1-387-4</v>
      </c>
      <c r="F7171" t="s">
        <v>15</v>
      </c>
      <c r="G7171" t="s">
        <v>18</v>
      </c>
      <c r="H7171" t="s">
        <v>19</v>
      </c>
      <c r="I7171">
        <v>1</v>
      </c>
      <c r="J7171">
        <v>0</v>
      </c>
      <c r="K7171">
        <v>0</v>
      </c>
    </row>
    <row r="7172" spans="1:11" x14ac:dyDescent="0.25">
      <c r="A7172" t="str">
        <f>"8971"</f>
        <v>8971</v>
      </c>
      <c r="B7172" t="str">
        <f t="shared" si="467"/>
        <v>1</v>
      </c>
      <c r="C7172" t="str">
        <f t="shared" si="470"/>
        <v>387</v>
      </c>
      <c r="D7172" t="str">
        <f>"21"</f>
        <v>21</v>
      </c>
      <c r="E7172" t="str">
        <f>"1-387-21"</f>
        <v>1-387-21</v>
      </c>
      <c r="F7172" t="s">
        <v>15</v>
      </c>
      <c r="G7172" t="s">
        <v>16</v>
      </c>
      <c r="H7172" t="s">
        <v>17</v>
      </c>
      <c r="I7172">
        <v>0</v>
      </c>
      <c r="J7172">
        <v>1</v>
      </c>
      <c r="K7172">
        <v>0</v>
      </c>
    </row>
    <row r="7173" spans="1:11" x14ac:dyDescent="0.25">
      <c r="A7173" t="str">
        <f>"8972"</f>
        <v>8972</v>
      </c>
      <c r="B7173" t="str">
        <f t="shared" si="467"/>
        <v>1</v>
      </c>
      <c r="C7173" t="str">
        <f t="shared" si="470"/>
        <v>387</v>
      </c>
      <c r="D7173" t="str">
        <f>"14"</f>
        <v>14</v>
      </c>
      <c r="E7173" t="str">
        <f>"1-387-14"</f>
        <v>1-387-14</v>
      </c>
      <c r="F7173" t="s">
        <v>15</v>
      </c>
      <c r="G7173" t="s">
        <v>18</v>
      </c>
      <c r="H7173" t="s">
        <v>19</v>
      </c>
      <c r="I7173">
        <v>1</v>
      </c>
      <c r="J7173">
        <v>0</v>
      </c>
      <c r="K7173">
        <v>0</v>
      </c>
    </row>
    <row r="7174" spans="1:11" x14ac:dyDescent="0.25">
      <c r="A7174" t="str">
        <f>"8973"</f>
        <v>8973</v>
      </c>
      <c r="B7174" t="str">
        <f t="shared" si="467"/>
        <v>1</v>
      </c>
      <c r="C7174" t="str">
        <f t="shared" si="470"/>
        <v>387</v>
      </c>
      <c r="D7174" t="str">
        <f>"22"</f>
        <v>22</v>
      </c>
      <c r="E7174" t="str">
        <f>"1-387-22"</f>
        <v>1-387-22</v>
      </c>
      <c r="F7174" t="s">
        <v>15</v>
      </c>
      <c r="G7174" t="s">
        <v>16</v>
      </c>
      <c r="H7174" t="s">
        <v>17</v>
      </c>
      <c r="I7174">
        <v>0</v>
      </c>
      <c r="J7174">
        <v>1</v>
      </c>
      <c r="K7174">
        <v>0</v>
      </c>
    </row>
    <row r="7175" spans="1:11" x14ac:dyDescent="0.25">
      <c r="A7175" t="str">
        <f>"8974"</f>
        <v>8974</v>
      </c>
      <c r="B7175" t="str">
        <f t="shared" si="467"/>
        <v>1</v>
      </c>
      <c r="C7175" t="str">
        <f t="shared" si="470"/>
        <v>387</v>
      </c>
      <c r="D7175" t="str">
        <f>"5"</f>
        <v>5</v>
      </c>
      <c r="E7175" t="str">
        <f>"1-387-5"</f>
        <v>1-387-5</v>
      </c>
      <c r="F7175" t="s">
        <v>15</v>
      </c>
      <c r="G7175" t="s">
        <v>18</v>
      </c>
      <c r="H7175" t="s">
        <v>19</v>
      </c>
      <c r="I7175">
        <v>1</v>
      </c>
      <c r="J7175">
        <v>0</v>
      </c>
      <c r="K7175">
        <v>0</v>
      </c>
    </row>
    <row r="7176" spans="1:11" x14ac:dyDescent="0.25">
      <c r="A7176" t="str">
        <f>"8975"</f>
        <v>8975</v>
      </c>
      <c r="B7176" t="str">
        <f t="shared" si="467"/>
        <v>1</v>
      </c>
      <c r="C7176" t="str">
        <f t="shared" si="470"/>
        <v>387</v>
      </c>
      <c r="D7176" t="str">
        <f>"24"</f>
        <v>24</v>
      </c>
      <c r="E7176" t="str">
        <f>"1-387-24"</f>
        <v>1-387-24</v>
      </c>
      <c r="F7176" t="s">
        <v>15</v>
      </c>
      <c r="G7176" t="s">
        <v>18</v>
      </c>
      <c r="H7176" t="s">
        <v>19</v>
      </c>
      <c r="I7176">
        <v>1</v>
      </c>
      <c r="J7176">
        <v>0</v>
      </c>
      <c r="K7176">
        <v>0</v>
      </c>
    </row>
    <row r="7177" spans="1:11" x14ac:dyDescent="0.25">
      <c r="A7177" t="str">
        <f>"8976"</f>
        <v>8976</v>
      </c>
      <c r="B7177" t="str">
        <f t="shared" si="467"/>
        <v>1</v>
      </c>
      <c r="C7177" t="str">
        <f t="shared" si="470"/>
        <v>387</v>
      </c>
      <c r="D7177" t="str">
        <f>"13"</f>
        <v>13</v>
      </c>
      <c r="E7177" t="str">
        <f>"1-387-13"</f>
        <v>1-387-13</v>
      </c>
      <c r="F7177" t="s">
        <v>15</v>
      </c>
      <c r="G7177" t="s">
        <v>18</v>
      </c>
      <c r="H7177" t="s">
        <v>19</v>
      </c>
      <c r="I7177">
        <v>1</v>
      </c>
      <c r="J7177">
        <v>0</v>
      </c>
      <c r="K7177">
        <v>0</v>
      </c>
    </row>
    <row r="7178" spans="1:11" x14ac:dyDescent="0.25">
      <c r="A7178" t="str">
        <f>"8977"</f>
        <v>8977</v>
      </c>
      <c r="B7178" t="str">
        <f t="shared" si="467"/>
        <v>1</v>
      </c>
      <c r="C7178" t="str">
        <f t="shared" si="470"/>
        <v>387</v>
      </c>
      <c r="D7178" t="str">
        <f>"10"</f>
        <v>10</v>
      </c>
      <c r="E7178" t="str">
        <f>"1-387-10"</f>
        <v>1-387-10</v>
      </c>
      <c r="F7178" t="s">
        <v>15</v>
      </c>
      <c r="G7178" t="s">
        <v>18</v>
      </c>
      <c r="H7178" t="s">
        <v>19</v>
      </c>
      <c r="I7178">
        <v>1</v>
      </c>
      <c r="J7178">
        <v>0</v>
      </c>
      <c r="K7178">
        <v>0</v>
      </c>
    </row>
    <row r="7179" spans="1:11" x14ac:dyDescent="0.25">
      <c r="A7179" t="str">
        <f>"8978"</f>
        <v>8978</v>
      </c>
      <c r="B7179" t="str">
        <f t="shared" si="467"/>
        <v>1</v>
      </c>
      <c r="C7179" t="str">
        <f t="shared" si="470"/>
        <v>387</v>
      </c>
      <c r="D7179" t="str">
        <f>"12"</f>
        <v>12</v>
      </c>
      <c r="E7179" t="str">
        <f>"1-387-12"</f>
        <v>1-387-12</v>
      </c>
      <c r="F7179" t="s">
        <v>15</v>
      </c>
      <c r="G7179" t="s">
        <v>18</v>
      </c>
      <c r="H7179" t="s">
        <v>19</v>
      </c>
      <c r="I7179">
        <v>0</v>
      </c>
      <c r="J7179">
        <v>0</v>
      </c>
      <c r="K7179">
        <v>1</v>
      </c>
    </row>
    <row r="7180" spans="1:11" x14ac:dyDescent="0.25">
      <c r="A7180" t="str">
        <f>"8979"</f>
        <v>8979</v>
      </c>
      <c r="B7180" t="str">
        <f t="shared" si="467"/>
        <v>1</v>
      </c>
      <c r="C7180" t="str">
        <f t="shared" si="470"/>
        <v>387</v>
      </c>
      <c r="D7180" t="str">
        <f>"8"</f>
        <v>8</v>
      </c>
      <c r="E7180" t="str">
        <f>"1-387-8"</f>
        <v>1-387-8</v>
      </c>
      <c r="F7180" t="s">
        <v>15</v>
      </c>
      <c r="G7180" t="s">
        <v>18</v>
      </c>
      <c r="H7180" t="s">
        <v>19</v>
      </c>
      <c r="I7180">
        <v>0</v>
      </c>
      <c r="J7180">
        <v>1</v>
      </c>
      <c r="K7180">
        <v>0</v>
      </c>
    </row>
    <row r="7181" spans="1:11" x14ac:dyDescent="0.25">
      <c r="A7181" t="str">
        <f>"8980"</f>
        <v>8980</v>
      </c>
      <c r="B7181" t="str">
        <f t="shared" si="467"/>
        <v>1</v>
      </c>
      <c r="C7181" t="str">
        <f t="shared" si="470"/>
        <v>387</v>
      </c>
      <c r="D7181" t="str">
        <f>"11"</f>
        <v>11</v>
      </c>
      <c r="E7181" t="str">
        <f>"1-387-11"</f>
        <v>1-387-11</v>
      </c>
      <c r="F7181" t="s">
        <v>15</v>
      </c>
      <c r="G7181" t="s">
        <v>18</v>
      </c>
      <c r="H7181" t="s">
        <v>19</v>
      </c>
      <c r="I7181">
        <v>1</v>
      </c>
      <c r="J7181">
        <v>0</v>
      </c>
      <c r="K7181">
        <v>0</v>
      </c>
    </row>
    <row r="7182" spans="1:11" x14ac:dyDescent="0.25">
      <c r="A7182" t="str">
        <f>"8981"</f>
        <v>8981</v>
      </c>
      <c r="B7182" t="str">
        <f t="shared" si="467"/>
        <v>1</v>
      </c>
      <c r="C7182" t="str">
        <f t="shared" si="470"/>
        <v>387</v>
      </c>
      <c r="D7182" t="str">
        <f>"9"</f>
        <v>9</v>
      </c>
      <c r="E7182" t="str">
        <f>"1-387-9"</f>
        <v>1-387-9</v>
      </c>
      <c r="F7182" t="s">
        <v>15</v>
      </c>
      <c r="G7182" t="s">
        <v>18</v>
      </c>
      <c r="H7182" t="s">
        <v>19</v>
      </c>
      <c r="I7182">
        <v>0</v>
      </c>
      <c r="J7182">
        <v>1</v>
      </c>
      <c r="K7182">
        <v>0</v>
      </c>
    </row>
    <row r="7183" spans="1:11" x14ac:dyDescent="0.25">
      <c r="A7183" t="str">
        <f>"8982"</f>
        <v>8982</v>
      </c>
      <c r="B7183" t="str">
        <f t="shared" si="467"/>
        <v>1</v>
      </c>
      <c r="C7183" t="str">
        <f t="shared" si="470"/>
        <v>387</v>
      </c>
      <c r="D7183" t="str">
        <f>"7"</f>
        <v>7</v>
      </c>
      <c r="E7183" t="str">
        <f>"1-387-7"</f>
        <v>1-387-7</v>
      </c>
      <c r="F7183" t="s">
        <v>15</v>
      </c>
      <c r="G7183" t="s">
        <v>18</v>
      </c>
      <c r="H7183" t="s">
        <v>19</v>
      </c>
      <c r="I7183">
        <v>0</v>
      </c>
      <c r="J7183">
        <v>0</v>
      </c>
      <c r="K7183">
        <v>0</v>
      </c>
    </row>
    <row r="7184" spans="1:11" x14ac:dyDescent="0.25">
      <c r="A7184" t="str">
        <f>"8983"</f>
        <v>8983</v>
      </c>
      <c r="B7184" t="str">
        <f t="shared" si="467"/>
        <v>1</v>
      </c>
      <c r="C7184" t="str">
        <f t="shared" si="470"/>
        <v>387</v>
      </c>
      <c r="D7184" t="str">
        <f>"18"</f>
        <v>18</v>
      </c>
      <c r="E7184" t="str">
        <f>"1-387-18"</f>
        <v>1-387-18</v>
      </c>
      <c r="F7184" t="s">
        <v>15</v>
      </c>
      <c r="G7184" t="s">
        <v>18</v>
      </c>
      <c r="H7184" t="s">
        <v>19</v>
      </c>
      <c r="I7184">
        <v>0</v>
      </c>
      <c r="J7184">
        <v>0</v>
      </c>
      <c r="K7184">
        <v>0</v>
      </c>
    </row>
    <row r="7185" spans="1:11" x14ac:dyDescent="0.25">
      <c r="A7185" t="str">
        <f>"9009"</f>
        <v>9009</v>
      </c>
      <c r="B7185" t="str">
        <f t="shared" ref="B7185:B7225" si="471">"1"</f>
        <v>1</v>
      </c>
      <c r="C7185" t="str">
        <f t="shared" ref="C7185:C7209" si="472">"389"</f>
        <v>389</v>
      </c>
      <c r="D7185" t="str">
        <f>"21"</f>
        <v>21</v>
      </c>
      <c r="E7185" t="str">
        <f>"1-389-21"</f>
        <v>1-389-21</v>
      </c>
      <c r="F7185" t="s">
        <v>15</v>
      </c>
      <c r="G7185" t="s">
        <v>18</v>
      </c>
      <c r="H7185" t="s">
        <v>19</v>
      </c>
      <c r="I7185">
        <v>0</v>
      </c>
      <c r="J7185">
        <v>1</v>
      </c>
      <c r="K7185">
        <v>0</v>
      </c>
    </row>
    <row r="7186" spans="1:11" x14ac:dyDescent="0.25">
      <c r="A7186" t="str">
        <f>"9010"</f>
        <v>9010</v>
      </c>
      <c r="B7186" t="str">
        <f t="shared" si="471"/>
        <v>1</v>
      </c>
      <c r="C7186" t="str">
        <f t="shared" si="472"/>
        <v>389</v>
      </c>
      <c r="D7186" t="str">
        <f>"15"</f>
        <v>15</v>
      </c>
      <c r="E7186" t="str">
        <f>"1-389-15"</f>
        <v>1-389-15</v>
      </c>
      <c r="F7186" t="s">
        <v>15</v>
      </c>
      <c r="G7186" t="s">
        <v>18</v>
      </c>
      <c r="H7186" t="s">
        <v>19</v>
      </c>
      <c r="I7186">
        <v>0</v>
      </c>
      <c r="J7186">
        <v>1</v>
      </c>
      <c r="K7186">
        <v>0</v>
      </c>
    </row>
    <row r="7187" spans="1:11" x14ac:dyDescent="0.25">
      <c r="A7187" t="str">
        <f>"9011"</f>
        <v>9011</v>
      </c>
      <c r="B7187" t="str">
        <f t="shared" si="471"/>
        <v>1</v>
      </c>
      <c r="C7187" t="str">
        <f t="shared" si="472"/>
        <v>389</v>
      </c>
      <c r="D7187" t="str">
        <f>"4"</f>
        <v>4</v>
      </c>
      <c r="E7187" t="str">
        <f>"1-389-4"</f>
        <v>1-389-4</v>
      </c>
      <c r="F7187" t="s">
        <v>15</v>
      </c>
      <c r="G7187" t="s">
        <v>20</v>
      </c>
      <c r="H7187" t="s">
        <v>21</v>
      </c>
      <c r="I7187">
        <v>1</v>
      </c>
      <c r="J7187">
        <v>0</v>
      </c>
      <c r="K7187">
        <v>0</v>
      </c>
    </row>
    <row r="7188" spans="1:11" x14ac:dyDescent="0.25">
      <c r="A7188" t="str">
        <f>"9012"</f>
        <v>9012</v>
      </c>
      <c r="B7188" t="str">
        <f t="shared" si="471"/>
        <v>1</v>
      </c>
      <c r="C7188" t="str">
        <f t="shared" si="472"/>
        <v>389</v>
      </c>
      <c r="D7188" t="str">
        <f>"16"</f>
        <v>16</v>
      </c>
      <c r="E7188" t="str">
        <f>"1-389-16"</f>
        <v>1-389-16</v>
      </c>
      <c r="F7188" t="s">
        <v>15</v>
      </c>
      <c r="G7188" t="s">
        <v>18</v>
      </c>
      <c r="H7188" t="s">
        <v>19</v>
      </c>
      <c r="I7188">
        <v>1</v>
      </c>
      <c r="J7188">
        <v>0</v>
      </c>
      <c r="K7188">
        <v>0</v>
      </c>
    </row>
    <row r="7189" spans="1:11" x14ac:dyDescent="0.25">
      <c r="A7189" t="str">
        <f>"9013"</f>
        <v>9013</v>
      </c>
      <c r="B7189" t="str">
        <f t="shared" si="471"/>
        <v>1</v>
      </c>
      <c r="C7189" t="str">
        <f t="shared" si="472"/>
        <v>389</v>
      </c>
      <c r="D7189" t="str">
        <f>"6"</f>
        <v>6</v>
      </c>
      <c r="E7189" t="str">
        <f>"1-389-6"</f>
        <v>1-389-6</v>
      </c>
      <c r="F7189" t="s">
        <v>15</v>
      </c>
      <c r="G7189" t="s">
        <v>18</v>
      </c>
      <c r="H7189" t="s">
        <v>19</v>
      </c>
      <c r="I7189">
        <v>0</v>
      </c>
      <c r="J7189">
        <v>1</v>
      </c>
      <c r="K7189">
        <v>0</v>
      </c>
    </row>
    <row r="7190" spans="1:11" x14ac:dyDescent="0.25">
      <c r="A7190" t="str">
        <f>"9014"</f>
        <v>9014</v>
      </c>
      <c r="B7190" t="str">
        <f t="shared" si="471"/>
        <v>1</v>
      </c>
      <c r="C7190" t="str">
        <f t="shared" si="472"/>
        <v>389</v>
      </c>
      <c r="D7190" t="str">
        <f>"17"</f>
        <v>17</v>
      </c>
      <c r="E7190" t="str">
        <f>"1-389-17"</f>
        <v>1-389-17</v>
      </c>
      <c r="F7190" t="s">
        <v>15</v>
      </c>
      <c r="G7190" t="s">
        <v>18</v>
      </c>
      <c r="H7190" t="s">
        <v>19</v>
      </c>
      <c r="I7190">
        <v>1</v>
      </c>
      <c r="J7190">
        <v>0</v>
      </c>
      <c r="K7190">
        <v>0</v>
      </c>
    </row>
    <row r="7191" spans="1:11" x14ac:dyDescent="0.25">
      <c r="A7191" t="str">
        <f>"9015"</f>
        <v>9015</v>
      </c>
      <c r="B7191" t="str">
        <f t="shared" si="471"/>
        <v>1</v>
      </c>
      <c r="C7191" t="str">
        <f t="shared" si="472"/>
        <v>389</v>
      </c>
      <c r="D7191" t="str">
        <f>"1"</f>
        <v>1</v>
      </c>
      <c r="E7191" t="str">
        <f>"1-389-1"</f>
        <v>1-389-1</v>
      </c>
      <c r="F7191" t="s">
        <v>15</v>
      </c>
      <c r="G7191" t="s">
        <v>18</v>
      </c>
      <c r="H7191" t="s">
        <v>19</v>
      </c>
      <c r="I7191">
        <v>0</v>
      </c>
      <c r="J7191">
        <v>0</v>
      </c>
      <c r="K7191">
        <v>1</v>
      </c>
    </row>
    <row r="7192" spans="1:11" x14ac:dyDescent="0.25">
      <c r="A7192" t="str">
        <f>"9016"</f>
        <v>9016</v>
      </c>
      <c r="B7192" t="str">
        <f t="shared" si="471"/>
        <v>1</v>
      </c>
      <c r="C7192" t="str">
        <f t="shared" si="472"/>
        <v>389</v>
      </c>
      <c r="D7192" t="str">
        <f>"18"</f>
        <v>18</v>
      </c>
      <c r="E7192" t="str">
        <f>"1-389-18"</f>
        <v>1-389-18</v>
      </c>
      <c r="F7192" t="s">
        <v>15</v>
      </c>
      <c r="G7192" t="s">
        <v>18</v>
      </c>
      <c r="H7192" t="s">
        <v>19</v>
      </c>
      <c r="I7192">
        <v>1</v>
      </c>
      <c r="J7192">
        <v>0</v>
      </c>
      <c r="K7192">
        <v>0</v>
      </c>
    </row>
    <row r="7193" spans="1:11" x14ac:dyDescent="0.25">
      <c r="A7193" t="str">
        <f>"9017"</f>
        <v>9017</v>
      </c>
      <c r="B7193" t="str">
        <f t="shared" si="471"/>
        <v>1</v>
      </c>
      <c r="C7193" t="str">
        <f t="shared" si="472"/>
        <v>389</v>
      </c>
      <c r="D7193" t="str">
        <f>"12"</f>
        <v>12</v>
      </c>
      <c r="E7193" t="str">
        <f>"1-389-12"</f>
        <v>1-389-12</v>
      </c>
      <c r="F7193" t="s">
        <v>15</v>
      </c>
      <c r="G7193" t="s">
        <v>18</v>
      </c>
      <c r="H7193" t="s">
        <v>19</v>
      </c>
      <c r="I7193">
        <v>0</v>
      </c>
      <c r="J7193">
        <v>0</v>
      </c>
      <c r="K7193">
        <v>1</v>
      </c>
    </row>
    <row r="7194" spans="1:11" x14ac:dyDescent="0.25">
      <c r="A7194" t="str">
        <f>"9018"</f>
        <v>9018</v>
      </c>
      <c r="B7194" t="str">
        <f t="shared" si="471"/>
        <v>1</v>
      </c>
      <c r="C7194" t="str">
        <f t="shared" si="472"/>
        <v>389</v>
      </c>
      <c r="D7194" t="str">
        <f>"19"</f>
        <v>19</v>
      </c>
      <c r="E7194" t="str">
        <f>"1-389-19"</f>
        <v>1-389-19</v>
      </c>
      <c r="F7194" t="s">
        <v>15</v>
      </c>
      <c r="G7194" t="s">
        <v>18</v>
      </c>
      <c r="H7194" t="s">
        <v>19</v>
      </c>
      <c r="I7194">
        <v>1</v>
      </c>
      <c r="J7194">
        <v>0</v>
      </c>
      <c r="K7194">
        <v>0</v>
      </c>
    </row>
    <row r="7195" spans="1:11" x14ac:dyDescent="0.25">
      <c r="A7195" t="str">
        <f>"9019"</f>
        <v>9019</v>
      </c>
      <c r="B7195" t="str">
        <f t="shared" si="471"/>
        <v>1</v>
      </c>
      <c r="C7195" t="str">
        <f t="shared" si="472"/>
        <v>389</v>
      </c>
      <c r="D7195" t="str">
        <f>"3"</f>
        <v>3</v>
      </c>
      <c r="E7195" t="str">
        <f>"1-389-3"</f>
        <v>1-389-3</v>
      </c>
      <c r="F7195" t="s">
        <v>15</v>
      </c>
      <c r="G7195" t="s">
        <v>18</v>
      </c>
      <c r="H7195" t="s">
        <v>19</v>
      </c>
      <c r="I7195">
        <v>0</v>
      </c>
      <c r="J7195">
        <v>1</v>
      </c>
      <c r="K7195">
        <v>0</v>
      </c>
    </row>
    <row r="7196" spans="1:11" x14ac:dyDescent="0.25">
      <c r="A7196" t="str">
        <f>"9020"</f>
        <v>9020</v>
      </c>
      <c r="B7196" t="str">
        <f t="shared" si="471"/>
        <v>1</v>
      </c>
      <c r="C7196" t="str">
        <f t="shared" si="472"/>
        <v>389</v>
      </c>
      <c r="D7196" t="str">
        <f>"13"</f>
        <v>13</v>
      </c>
      <c r="E7196" t="str">
        <f>"1-389-13"</f>
        <v>1-389-13</v>
      </c>
      <c r="F7196" t="s">
        <v>15</v>
      </c>
      <c r="G7196" t="s">
        <v>18</v>
      </c>
      <c r="H7196" t="s">
        <v>19</v>
      </c>
      <c r="I7196">
        <v>1</v>
      </c>
      <c r="J7196">
        <v>0</v>
      </c>
      <c r="K7196">
        <v>0</v>
      </c>
    </row>
    <row r="7197" spans="1:11" x14ac:dyDescent="0.25">
      <c r="A7197" t="str">
        <f>"9021"</f>
        <v>9021</v>
      </c>
      <c r="B7197" t="str">
        <f t="shared" si="471"/>
        <v>1</v>
      </c>
      <c r="C7197" t="str">
        <f t="shared" si="472"/>
        <v>389</v>
      </c>
      <c r="D7197" t="str">
        <f>"22"</f>
        <v>22</v>
      </c>
      <c r="E7197" t="str">
        <f>"1-389-22"</f>
        <v>1-389-22</v>
      </c>
      <c r="F7197" t="s">
        <v>15</v>
      </c>
      <c r="G7197" t="s">
        <v>18</v>
      </c>
      <c r="H7197" t="s">
        <v>19</v>
      </c>
      <c r="I7197">
        <v>0</v>
      </c>
      <c r="J7197">
        <v>1</v>
      </c>
      <c r="K7197">
        <v>0</v>
      </c>
    </row>
    <row r="7198" spans="1:11" x14ac:dyDescent="0.25">
      <c r="A7198" t="str">
        <f>"9022"</f>
        <v>9022</v>
      </c>
      <c r="B7198" t="str">
        <f t="shared" si="471"/>
        <v>1</v>
      </c>
      <c r="C7198" t="str">
        <f t="shared" si="472"/>
        <v>389</v>
      </c>
      <c r="D7198" t="str">
        <f>"23"</f>
        <v>23</v>
      </c>
      <c r="E7198" t="str">
        <f>"1-389-23"</f>
        <v>1-389-23</v>
      </c>
      <c r="F7198" t="s">
        <v>15</v>
      </c>
      <c r="G7198" t="s">
        <v>18</v>
      </c>
      <c r="H7198" t="s">
        <v>19</v>
      </c>
      <c r="I7198">
        <v>1</v>
      </c>
      <c r="J7198">
        <v>0</v>
      </c>
      <c r="K7198">
        <v>0</v>
      </c>
    </row>
    <row r="7199" spans="1:11" x14ac:dyDescent="0.25">
      <c r="A7199" t="str">
        <f>"9023"</f>
        <v>9023</v>
      </c>
      <c r="B7199" t="str">
        <f t="shared" si="471"/>
        <v>1</v>
      </c>
      <c r="C7199" t="str">
        <f t="shared" si="472"/>
        <v>389</v>
      </c>
      <c r="D7199" t="str">
        <f>"11"</f>
        <v>11</v>
      </c>
      <c r="E7199" t="str">
        <f>"1-389-11"</f>
        <v>1-389-11</v>
      </c>
      <c r="F7199" t="s">
        <v>15</v>
      </c>
      <c r="G7199" t="s">
        <v>18</v>
      </c>
      <c r="H7199" t="s">
        <v>19</v>
      </c>
      <c r="I7199">
        <v>0</v>
      </c>
      <c r="J7199">
        <v>0</v>
      </c>
      <c r="K7199">
        <v>1</v>
      </c>
    </row>
    <row r="7200" spans="1:11" x14ac:dyDescent="0.25">
      <c r="A7200" t="str">
        <f>"9024"</f>
        <v>9024</v>
      </c>
      <c r="B7200" t="str">
        <f t="shared" si="471"/>
        <v>1</v>
      </c>
      <c r="C7200" t="str">
        <f t="shared" si="472"/>
        <v>389</v>
      </c>
      <c r="D7200" t="str">
        <f>"24"</f>
        <v>24</v>
      </c>
      <c r="E7200" t="str">
        <f>"1-389-24"</f>
        <v>1-389-24</v>
      </c>
      <c r="F7200" t="s">
        <v>15</v>
      </c>
      <c r="G7200" t="s">
        <v>16</v>
      </c>
      <c r="H7200" t="s">
        <v>17</v>
      </c>
      <c r="I7200">
        <v>1</v>
      </c>
      <c r="J7200">
        <v>0</v>
      </c>
      <c r="K7200">
        <v>0</v>
      </c>
    </row>
    <row r="7201" spans="1:11" x14ac:dyDescent="0.25">
      <c r="A7201" t="str">
        <f>"9025"</f>
        <v>9025</v>
      </c>
      <c r="B7201" t="str">
        <f t="shared" si="471"/>
        <v>1</v>
      </c>
      <c r="C7201" t="str">
        <f t="shared" si="472"/>
        <v>389</v>
      </c>
      <c r="D7201" t="str">
        <f>"7"</f>
        <v>7</v>
      </c>
      <c r="E7201" t="str">
        <f>"1-389-7"</f>
        <v>1-389-7</v>
      </c>
      <c r="F7201" t="s">
        <v>15</v>
      </c>
      <c r="G7201" t="s">
        <v>18</v>
      </c>
      <c r="H7201" t="s">
        <v>19</v>
      </c>
      <c r="I7201">
        <v>0</v>
      </c>
      <c r="J7201">
        <v>0</v>
      </c>
      <c r="K7201">
        <v>1</v>
      </c>
    </row>
    <row r="7202" spans="1:11" x14ac:dyDescent="0.25">
      <c r="A7202" t="str">
        <f>"9026"</f>
        <v>9026</v>
      </c>
      <c r="B7202" t="str">
        <f t="shared" si="471"/>
        <v>1</v>
      </c>
      <c r="C7202" t="str">
        <f t="shared" si="472"/>
        <v>389</v>
      </c>
      <c r="D7202" t="str">
        <f>"25"</f>
        <v>25</v>
      </c>
      <c r="E7202" t="str">
        <f>"1-389-25"</f>
        <v>1-389-25</v>
      </c>
      <c r="F7202" t="s">
        <v>15</v>
      </c>
      <c r="G7202" t="s">
        <v>18</v>
      </c>
      <c r="H7202" t="s">
        <v>19</v>
      </c>
      <c r="I7202">
        <v>0</v>
      </c>
      <c r="J7202">
        <v>1</v>
      </c>
      <c r="K7202">
        <v>0</v>
      </c>
    </row>
    <row r="7203" spans="1:11" x14ac:dyDescent="0.25">
      <c r="A7203" t="str">
        <f>"9027"</f>
        <v>9027</v>
      </c>
      <c r="B7203" t="str">
        <f t="shared" si="471"/>
        <v>1</v>
      </c>
      <c r="C7203" t="str">
        <f t="shared" si="472"/>
        <v>389</v>
      </c>
      <c r="D7203" t="str">
        <f>"2"</f>
        <v>2</v>
      </c>
      <c r="E7203" t="str">
        <f>"1-389-2"</f>
        <v>1-389-2</v>
      </c>
      <c r="F7203" t="s">
        <v>15</v>
      </c>
      <c r="G7203" t="s">
        <v>18</v>
      </c>
      <c r="H7203" t="s">
        <v>19</v>
      </c>
      <c r="I7203">
        <v>1</v>
      </c>
      <c r="J7203">
        <v>0</v>
      </c>
      <c r="K7203">
        <v>0</v>
      </c>
    </row>
    <row r="7204" spans="1:11" x14ac:dyDescent="0.25">
      <c r="A7204" t="str">
        <f>"9028"</f>
        <v>9028</v>
      </c>
      <c r="B7204" t="str">
        <f t="shared" si="471"/>
        <v>1</v>
      </c>
      <c r="C7204" t="str">
        <f t="shared" si="472"/>
        <v>389</v>
      </c>
      <c r="D7204" t="str">
        <f>"14"</f>
        <v>14</v>
      </c>
      <c r="E7204" t="str">
        <f>"1-389-14"</f>
        <v>1-389-14</v>
      </c>
      <c r="F7204" t="s">
        <v>15</v>
      </c>
      <c r="G7204" t="s">
        <v>18</v>
      </c>
      <c r="H7204" t="s">
        <v>19</v>
      </c>
      <c r="I7204">
        <v>1</v>
      </c>
      <c r="J7204">
        <v>0</v>
      </c>
      <c r="K7204">
        <v>0</v>
      </c>
    </row>
    <row r="7205" spans="1:11" x14ac:dyDescent="0.25">
      <c r="A7205" t="str">
        <f>"9029"</f>
        <v>9029</v>
      </c>
      <c r="B7205" t="str">
        <f t="shared" si="471"/>
        <v>1</v>
      </c>
      <c r="C7205" t="str">
        <f t="shared" si="472"/>
        <v>389</v>
      </c>
      <c r="D7205" t="str">
        <f>"8"</f>
        <v>8</v>
      </c>
      <c r="E7205" t="str">
        <f>"1-389-8"</f>
        <v>1-389-8</v>
      </c>
      <c r="F7205" t="s">
        <v>15</v>
      </c>
      <c r="G7205" t="s">
        <v>18</v>
      </c>
      <c r="H7205" t="s">
        <v>19</v>
      </c>
      <c r="I7205">
        <v>1</v>
      </c>
      <c r="J7205">
        <v>0</v>
      </c>
      <c r="K7205">
        <v>0</v>
      </c>
    </row>
    <row r="7206" spans="1:11" x14ac:dyDescent="0.25">
      <c r="A7206" t="str">
        <f>"9030"</f>
        <v>9030</v>
      </c>
      <c r="B7206" t="str">
        <f t="shared" si="471"/>
        <v>1</v>
      </c>
      <c r="C7206" t="str">
        <f t="shared" si="472"/>
        <v>389</v>
      </c>
      <c r="D7206" t="str">
        <f>"9"</f>
        <v>9</v>
      </c>
      <c r="E7206" t="str">
        <f>"1-389-9"</f>
        <v>1-389-9</v>
      </c>
      <c r="F7206" t="s">
        <v>15</v>
      </c>
      <c r="G7206" t="s">
        <v>18</v>
      </c>
      <c r="H7206" t="s">
        <v>19</v>
      </c>
      <c r="I7206">
        <v>0</v>
      </c>
      <c r="J7206">
        <v>0</v>
      </c>
      <c r="K7206">
        <v>1</v>
      </c>
    </row>
    <row r="7207" spans="1:11" x14ac:dyDescent="0.25">
      <c r="A7207" t="str">
        <f>"9031"</f>
        <v>9031</v>
      </c>
      <c r="B7207" t="str">
        <f t="shared" si="471"/>
        <v>1</v>
      </c>
      <c r="C7207" t="str">
        <f t="shared" si="472"/>
        <v>389</v>
      </c>
      <c r="D7207" t="str">
        <f>"10"</f>
        <v>10</v>
      </c>
      <c r="E7207" t="str">
        <f>"1-389-10"</f>
        <v>1-389-10</v>
      </c>
      <c r="F7207" t="s">
        <v>15</v>
      </c>
      <c r="G7207" t="s">
        <v>18</v>
      </c>
      <c r="H7207" t="s">
        <v>19</v>
      </c>
      <c r="I7207">
        <v>1</v>
      </c>
      <c r="J7207">
        <v>0</v>
      </c>
      <c r="K7207">
        <v>0</v>
      </c>
    </row>
    <row r="7208" spans="1:11" x14ac:dyDescent="0.25">
      <c r="A7208" t="str">
        <f>"9032"</f>
        <v>9032</v>
      </c>
      <c r="B7208" t="str">
        <f t="shared" si="471"/>
        <v>1</v>
      </c>
      <c r="C7208" t="str">
        <f t="shared" si="472"/>
        <v>389</v>
      </c>
      <c r="D7208" t="str">
        <f>"5"</f>
        <v>5</v>
      </c>
      <c r="E7208" t="str">
        <f>"1-389-5"</f>
        <v>1-389-5</v>
      </c>
      <c r="F7208" t="s">
        <v>15</v>
      </c>
      <c r="G7208" t="s">
        <v>18</v>
      </c>
      <c r="H7208" t="s">
        <v>19</v>
      </c>
      <c r="I7208">
        <v>0</v>
      </c>
      <c r="J7208">
        <v>0</v>
      </c>
      <c r="K7208">
        <v>0</v>
      </c>
    </row>
    <row r="7209" spans="1:11" x14ac:dyDescent="0.25">
      <c r="A7209" t="str">
        <f>"9033"</f>
        <v>9033</v>
      </c>
      <c r="B7209" t="str">
        <f t="shared" si="471"/>
        <v>1</v>
      </c>
      <c r="C7209" t="str">
        <f t="shared" si="472"/>
        <v>389</v>
      </c>
      <c r="D7209" t="str">
        <f>"20"</f>
        <v>20</v>
      </c>
      <c r="E7209" t="str">
        <f>"1-389-20"</f>
        <v>1-389-20</v>
      </c>
      <c r="F7209" t="s">
        <v>15</v>
      </c>
      <c r="G7209" t="s">
        <v>18</v>
      </c>
      <c r="H7209" t="s">
        <v>19</v>
      </c>
      <c r="I7209">
        <v>0</v>
      </c>
      <c r="J7209">
        <v>0</v>
      </c>
      <c r="K7209">
        <v>0</v>
      </c>
    </row>
    <row r="7210" spans="1:11" x14ac:dyDescent="0.25">
      <c r="A7210" t="str">
        <f>"9034"</f>
        <v>9034</v>
      </c>
      <c r="B7210" t="str">
        <f t="shared" si="471"/>
        <v>1</v>
      </c>
      <c r="C7210" t="str">
        <f t="shared" ref="C7210:C7233" si="473">"390"</f>
        <v>390</v>
      </c>
      <c r="D7210" t="str">
        <f>"15"</f>
        <v>15</v>
      </c>
      <c r="E7210" t="str">
        <f>"1-390-15"</f>
        <v>1-390-15</v>
      </c>
      <c r="F7210" t="s">
        <v>15</v>
      </c>
      <c r="G7210" t="s">
        <v>20</v>
      </c>
      <c r="H7210" t="s">
        <v>21</v>
      </c>
      <c r="I7210">
        <v>0</v>
      </c>
      <c r="J7210">
        <v>0</v>
      </c>
      <c r="K7210">
        <v>1</v>
      </c>
    </row>
    <row r="7211" spans="1:11" x14ac:dyDescent="0.25">
      <c r="A7211" t="str">
        <f>"9035"</f>
        <v>9035</v>
      </c>
      <c r="B7211" t="str">
        <f t="shared" si="471"/>
        <v>1</v>
      </c>
      <c r="C7211" t="str">
        <f t="shared" si="473"/>
        <v>390</v>
      </c>
      <c r="D7211" t="str">
        <f>"22"</f>
        <v>22</v>
      </c>
      <c r="E7211" t="str">
        <f>"1-390-22"</f>
        <v>1-390-22</v>
      </c>
      <c r="F7211" t="s">
        <v>15</v>
      </c>
      <c r="G7211" t="s">
        <v>20</v>
      </c>
      <c r="H7211" t="s">
        <v>21</v>
      </c>
      <c r="I7211">
        <v>1</v>
      </c>
      <c r="J7211">
        <v>0</v>
      </c>
      <c r="K7211">
        <v>0</v>
      </c>
    </row>
    <row r="7212" spans="1:11" x14ac:dyDescent="0.25">
      <c r="A7212" t="str">
        <f>"9036"</f>
        <v>9036</v>
      </c>
      <c r="B7212" t="str">
        <f t="shared" si="471"/>
        <v>1</v>
      </c>
      <c r="C7212" t="str">
        <f t="shared" si="473"/>
        <v>390</v>
      </c>
      <c r="D7212" t="str">
        <f>"16"</f>
        <v>16</v>
      </c>
      <c r="E7212" t="str">
        <f>"1-390-16"</f>
        <v>1-390-16</v>
      </c>
      <c r="F7212" t="s">
        <v>15</v>
      </c>
      <c r="G7212" t="s">
        <v>20</v>
      </c>
      <c r="H7212" t="s">
        <v>21</v>
      </c>
      <c r="I7212">
        <v>1</v>
      </c>
      <c r="J7212">
        <v>0</v>
      </c>
      <c r="K7212">
        <v>0</v>
      </c>
    </row>
    <row r="7213" spans="1:11" x14ac:dyDescent="0.25">
      <c r="A7213" t="str">
        <f>"9037"</f>
        <v>9037</v>
      </c>
      <c r="B7213" t="str">
        <f t="shared" si="471"/>
        <v>1</v>
      </c>
      <c r="C7213" t="str">
        <f t="shared" si="473"/>
        <v>390</v>
      </c>
      <c r="D7213" t="str">
        <f>"5"</f>
        <v>5</v>
      </c>
      <c r="E7213" t="str">
        <f>"1-390-5"</f>
        <v>1-390-5</v>
      </c>
      <c r="F7213" t="s">
        <v>15</v>
      </c>
      <c r="G7213" t="s">
        <v>20</v>
      </c>
      <c r="H7213" t="s">
        <v>21</v>
      </c>
      <c r="I7213">
        <v>0</v>
      </c>
      <c r="J7213">
        <v>0</v>
      </c>
      <c r="K7213">
        <v>1</v>
      </c>
    </row>
    <row r="7214" spans="1:11" x14ac:dyDescent="0.25">
      <c r="A7214" t="str">
        <f>"9038"</f>
        <v>9038</v>
      </c>
      <c r="B7214" t="str">
        <f t="shared" si="471"/>
        <v>1</v>
      </c>
      <c r="C7214" t="str">
        <f t="shared" si="473"/>
        <v>390</v>
      </c>
      <c r="D7214" t="str">
        <f>"17"</f>
        <v>17</v>
      </c>
      <c r="E7214" t="str">
        <f>"1-390-17"</f>
        <v>1-390-17</v>
      </c>
      <c r="F7214" t="s">
        <v>15</v>
      </c>
      <c r="G7214" t="s">
        <v>20</v>
      </c>
      <c r="H7214" t="s">
        <v>21</v>
      </c>
      <c r="I7214">
        <v>1</v>
      </c>
      <c r="J7214">
        <v>0</v>
      </c>
      <c r="K7214">
        <v>0</v>
      </c>
    </row>
    <row r="7215" spans="1:11" x14ac:dyDescent="0.25">
      <c r="A7215" t="str">
        <f>"9039"</f>
        <v>9039</v>
      </c>
      <c r="B7215" t="str">
        <f t="shared" si="471"/>
        <v>1</v>
      </c>
      <c r="C7215" t="str">
        <f t="shared" si="473"/>
        <v>390</v>
      </c>
      <c r="D7215" t="str">
        <f>"1"</f>
        <v>1</v>
      </c>
      <c r="E7215" t="str">
        <f>"1-390-1"</f>
        <v>1-390-1</v>
      </c>
      <c r="F7215" t="s">
        <v>15</v>
      </c>
      <c r="G7215" t="s">
        <v>20</v>
      </c>
      <c r="H7215" t="s">
        <v>21</v>
      </c>
      <c r="I7215">
        <v>1</v>
      </c>
      <c r="J7215">
        <v>0</v>
      </c>
      <c r="K7215">
        <v>0</v>
      </c>
    </row>
    <row r="7216" spans="1:11" x14ac:dyDescent="0.25">
      <c r="A7216" t="str">
        <f>"9040"</f>
        <v>9040</v>
      </c>
      <c r="B7216" t="str">
        <f t="shared" si="471"/>
        <v>1</v>
      </c>
      <c r="C7216" t="str">
        <f t="shared" si="473"/>
        <v>390</v>
      </c>
      <c r="D7216" t="str">
        <f>"18"</f>
        <v>18</v>
      </c>
      <c r="E7216" t="str">
        <f>"1-390-18"</f>
        <v>1-390-18</v>
      </c>
      <c r="F7216" t="s">
        <v>15</v>
      </c>
      <c r="G7216" t="s">
        <v>20</v>
      </c>
      <c r="H7216" t="s">
        <v>21</v>
      </c>
      <c r="I7216">
        <v>0</v>
      </c>
      <c r="J7216">
        <v>1</v>
      </c>
      <c r="K7216">
        <v>0</v>
      </c>
    </row>
    <row r="7217" spans="1:11" x14ac:dyDescent="0.25">
      <c r="A7217" t="str">
        <f>"9041"</f>
        <v>9041</v>
      </c>
      <c r="B7217" t="str">
        <f t="shared" si="471"/>
        <v>1</v>
      </c>
      <c r="C7217" t="str">
        <f t="shared" si="473"/>
        <v>390</v>
      </c>
      <c r="D7217" t="str">
        <f>"7"</f>
        <v>7</v>
      </c>
      <c r="E7217" t="str">
        <f>"1-390-7"</f>
        <v>1-390-7</v>
      </c>
      <c r="F7217" t="s">
        <v>15</v>
      </c>
      <c r="G7217" t="s">
        <v>20</v>
      </c>
      <c r="H7217" t="s">
        <v>21</v>
      </c>
      <c r="I7217">
        <v>1</v>
      </c>
      <c r="J7217">
        <v>0</v>
      </c>
      <c r="K7217">
        <v>0</v>
      </c>
    </row>
    <row r="7218" spans="1:11" x14ac:dyDescent="0.25">
      <c r="A7218" t="str">
        <f>"9042"</f>
        <v>9042</v>
      </c>
      <c r="B7218" t="str">
        <f t="shared" si="471"/>
        <v>1</v>
      </c>
      <c r="C7218" t="str">
        <f t="shared" si="473"/>
        <v>390</v>
      </c>
      <c r="D7218" t="str">
        <f>"19"</f>
        <v>19</v>
      </c>
      <c r="E7218" t="str">
        <f>"1-390-19"</f>
        <v>1-390-19</v>
      </c>
      <c r="F7218" t="s">
        <v>15</v>
      </c>
      <c r="G7218" t="s">
        <v>20</v>
      </c>
      <c r="H7218" t="s">
        <v>21</v>
      </c>
      <c r="I7218">
        <v>1</v>
      </c>
      <c r="J7218">
        <v>0</v>
      </c>
      <c r="K7218">
        <v>0</v>
      </c>
    </row>
    <row r="7219" spans="1:11" x14ac:dyDescent="0.25">
      <c r="A7219" t="str">
        <f>"9043"</f>
        <v>9043</v>
      </c>
      <c r="B7219" t="str">
        <f t="shared" si="471"/>
        <v>1</v>
      </c>
      <c r="C7219" t="str">
        <f t="shared" si="473"/>
        <v>390</v>
      </c>
      <c r="D7219" t="str">
        <f>"3"</f>
        <v>3</v>
      </c>
      <c r="E7219" t="str">
        <f>"1-390-3"</f>
        <v>1-390-3</v>
      </c>
      <c r="F7219" t="s">
        <v>15</v>
      </c>
      <c r="G7219" t="s">
        <v>20</v>
      </c>
      <c r="H7219" t="s">
        <v>21</v>
      </c>
      <c r="I7219">
        <v>1</v>
      </c>
      <c r="J7219">
        <v>0</v>
      </c>
      <c r="K7219">
        <v>0</v>
      </c>
    </row>
    <row r="7220" spans="1:11" x14ac:dyDescent="0.25">
      <c r="A7220" t="str">
        <f>"9044"</f>
        <v>9044</v>
      </c>
      <c r="B7220" t="str">
        <f t="shared" si="471"/>
        <v>1</v>
      </c>
      <c r="C7220" t="str">
        <f t="shared" si="473"/>
        <v>390</v>
      </c>
      <c r="D7220" t="str">
        <f>"20"</f>
        <v>20</v>
      </c>
      <c r="E7220" t="str">
        <f>"1-390-20"</f>
        <v>1-390-20</v>
      </c>
      <c r="F7220" t="s">
        <v>15</v>
      </c>
      <c r="G7220" t="s">
        <v>20</v>
      </c>
      <c r="H7220" t="s">
        <v>21</v>
      </c>
      <c r="I7220">
        <v>0</v>
      </c>
      <c r="J7220">
        <v>0</v>
      </c>
      <c r="K7220">
        <v>1</v>
      </c>
    </row>
    <row r="7221" spans="1:11" x14ac:dyDescent="0.25">
      <c r="A7221" t="str">
        <f>"9045"</f>
        <v>9045</v>
      </c>
      <c r="B7221" t="str">
        <f t="shared" si="471"/>
        <v>1</v>
      </c>
      <c r="C7221" t="str">
        <f t="shared" si="473"/>
        <v>390</v>
      </c>
      <c r="D7221" t="str">
        <f>"4"</f>
        <v>4</v>
      </c>
      <c r="E7221" t="str">
        <f>"1-390-4"</f>
        <v>1-390-4</v>
      </c>
      <c r="F7221" t="s">
        <v>15</v>
      </c>
      <c r="G7221" t="s">
        <v>20</v>
      </c>
      <c r="H7221" t="s">
        <v>21</v>
      </c>
      <c r="I7221">
        <v>0</v>
      </c>
      <c r="J7221">
        <v>0</v>
      </c>
      <c r="K7221">
        <v>1</v>
      </c>
    </row>
    <row r="7222" spans="1:11" x14ac:dyDescent="0.25">
      <c r="A7222" t="str">
        <f>"9046"</f>
        <v>9046</v>
      </c>
      <c r="B7222" t="str">
        <f t="shared" si="471"/>
        <v>1</v>
      </c>
      <c r="C7222" t="str">
        <f t="shared" si="473"/>
        <v>390</v>
      </c>
      <c r="D7222" t="str">
        <f>"21"</f>
        <v>21</v>
      </c>
      <c r="E7222" t="str">
        <f>"1-390-21"</f>
        <v>1-390-21</v>
      </c>
      <c r="F7222" t="s">
        <v>15</v>
      </c>
      <c r="G7222" t="s">
        <v>20</v>
      </c>
      <c r="H7222" t="s">
        <v>21</v>
      </c>
      <c r="I7222">
        <v>0</v>
      </c>
      <c r="J7222">
        <v>0</v>
      </c>
      <c r="K7222">
        <v>1</v>
      </c>
    </row>
    <row r="7223" spans="1:11" x14ac:dyDescent="0.25">
      <c r="A7223" t="str">
        <f>"9047"</f>
        <v>9047</v>
      </c>
      <c r="B7223" t="str">
        <f t="shared" si="471"/>
        <v>1</v>
      </c>
      <c r="C7223" t="str">
        <f t="shared" si="473"/>
        <v>390</v>
      </c>
      <c r="D7223" t="str">
        <f>"13"</f>
        <v>13</v>
      </c>
      <c r="E7223" t="str">
        <f>"1-390-13"</f>
        <v>1-390-13</v>
      </c>
      <c r="F7223" t="s">
        <v>15</v>
      </c>
      <c r="G7223" t="s">
        <v>20</v>
      </c>
      <c r="H7223" t="s">
        <v>21</v>
      </c>
      <c r="I7223">
        <v>1</v>
      </c>
      <c r="J7223">
        <v>0</v>
      </c>
      <c r="K7223">
        <v>0</v>
      </c>
    </row>
    <row r="7224" spans="1:11" x14ac:dyDescent="0.25">
      <c r="A7224" t="str">
        <f>"9048"</f>
        <v>9048</v>
      </c>
      <c r="B7224" t="str">
        <f t="shared" si="471"/>
        <v>1</v>
      </c>
      <c r="C7224" t="str">
        <f t="shared" si="473"/>
        <v>390</v>
      </c>
      <c r="D7224" t="str">
        <f>"23"</f>
        <v>23</v>
      </c>
      <c r="E7224" t="str">
        <f>"1-390-23"</f>
        <v>1-390-23</v>
      </c>
      <c r="F7224" t="s">
        <v>15</v>
      </c>
      <c r="G7224" t="s">
        <v>20</v>
      </c>
      <c r="H7224" t="s">
        <v>21</v>
      </c>
      <c r="I7224">
        <v>1</v>
      </c>
      <c r="J7224">
        <v>0</v>
      </c>
      <c r="K7224">
        <v>0</v>
      </c>
    </row>
    <row r="7225" spans="1:11" x14ac:dyDescent="0.25">
      <c r="A7225" t="str">
        <f>"9049"</f>
        <v>9049</v>
      </c>
      <c r="B7225" t="str">
        <f t="shared" si="471"/>
        <v>1</v>
      </c>
      <c r="C7225" t="str">
        <f t="shared" si="473"/>
        <v>390</v>
      </c>
      <c r="D7225" t="str">
        <f>"11"</f>
        <v>11</v>
      </c>
      <c r="E7225" t="str">
        <f>"1-390-11"</f>
        <v>1-390-11</v>
      </c>
      <c r="F7225" t="s">
        <v>15</v>
      </c>
      <c r="G7225" t="s">
        <v>20</v>
      </c>
      <c r="H7225" t="s">
        <v>21</v>
      </c>
      <c r="I7225">
        <v>1</v>
      </c>
      <c r="J7225">
        <v>0</v>
      </c>
      <c r="K7225">
        <v>0</v>
      </c>
    </row>
    <row r="7226" spans="1:11" x14ac:dyDescent="0.25">
      <c r="A7226" t="str">
        <f>"9050"</f>
        <v>9050</v>
      </c>
      <c r="B7226" t="str">
        <f t="shared" ref="B7226:B7285" si="474">"1"</f>
        <v>1</v>
      </c>
      <c r="C7226" t="str">
        <f t="shared" si="473"/>
        <v>390</v>
      </c>
      <c r="D7226" t="str">
        <f>"24"</f>
        <v>24</v>
      </c>
      <c r="E7226" t="str">
        <f>"1-390-24"</f>
        <v>1-390-24</v>
      </c>
      <c r="F7226" t="s">
        <v>15</v>
      </c>
      <c r="G7226" t="s">
        <v>20</v>
      </c>
      <c r="H7226" t="s">
        <v>21</v>
      </c>
      <c r="I7226">
        <v>1</v>
      </c>
      <c r="J7226">
        <v>0</v>
      </c>
      <c r="K7226">
        <v>0</v>
      </c>
    </row>
    <row r="7227" spans="1:11" x14ac:dyDescent="0.25">
      <c r="A7227" t="str">
        <f>"9051"</f>
        <v>9051</v>
      </c>
      <c r="B7227" t="str">
        <f t="shared" si="474"/>
        <v>1</v>
      </c>
      <c r="C7227" t="str">
        <f t="shared" si="473"/>
        <v>390</v>
      </c>
      <c r="D7227" t="str">
        <f>"14"</f>
        <v>14</v>
      </c>
      <c r="E7227" t="str">
        <f>"1-390-14"</f>
        <v>1-390-14</v>
      </c>
      <c r="F7227" t="s">
        <v>15</v>
      </c>
      <c r="G7227" t="s">
        <v>20</v>
      </c>
      <c r="H7227" t="s">
        <v>21</v>
      </c>
      <c r="I7227">
        <v>0</v>
      </c>
      <c r="J7227">
        <v>0</v>
      </c>
      <c r="K7227">
        <v>1</v>
      </c>
    </row>
    <row r="7228" spans="1:11" x14ac:dyDescent="0.25">
      <c r="A7228" t="str">
        <f>"9052"</f>
        <v>9052</v>
      </c>
      <c r="B7228" t="str">
        <f t="shared" si="474"/>
        <v>1</v>
      </c>
      <c r="C7228" t="str">
        <f t="shared" si="473"/>
        <v>390</v>
      </c>
      <c r="D7228" t="str">
        <f>"10"</f>
        <v>10</v>
      </c>
      <c r="E7228" t="str">
        <f>"1-390-10"</f>
        <v>1-390-10</v>
      </c>
      <c r="F7228" t="s">
        <v>15</v>
      </c>
      <c r="G7228" t="s">
        <v>20</v>
      </c>
      <c r="H7228" t="s">
        <v>21</v>
      </c>
      <c r="I7228">
        <v>0</v>
      </c>
      <c r="J7228">
        <v>0</v>
      </c>
      <c r="K7228">
        <v>1</v>
      </c>
    </row>
    <row r="7229" spans="1:11" x14ac:dyDescent="0.25">
      <c r="A7229" t="str">
        <f>"9053"</f>
        <v>9053</v>
      </c>
      <c r="B7229" t="str">
        <f t="shared" si="474"/>
        <v>1</v>
      </c>
      <c r="C7229" t="str">
        <f t="shared" si="473"/>
        <v>390</v>
      </c>
      <c r="D7229" t="str">
        <f>"6"</f>
        <v>6</v>
      </c>
      <c r="E7229" t="str">
        <f>"1-390-6"</f>
        <v>1-390-6</v>
      </c>
      <c r="F7229" t="s">
        <v>15</v>
      </c>
      <c r="G7229" t="s">
        <v>20</v>
      </c>
      <c r="H7229" t="s">
        <v>21</v>
      </c>
      <c r="I7229">
        <v>1</v>
      </c>
      <c r="J7229">
        <v>0</v>
      </c>
      <c r="K7229">
        <v>0</v>
      </c>
    </row>
    <row r="7230" spans="1:11" x14ac:dyDescent="0.25">
      <c r="A7230" t="str">
        <f>"9054"</f>
        <v>9054</v>
      </c>
      <c r="B7230" t="str">
        <f t="shared" si="474"/>
        <v>1</v>
      </c>
      <c r="C7230" t="str">
        <f t="shared" si="473"/>
        <v>390</v>
      </c>
      <c r="D7230" t="str">
        <f>"8"</f>
        <v>8</v>
      </c>
      <c r="E7230" t="str">
        <f>"1-390-8"</f>
        <v>1-390-8</v>
      </c>
      <c r="F7230" t="s">
        <v>15</v>
      </c>
      <c r="G7230" t="s">
        <v>20</v>
      </c>
      <c r="H7230" t="s">
        <v>21</v>
      </c>
      <c r="I7230">
        <v>1</v>
      </c>
      <c r="J7230">
        <v>0</v>
      </c>
      <c r="K7230">
        <v>0</v>
      </c>
    </row>
    <row r="7231" spans="1:11" x14ac:dyDescent="0.25">
      <c r="A7231" t="str">
        <f>"9055"</f>
        <v>9055</v>
      </c>
      <c r="B7231" t="str">
        <f t="shared" si="474"/>
        <v>1</v>
      </c>
      <c r="C7231" t="str">
        <f t="shared" si="473"/>
        <v>390</v>
      </c>
      <c r="D7231" t="str">
        <f>"9"</f>
        <v>9</v>
      </c>
      <c r="E7231" t="str">
        <f>"1-390-9"</f>
        <v>1-390-9</v>
      </c>
      <c r="F7231" t="s">
        <v>15</v>
      </c>
      <c r="G7231" t="s">
        <v>20</v>
      </c>
      <c r="H7231" t="s">
        <v>21</v>
      </c>
      <c r="I7231">
        <v>0</v>
      </c>
      <c r="J7231">
        <v>1</v>
      </c>
      <c r="K7231">
        <v>0</v>
      </c>
    </row>
    <row r="7232" spans="1:11" x14ac:dyDescent="0.25">
      <c r="A7232" t="str">
        <f>"9056"</f>
        <v>9056</v>
      </c>
      <c r="B7232" t="str">
        <f t="shared" si="474"/>
        <v>1</v>
      </c>
      <c r="C7232" t="str">
        <f t="shared" si="473"/>
        <v>390</v>
      </c>
      <c r="D7232" t="str">
        <f>"12"</f>
        <v>12</v>
      </c>
      <c r="E7232" t="str">
        <f>"1-390-12"</f>
        <v>1-390-12</v>
      </c>
      <c r="F7232" t="s">
        <v>15</v>
      </c>
      <c r="G7232" t="s">
        <v>20</v>
      </c>
      <c r="H7232" t="s">
        <v>21</v>
      </c>
      <c r="I7232">
        <v>0</v>
      </c>
      <c r="J7232">
        <v>0</v>
      </c>
      <c r="K7232">
        <v>1</v>
      </c>
    </row>
    <row r="7233" spans="1:11" x14ac:dyDescent="0.25">
      <c r="A7233" t="str">
        <f>"9057"</f>
        <v>9057</v>
      </c>
      <c r="B7233" t="str">
        <f t="shared" si="474"/>
        <v>1</v>
      </c>
      <c r="C7233" t="str">
        <f t="shared" si="473"/>
        <v>390</v>
      </c>
      <c r="D7233" t="str">
        <f>"2"</f>
        <v>2</v>
      </c>
      <c r="E7233" t="str">
        <f>"1-390-2"</f>
        <v>1-390-2</v>
      </c>
      <c r="F7233" t="s">
        <v>15</v>
      </c>
      <c r="G7233" t="s">
        <v>20</v>
      </c>
      <c r="H7233" t="s">
        <v>21</v>
      </c>
      <c r="I7233">
        <v>0</v>
      </c>
      <c r="J7233">
        <v>0</v>
      </c>
      <c r="K7233">
        <v>0</v>
      </c>
    </row>
    <row r="7234" spans="1:11" x14ac:dyDescent="0.25">
      <c r="A7234" t="str">
        <f>"9059"</f>
        <v>9059</v>
      </c>
      <c r="B7234" t="str">
        <f t="shared" si="474"/>
        <v>1</v>
      </c>
      <c r="C7234" t="str">
        <f t="shared" ref="C7234:C7248" si="475">"391"</f>
        <v>391</v>
      </c>
      <c r="D7234" t="str">
        <f>"15"</f>
        <v>15</v>
      </c>
      <c r="E7234" t="str">
        <f>"1-391-15"</f>
        <v>1-391-15</v>
      </c>
      <c r="F7234" t="s">
        <v>15</v>
      </c>
      <c r="G7234" t="s">
        <v>18</v>
      </c>
      <c r="H7234" t="s">
        <v>19</v>
      </c>
      <c r="I7234">
        <v>1</v>
      </c>
      <c r="J7234">
        <v>0</v>
      </c>
      <c r="K7234">
        <v>0</v>
      </c>
    </row>
    <row r="7235" spans="1:11" x14ac:dyDescent="0.25">
      <c r="A7235" t="str">
        <f>"9060"</f>
        <v>9060</v>
      </c>
      <c r="B7235" t="str">
        <f t="shared" si="474"/>
        <v>1</v>
      </c>
      <c r="C7235" t="str">
        <f t="shared" si="475"/>
        <v>391</v>
      </c>
      <c r="D7235" t="str">
        <f>"1"</f>
        <v>1</v>
      </c>
      <c r="E7235" t="str">
        <f>"1-391-1"</f>
        <v>1-391-1</v>
      </c>
      <c r="F7235" t="s">
        <v>15</v>
      </c>
      <c r="G7235" t="s">
        <v>20</v>
      </c>
      <c r="H7235" t="s">
        <v>21</v>
      </c>
      <c r="I7235">
        <v>1</v>
      </c>
      <c r="J7235">
        <v>0</v>
      </c>
      <c r="K7235">
        <v>0</v>
      </c>
    </row>
    <row r="7236" spans="1:11" x14ac:dyDescent="0.25">
      <c r="A7236" t="str">
        <f>"9062"</f>
        <v>9062</v>
      </c>
      <c r="B7236" t="str">
        <f t="shared" si="474"/>
        <v>1</v>
      </c>
      <c r="C7236" t="str">
        <f t="shared" si="475"/>
        <v>391</v>
      </c>
      <c r="D7236" t="str">
        <f>"3"</f>
        <v>3</v>
      </c>
      <c r="E7236" t="str">
        <f>"1-391-3"</f>
        <v>1-391-3</v>
      </c>
      <c r="F7236" t="s">
        <v>15</v>
      </c>
      <c r="G7236" t="s">
        <v>20</v>
      </c>
      <c r="H7236" t="s">
        <v>21</v>
      </c>
      <c r="I7236">
        <v>1</v>
      </c>
      <c r="J7236">
        <v>0</v>
      </c>
      <c r="K7236">
        <v>0</v>
      </c>
    </row>
    <row r="7237" spans="1:11" x14ac:dyDescent="0.25">
      <c r="A7237" t="str">
        <f>"9063"</f>
        <v>9063</v>
      </c>
      <c r="B7237" t="str">
        <f t="shared" si="474"/>
        <v>1</v>
      </c>
      <c r="C7237" t="str">
        <f t="shared" si="475"/>
        <v>391</v>
      </c>
      <c r="D7237" t="str">
        <f>"6"</f>
        <v>6</v>
      </c>
      <c r="E7237" t="str">
        <f>"1-391-6"</f>
        <v>1-391-6</v>
      </c>
      <c r="F7237" t="s">
        <v>15</v>
      </c>
      <c r="G7237" t="s">
        <v>20</v>
      </c>
      <c r="H7237" t="s">
        <v>21</v>
      </c>
      <c r="I7237">
        <v>0</v>
      </c>
      <c r="J7237">
        <v>1</v>
      </c>
      <c r="K7237">
        <v>0</v>
      </c>
    </row>
    <row r="7238" spans="1:11" x14ac:dyDescent="0.25">
      <c r="A7238" t="str">
        <f>"9064"</f>
        <v>9064</v>
      </c>
      <c r="B7238" t="str">
        <f t="shared" si="474"/>
        <v>1</v>
      </c>
      <c r="C7238" t="str">
        <f t="shared" si="475"/>
        <v>391</v>
      </c>
      <c r="D7238" t="str">
        <f>"12"</f>
        <v>12</v>
      </c>
      <c r="E7238" t="str">
        <f>"1-391-12"</f>
        <v>1-391-12</v>
      </c>
      <c r="F7238" t="s">
        <v>15</v>
      </c>
      <c r="G7238" t="s">
        <v>20</v>
      </c>
      <c r="H7238" t="s">
        <v>21</v>
      </c>
      <c r="I7238">
        <v>1</v>
      </c>
      <c r="J7238">
        <v>0</v>
      </c>
      <c r="K7238">
        <v>0</v>
      </c>
    </row>
    <row r="7239" spans="1:11" x14ac:dyDescent="0.25">
      <c r="A7239" t="str">
        <f>"9065"</f>
        <v>9065</v>
      </c>
      <c r="B7239" t="str">
        <f t="shared" si="474"/>
        <v>1</v>
      </c>
      <c r="C7239" t="str">
        <f t="shared" si="475"/>
        <v>391</v>
      </c>
      <c r="D7239" t="str">
        <f>"10"</f>
        <v>10</v>
      </c>
      <c r="E7239" t="str">
        <f>"1-391-10"</f>
        <v>1-391-10</v>
      </c>
      <c r="F7239" t="s">
        <v>15</v>
      </c>
      <c r="G7239" t="s">
        <v>20</v>
      </c>
      <c r="H7239" t="s">
        <v>21</v>
      </c>
      <c r="I7239">
        <v>0</v>
      </c>
      <c r="J7239">
        <v>1</v>
      </c>
      <c r="K7239">
        <v>0</v>
      </c>
    </row>
    <row r="7240" spans="1:11" x14ac:dyDescent="0.25">
      <c r="A7240" t="str">
        <f>"9066"</f>
        <v>9066</v>
      </c>
      <c r="B7240" t="str">
        <f t="shared" si="474"/>
        <v>1</v>
      </c>
      <c r="C7240" t="str">
        <f t="shared" si="475"/>
        <v>391</v>
      </c>
      <c r="D7240" t="str">
        <f>"7"</f>
        <v>7</v>
      </c>
      <c r="E7240" t="str">
        <f>"1-391-7"</f>
        <v>1-391-7</v>
      </c>
      <c r="F7240" t="s">
        <v>15</v>
      </c>
      <c r="G7240" t="s">
        <v>20</v>
      </c>
      <c r="H7240" t="s">
        <v>21</v>
      </c>
      <c r="I7240">
        <v>0</v>
      </c>
      <c r="J7240">
        <v>0</v>
      </c>
      <c r="K7240">
        <v>1</v>
      </c>
    </row>
    <row r="7241" spans="1:11" x14ac:dyDescent="0.25">
      <c r="A7241" t="str">
        <f>"9067"</f>
        <v>9067</v>
      </c>
      <c r="B7241" t="str">
        <f t="shared" si="474"/>
        <v>1</v>
      </c>
      <c r="C7241" t="str">
        <f t="shared" si="475"/>
        <v>391</v>
      </c>
      <c r="D7241" t="str">
        <f>"4"</f>
        <v>4</v>
      </c>
      <c r="E7241" t="str">
        <f>"1-391-4"</f>
        <v>1-391-4</v>
      </c>
      <c r="F7241" t="s">
        <v>15</v>
      </c>
      <c r="G7241" t="s">
        <v>20</v>
      </c>
      <c r="H7241" t="s">
        <v>21</v>
      </c>
      <c r="I7241">
        <v>1</v>
      </c>
      <c r="J7241">
        <v>0</v>
      </c>
      <c r="K7241">
        <v>0</v>
      </c>
    </row>
    <row r="7242" spans="1:11" x14ac:dyDescent="0.25">
      <c r="A7242" t="str">
        <f>"9068"</f>
        <v>9068</v>
      </c>
      <c r="B7242" t="str">
        <f t="shared" si="474"/>
        <v>1</v>
      </c>
      <c r="C7242" t="str">
        <f t="shared" si="475"/>
        <v>391</v>
      </c>
      <c r="D7242" t="str">
        <f>"8"</f>
        <v>8</v>
      </c>
      <c r="E7242" t="str">
        <f>"1-391-8"</f>
        <v>1-391-8</v>
      </c>
      <c r="F7242" t="s">
        <v>15</v>
      </c>
      <c r="G7242" t="s">
        <v>20</v>
      </c>
      <c r="H7242" t="s">
        <v>21</v>
      </c>
      <c r="I7242">
        <v>1</v>
      </c>
      <c r="J7242">
        <v>0</v>
      </c>
      <c r="K7242">
        <v>0</v>
      </c>
    </row>
    <row r="7243" spans="1:11" x14ac:dyDescent="0.25">
      <c r="A7243" t="str">
        <f>"9069"</f>
        <v>9069</v>
      </c>
      <c r="B7243" t="str">
        <f t="shared" si="474"/>
        <v>1</v>
      </c>
      <c r="C7243" t="str">
        <f t="shared" si="475"/>
        <v>391</v>
      </c>
      <c r="D7243" t="str">
        <f>"11"</f>
        <v>11</v>
      </c>
      <c r="E7243" t="str">
        <f>"1-391-11"</f>
        <v>1-391-11</v>
      </c>
      <c r="F7243" t="s">
        <v>15</v>
      </c>
      <c r="G7243" t="s">
        <v>20</v>
      </c>
      <c r="H7243" t="s">
        <v>21</v>
      </c>
      <c r="I7243">
        <v>1</v>
      </c>
      <c r="J7243">
        <v>0</v>
      </c>
      <c r="K7243">
        <v>0</v>
      </c>
    </row>
    <row r="7244" spans="1:11" x14ac:dyDescent="0.25">
      <c r="A7244" t="str">
        <f>"9070"</f>
        <v>9070</v>
      </c>
      <c r="B7244" t="str">
        <f t="shared" si="474"/>
        <v>1</v>
      </c>
      <c r="C7244" t="str">
        <f t="shared" si="475"/>
        <v>391</v>
      </c>
      <c r="D7244" t="str">
        <f>"2"</f>
        <v>2</v>
      </c>
      <c r="E7244" t="str">
        <f>"1-391-2"</f>
        <v>1-391-2</v>
      </c>
      <c r="F7244" t="s">
        <v>15</v>
      </c>
      <c r="G7244" t="s">
        <v>20</v>
      </c>
      <c r="H7244" t="s">
        <v>21</v>
      </c>
      <c r="I7244">
        <v>0</v>
      </c>
      <c r="J7244">
        <v>1</v>
      </c>
      <c r="K7244">
        <v>0</v>
      </c>
    </row>
    <row r="7245" spans="1:11" x14ac:dyDescent="0.25">
      <c r="A7245" t="str">
        <f>"9071"</f>
        <v>9071</v>
      </c>
      <c r="B7245" t="str">
        <f t="shared" si="474"/>
        <v>1</v>
      </c>
      <c r="C7245" t="str">
        <f t="shared" si="475"/>
        <v>391</v>
      </c>
      <c r="D7245" t="str">
        <f>"13"</f>
        <v>13</v>
      </c>
      <c r="E7245" t="str">
        <f>"1-391-13"</f>
        <v>1-391-13</v>
      </c>
      <c r="F7245" t="s">
        <v>15</v>
      </c>
      <c r="G7245" t="s">
        <v>16</v>
      </c>
      <c r="H7245" t="s">
        <v>17</v>
      </c>
      <c r="I7245">
        <v>1</v>
      </c>
      <c r="J7245">
        <v>0</v>
      </c>
      <c r="K7245">
        <v>0</v>
      </c>
    </row>
    <row r="7246" spans="1:11" x14ac:dyDescent="0.25">
      <c r="A7246" t="str">
        <f>"9072"</f>
        <v>9072</v>
      </c>
      <c r="B7246" t="str">
        <f t="shared" si="474"/>
        <v>1</v>
      </c>
      <c r="C7246" t="str">
        <f t="shared" si="475"/>
        <v>391</v>
      </c>
      <c r="D7246" t="str">
        <f>"5"</f>
        <v>5</v>
      </c>
      <c r="E7246" t="str">
        <f>"1-391-5"</f>
        <v>1-391-5</v>
      </c>
      <c r="F7246" t="s">
        <v>15</v>
      </c>
      <c r="G7246" t="s">
        <v>20</v>
      </c>
      <c r="H7246" t="s">
        <v>21</v>
      </c>
      <c r="I7246">
        <v>1</v>
      </c>
      <c r="J7246">
        <v>0</v>
      </c>
      <c r="K7246">
        <v>0</v>
      </c>
    </row>
    <row r="7247" spans="1:11" x14ac:dyDescent="0.25">
      <c r="A7247" t="str">
        <f>"9073"</f>
        <v>9073</v>
      </c>
      <c r="B7247" t="str">
        <f t="shared" si="474"/>
        <v>1</v>
      </c>
      <c r="C7247" t="str">
        <f t="shared" si="475"/>
        <v>391</v>
      </c>
      <c r="D7247" t="str">
        <f>"9"</f>
        <v>9</v>
      </c>
      <c r="E7247" t="str">
        <f>"1-391-9"</f>
        <v>1-391-9</v>
      </c>
      <c r="F7247" t="s">
        <v>15</v>
      </c>
      <c r="G7247" t="s">
        <v>20</v>
      </c>
      <c r="H7247" t="s">
        <v>21</v>
      </c>
      <c r="I7247">
        <v>0</v>
      </c>
      <c r="J7247">
        <v>0</v>
      </c>
      <c r="K7247">
        <v>0</v>
      </c>
    </row>
    <row r="7248" spans="1:11" x14ac:dyDescent="0.25">
      <c r="A7248" t="str">
        <f>"9074"</f>
        <v>9074</v>
      </c>
      <c r="B7248" t="str">
        <f t="shared" si="474"/>
        <v>1</v>
      </c>
      <c r="C7248" t="str">
        <f t="shared" si="475"/>
        <v>391</v>
      </c>
      <c r="D7248" t="str">
        <f>"14"</f>
        <v>14</v>
      </c>
      <c r="E7248" t="str">
        <f>"1-391-14"</f>
        <v>1-391-14</v>
      </c>
      <c r="F7248" t="s">
        <v>15</v>
      </c>
      <c r="G7248" t="s">
        <v>16</v>
      </c>
      <c r="H7248" t="s">
        <v>17</v>
      </c>
      <c r="I7248">
        <v>0</v>
      </c>
      <c r="J7248">
        <v>0</v>
      </c>
      <c r="K7248">
        <v>0</v>
      </c>
    </row>
    <row r="7249" spans="1:11" x14ac:dyDescent="0.25">
      <c r="A7249" t="str">
        <f>"9075"</f>
        <v>9075</v>
      </c>
      <c r="B7249" t="str">
        <f t="shared" si="474"/>
        <v>1</v>
      </c>
      <c r="C7249" t="str">
        <f t="shared" ref="C7249:C7271" si="476">"392"</f>
        <v>392</v>
      </c>
      <c r="D7249" t="str">
        <f>"15"</f>
        <v>15</v>
      </c>
      <c r="E7249" t="str">
        <f>"1-392-15"</f>
        <v>1-392-15</v>
      </c>
      <c r="F7249" t="s">
        <v>15</v>
      </c>
      <c r="G7249" t="s">
        <v>16</v>
      </c>
      <c r="H7249" t="s">
        <v>17</v>
      </c>
      <c r="I7249">
        <v>1</v>
      </c>
      <c r="J7249">
        <v>0</v>
      </c>
      <c r="K7249">
        <v>0</v>
      </c>
    </row>
    <row r="7250" spans="1:11" x14ac:dyDescent="0.25">
      <c r="A7250" t="str">
        <f>"9076"</f>
        <v>9076</v>
      </c>
      <c r="B7250" t="str">
        <f t="shared" si="474"/>
        <v>1</v>
      </c>
      <c r="C7250" t="str">
        <f t="shared" si="476"/>
        <v>392</v>
      </c>
      <c r="D7250" t="str">
        <f>"4"</f>
        <v>4</v>
      </c>
      <c r="E7250" t="str">
        <f>"1-392-4"</f>
        <v>1-392-4</v>
      </c>
      <c r="F7250" t="s">
        <v>15</v>
      </c>
      <c r="G7250" t="s">
        <v>16</v>
      </c>
      <c r="H7250" t="s">
        <v>17</v>
      </c>
      <c r="I7250">
        <v>1</v>
      </c>
      <c r="J7250">
        <v>0</v>
      </c>
      <c r="K7250">
        <v>0</v>
      </c>
    </row>
    <row r="7251" spans="1:11" x14ac:dyDescent="0.25">
      <c r="A7251" t="str">
        <f>"9077"</f>
        <v>9077</v>
      </c>
      <c r="B7251" t="str">
        <f t="shared" si="474"/>
        <v>1</v>
      </c>
      <c r="C7251" t="str">
        <f t="shared" si="476"/>
        <v>392</v>
      </c>
      <c r="D7251" t="str">
        <f>"16"</f>
        <v>16</v>
      </c>
      <c r="E7251" t="str">
        <f>"1-392-16"</f>
        <v>1-392-16</v>
      </c>
      <c r="F7251" t="s">
        <v>15</v>
      </c>
      <c r="G7251" t="s">
        <v>16</v>
      </c>
      <c r="H7251" t="s">
        <v>17</v>
      </c>
      <c r="I7251">
        <v>1</v>
      </c>
      <c r="J7251">
        <v>0</v>
      </c>
      <c r="K7251">
        <v>0</v>
      </c>
    </row>
    <row r="7252" spans="1:11" x14ac:dyDescent="0.25">
      <c r="A7252" t="str">
        <f>"9078"</f>
        <v>9078</v>
      </c>
      <c r="B7252" t="str">
        <f t="shared" si="474"/>
        <v>1</v>
      </c>
      <c r="C7252" t="str">
        <f t="shared" si="476"/>
        <v>392</v>
      </c>
      <c r="D7252" t="str">
        <f>"9"</f>
        <v>9</v>
      </c>
      <c r="E7252" t="str">
        <f>"1-392-9"</f>
        <v>1-392-9</v>
      </c>
      <c r="F7252" t="s">
        <v>15</v>
      </c>
      <c r="G7252" t="s">
        <v>18</v>
      </c>
      <c r="H7252" t="s">
        <v>19</v>
      </c>
      <c r="I7252">
        <v>1</v>
      </c>
      <c r="J7252">
        <v>0</v>
      </c>
      <c r="K7252">
        <v>0</v>
      </c>
    </row>
    <row r="7253" spans="1:11" x14ac:dyDescent="0.25">
      <c r="A7253" t="str">
        <f>"9079"</f>
        <v>9079</v>
      </c>
      <c r="B7253" t="str">
        <f t="shared" si="474"/>
        <v>1</v>
      </c>
      <c r="C7253" t="str">
        <f t="shared" si="476"/>
        <v>392</v>
      </c>
      <c r="D7253" t="str">
        <f>"17"</f>
        <v>17</v>
      </c>
      <c r="E7253" t="str">
        <f>"1-392-17"</f>
        <v>1-392-17</v>
      </c>
      <c r="F7253" t="s">
        <v>15</v>
      </c>
      <c r="G7253" t="s">
        <v>16</v>
      </c>
      <c r="H7253" t="s">
        <v>17</v>
      </c>
      <c r="I7253">
        <v>1</v>
      </c>
      <c r="J7253">
        <v>0</v>
      </c>
      <c r="K7253">
        <v>0</v>
      </c>
    </row>
    <row r="7254" spans="1:11" x14ac:dyDescent="0.25">
      <c r="A7254" t="str">
        <f>"9080"</f>
        <v>9080</v>
      </c>
      <c r="B7254" t="str">
        <f t="shared" si="474"/>
        <v>1</v>
      </c>
      <c r="C7254" t="str">
        <f t="shared" si="476"/>
        <v>392</v>
      </c>
      <c r="D7254" t="str">
        <f>"5"</f>
        <v>5</v>
      </c>
      <c r="E7254" t="str">
        <f>"1-392-5"</f>
        <v>1-392-5</v>
      </c>
      <c r="F7254" t="s">
        <v>15</v>
      </c>
      <c r="G7254" t="s">
        <v>16</v>
      </c>
      <c r="H7254" t="s">
        <v>17</v>
      </c>
      <c r="I7254">
        <v>1</v>
      </c>
      <c r="J7254">
        <v>0</v>
      </c>
      <c r="K7254">
        <v>0</v>
      </c>
    </row>
    <row r="7255" spans="1:11" x14ac:dyDescent="0.25">
      <c r="A7255" t="str">
        <f>"9081"</f>
        <v>9081</v>
      </c>
      <c r="B7255" t="str">
        <f t="shared" si="474"/>
        <v>1</v>
      </c>
      <c r="C7255" t="str">
        <f t="shared" si="476"/>
        <v>392</v>
      </c>
      <c r="D7255" t="str">
        <f>"18"</f>
        <v>18</v>
      </c>
      <c r="E7255" t="str">
        <f>"1-392-18"</f>
        <v>1-392-18</v>
      </c>
      <c r="F7255" t="s">
        <v>15</v>
      </c>
      <c r="G7255" t="s">
        <v>20</v>
      </c>
      <c r="H7255" t="s">
        <v>21</v>
      </c>
      <c r="I7255">
        <v>1</v>
      </c>
      <c r="J7255">
        <v>0</v>
      </c>
      <c r="K7255">
        <v>0</v>
      </c>
    </row>
    <row r="7256" spans="1:11" x14ac:dyDescent="0.25">
      <c r="A7256" t="str">
        <f>"9082"</f>
        <v>9082</v>
      </c>
      <c r="B7256" t="str">
        <f t="shared" si="474"/>
        <v>1</v>
      </c>
      <c r="C7256" t="str">
        <f t="shared" si="476"/>
        <v>392</v>
      </c>
      <c r="D7256" t="str">
        <f>"10"</f>
        <v>10</v>
      </c>
      <c r="E7256" t="str">
        <f>"1-392-10"</f>
        <v>1-392-10</v>
      </c>
      <c r="F7256" t="s">
        <v>15</v>
      </c>
      <c r="G7256" t="s">
        <v>18</v>
      </c>
      <c r="H7256" t="s">
        <v>19</v>
      </c>
      <c r="I7256">
        <v>1</v>
      </c>
      <c r="J7256">
        <v>0</v>
      </c>
      <c r="K7256">
        <v>0</v>
      </c>
    </row>
    <row r="7257" spans="1:11" x14ac:dyDescent="0.25">
      <c r="A7257" t="str">
        <f>"9083"</f>
        <v>9083</v>
      </c>
      <c r="B7257" t="str">
        <f t="shared" si="474"/>
        <v>1</v>
      </c>
      <c r="C7257" t="str">
        <f t="shared" si="476"/>
        <v>392</v>
      </c>
      <c r="D7257" t="str">
        <f>"19"</f>
        <v>19</v>
      </c>
      <c r="E7257" t="str">
        <f>"1-392-19"</f>
        <v>1-392-19</v>
      </c>
      <c r="F7257" t="s">
        <v>15</v>
      </c>
      <c r="G7257" t="s">
        <v>20</v>
      </c>
      <c r="H7257" t="s">
        <v>21</v>
      </c>
      <c r="I7257">
        <v>1</v>
      </c>
      <c r="J7257">
        <v>0</v>
      </c>
      <c r="K7257">
        <v>0</v>
      </c>
    </row>
    <row r="7258" spans="1:11" x14ac:dyDescent="0.25">
      <c r="A7258" t="str">
        <f>"9085"</f>
        <v>9085</v>
      </c>
      <c r="B7258" t="str">
        <f t="shared" si="474"/>
        <v>1</v>
      </c>
      <c r="C7258" t="str">
        <f t="shared" si="476"/>
        <v>392</v>
      </c>
      <c r="D7258" t="str">
        <f>"20"</f>
        <v>20</v>
      </c>
      <c r="E7258" t="str">
        <f>"1-392-20"</f>
        <v>1-392-20</v>
      </c>
      <c r="F7258" t="s">
        <v>15</v>
      </c>
      <c r="G7258" t="s">
        <v>16</v>
      </c>
      <c r="H7258" t="s">
        <v>17</v>
      </c>
      <c r="I7258">
        <v>1</v>
      </c>
      <c r="J7258">
        <v>0</v>
      </c>
      <c r="K7258">
        <v>0</v>
      </c>
    </row>
    <row r="7259" spans="1:11" x14ac:dyDescent="0.25">
      <c r="A7259" t="str">
        <f>"9087"</f>
        <v>9087</v>
      </c>
      <c r="B7259" t="str">
        <f t="shared" si="474"/>
        <v>1</v>
      </c>
      <c r="C7259" t="str">
        <f t="shared" si="476"/>
        <v>392</v>
      </c>
      <c r="D7259" t="str">
        <f>"21"</f>
        <v>21</v>
      </c>
      <c r="E7259" t="str">
        <f>"1-392-21"</f>
        <v>1-392-21</v>
      </c>
      <c r="F7259" t="s">
        <v>15</v>
      </c>
      <c r="G7259" t="s">
        <v>18</v>
      </c>
      <c r="H7259" t="s">
        <v>19</v>
      </c>
      <c r="I7259">
        <v>1</v>
      </c>
      <c r="J7259">
        <v>0</v>
      </c>
      <c r="K7259">
        <v>0</v>
      </c>
    </row>
    <row r="7260" spans="1:11" x14ac:dyDescent="0.25">
      <c r="A7260" t="str">
        <f>"9088"</f>
        <v>9088</v>
      </c>
      <c r="B7260" t="str">
        <f t="shared" si="474"/>
        <v>1</v>
      </c>
      <c r="C7260" t="str">
        <f t="shared" si="476"/>
        <v>392</v>
      </c>
      <c r="D7260" t="str">
        <f>"1"</f>
        <v>1</v>
      </c>
      <c r="E7260" t="str">
        <f>"1-392-1"</f>
        <v>1-392-1</v>
      </c>
      <c r="F7260" t="s">
        <v>15</v>
      </c>
      <c r="G7260" t="s">
        <v>16</v>
      </c>
      <c r="H7260" t="s">
        <v>17</v>
      </c>
      <c r="I7260">
        <v>1</v>
      </c>
      <c r="J7260">
        <v>0</v>
      </c>
      <c r="K7260">
        <v>0</v>
      </c>
    </row>
    <row r="7261" spans="1:11" x14ac:dyDescent="0.25">
      <c r="A7261" t="str">
        <f>"9089"</f>
        <v>9089</v>
      </c>
      <c r="B7261" t="str">
        <f t="shared" si="474"/>
        <v>1</v>
      </c>
      <c r="C7261" t="str">
        <f t="shared" si="476"/>
        <v>392</v>
      </c>
      <c r="D7261" t="str">
        <f>"22"</f>
        <v>22</v>
      </c>
      <c r="E7261" t="str">
        <f>"1-392-22"</f>
        <v>1-392-22</v>
      </c>
      <c r="F7261" t="s">
        <v>15</v>
      </c>
      <c r="G7261" t="s">
        <v>16</v>
      </c>
      <c r="H7261" t="s">
        <v>17</v>
      </c>
      <c r="I7261">
        <v>1</v>
      </c>
      <c r="J7261">
        <v>0</v>
      </c>
      <c r="K7261">
        <v>0</v>
      </c>
    </row>
    <row r="7262" spans="1:11" x14ac:dyDescent="0.25">
      <c r="A7262" t="str">
        <f>"9090"</f>
        <v>9090</v>
      </c>
      <c r="B7262" t="str">
        <f t="shared" si="474"/>
        <v>1</v>
      </c>
      <c r="C7262" t="str">
        <f t="shared" si="476"/>
        <v>392</v>
      </c>
      <c r="D7262" t="str">
        <f>"14"</f>
        <v>14</v>
      </c>
      <c r="E7262" t="str">
        <f>"1-392-14"</f>
        <v>1-392-14</v>
      </c>
      <c r="F7262" t="s">
        <v>15</v>
      </c>
      <c r="G7262" t="s">
        <v>16</v>
      </c>
      <c r="H7262" t="s">
        <v>17</v>
      </c>
      <c r="I7262">
        <v>1</v>
      </c>
      <c r="J7262">
        <v>0</v>
      </c>
      <c r="K7262">
        <v>0</v>
      </c>
    </row>
    <row r="7263" spans="1:11" x14ac:dyDescent="0.25">
      <c r="A7263" t="str">
        <f>"9091"</f>
        <v>9091</v>
      </c>
      <c r="B7263" t="str">
        <f t="shared" si="474"/>
        <v>1</v>
      </c>
      <c r="C7263" t="str">
        <f t="shared" si="476"/>
        <v>392</v>
      </c>
      <c r="D7263" t="str">
        <f>"6"</f>
        <v>6</v>
      </c>
      <c r="E7263" t="str">
        <f>"1-392-6"</f>
        <v>1-392-6</v>
      </c>
      <c r="F7263" t="s">
        <v>15</v>
      </c>
      <c r="G7263" t="s">
        <v>16</v>
      </c>
      <c r="H7263" t="s">
        <v>17</v>
      </c>
      <c r="I7263">
        <v>1</v>
      </c>
      <c r="J7263">
        <v>0</v>
      </c>
      <c r="K7263">
        <v>0</v>
      </c>
    </row>
    <row r="7264" spans="1:11" x14ac:dyDescent="0.25">
      <c r="A7264" t="str">
        <f>"9092"</f>
        <v>9092</v>
      </c>
      <c r="B7264" t="str">
        <f t="shared" si="474"/>
        <v>1</v>
      </c>
      <c r="C7264" t="str">
        <f t="shared" si="476"/>
        <v>392</v>
      </c>
      <c r="D7264" t="str">
        <f>"7"</f>
        <v>7</v>
      </c>
      <c r="E7264" t="str">
        <f>"1-392-7"</f>
        <v>1-392-7</v>
      </c>
      <c r="F7264" t="s">
        <v>15</v>
      </c>
      <c r="G7264" t="s">
        <v>16</v>
      </c>
      <c r="H7264" t="s">
        <v>17</v>
      </c>
      <c r="I7264">
        <v>1</v>
      </c>
      <c r="J7264">
        <v>0</v>
      </c>
      <c r="K7264">
        <v>0</v>
      </c>
    </row>
    <row r="7265" spans="1:11" x14ac:dyDescent="0.25">
      <c r="A7265" t="str">
        <f>"9093"</f>
        <v>9093</v>
      </c>
      <c r="B7265" t="str">
        <f t="shared" si="474"/>
        <v>1</v>
      </c>
      <c r="C7265" t="str">
        <f t="shared" si="476"/>
        <v>392</v>
      </c>
      <c r="D7265" t="str">
        <f>"25"</f>
        <v>25</v>
      </c>
      <c r="E7265" t="str">
        <f>"1-392-25"</f>
        <v>1-392-25</v>
      </c>
      <c r="F7265" t="s">
        <v>15</v>
      </c>
      <c r="G7265" t="s">
        <v>16</v>
      </c>
      <c r="H7265" t="s">
        <v>17</v>
      </c>
      <c r="I7265">
        <v>1</v>
      </c>
      <c r="J7265">
        <v>0</v>
      </c>
      <c r="K7265">
        <v>0</v>
      </c>
    </row>
    <row r="7266" spans="1:11" x14ac:dyDescent="0.25">
      <c r="A7266" t="str">
        <f>"9094"</f>
        <v>9094</v>
      </c>
      <c r="B7266" t="str">
        <f t="shared" si="474"/>
        <v>1</v>
      </c>
      <c r="C7266" t="str">
        <f t="shared" si="476"/>
        <v>392</v>
      </c>
      <c r="D7266" t="str">
        <f>"11"</f>
        <v>11</v>
      </c>
      <c r="E7266" t="str">
        <f>"1-392-11"</f>
        <v>1-392-11</v>
      </c>
      <c r="F7266" t="s">
        <v>15</v>
      </c>
      <c r="G7266" t="s">
        <v>16</v>
      </c>
      <c r="H7266" t="s">
        <v>17</v>
      </c>
      <c r="I7266">
        <v>1</v>
      </c>
      <c r="J7266">
        <v>0</v>
      </c>
      <c r="K7266">
        <v>0</v>
      </c>
    </row>
    <row r="7267" spans="1:11" x14ac:dyDescent="0.25">
      <c r="A7267" t="str">
        <f>"9095"</f>
        <v>9095</v>
      </c>
      <c r="B7267" t="str">
        <f t="shared" si="474"/>
        <v>1</v>
      </c>
      <c r="C7267" t="str">
        <f t="shared" si="476"/>
        <v>392</v>
      </c>
      <c r="D7267" t="str">
        <f>"2"</f>
        <v>2</v>
      </c>
      <c r="E7267" t="str">
        <f>"1-392-2"</f>
        <v>1-392-2</v>
      </c>
      <c r="F7267" t="s">
        <v>15</v>
      </c>
      <c r="G7267" t="s">
        <v>16</v>
      </c>
      <c r="H7267" t="s">
        <v>17</v>
      </c>
      <c r="I7267">
        <v>1</v>
      </c>
      <c r="J7267">
        <v>0</v>
      </c>
      <c r="K7267">
        <v>0</v>
      </c>
    </row>
    <row r="7268" spans="1:11" x14ac:dyDescent="0.25">
      <c r="A7268" t="str">
        <f>"9096"</f>
        <v>9096</v>
      </c>
      <c r="B7268" t="str">
        <f t="shared" si="474"/>
        <v>1</v>
      </c>
      <c r="C7268" t="str">
        <f t="shared" si="476"/>
        <v>392</v>
      </c>
      <c r="D7268" t="str">
        <f>"12"</f>
        <v>12</v>
      </c>
      <c r="E7268" t="str">
        <f>"1-392-12"</f>
        <v>1-392-12</v>
      </c>
      <c r="F7268" t="s">
        <v>15</v>
      </c>
      <c r="G7268" t="s">
        <v>16</v>
      </c>
      <c r="H7268" t="s">
        <v>17</v>
      </c>
      <c r="I7268">
        <v>1</v>
      </c>
      <c r="J7268">
        <v>0</v>
      </c>
      <c r="K7268">
        <v>0</v>
      </c>
    </row>
    <row r="7269" spans="1:11" x14ac:dyDescent="0.25">
      <c r="A7269" t="str">
        <f>"9097"</f>
        <v>9097</v>
      </c>
      <c r="B7269" t="str">
        <f t="shared" si="474"/>
        <v>1</v>
      </c>
      <c r="C7269" t="str">
        <f t="shared" si="476"/>
        <v>392</v>
      </c>
      <c r="D7269" t="str">
        <f>"13"</f>
        <v>13</v>
      </c>
      <c r="E7269" t="str">
        <f>"1-392-13"</f>
        <v>1-392-13</v>
      </c>
      <c r="F7269" t="s">
        <v>15</v>
      </c>
      <c r="G7269" t="s">
        <v>18</v>
      </c>
      <c r="H7269" t="s">
        <v>19</v>
      </c>
      <c r="I7269">
        <v>1</v>
      </c>
      <c r="J7269">
        <v>0</v>
      </c>
      <c r="K7269">
        <v>0</v>
      </c>
    </row>
    <row r="7270" spans="1:11" x14ac:dyDescent="0.25">
      <c r="A7270" t="str">
        <f>"9098"</f>
        <v>9098</v>
      </c>
      <c r="B7270" t="str">
        <f t="shared" si="474"/>
        <v>1</v>
      </c>
      <c r="C7270" t="str">
        <f t="shared" si="476"/>
        <v>392</v>
      </c>
      <c r="D7270" t="str">
        <f>"23"</f>
        <v>23</v>
      </c>
      <c r="E7270" t="str">
        <f>"1-392-23"</f>
        <v>1-392-23</v>
      </c>
      <c r="F7270" t="s">
        <v>15</v>
      </c>
      <c r="G7270" t="s">
        <v>16</v>
      </c>
      <c r="H7270" t="s">
        <v>17</v>
      </c>
      <c r="I7270">
        <v>0</v>
      </c>
      <c r="J7270">
        <v>0</v>
      </c>
      <c r="K7270">
        <v>0</v>
      </c>
    </row>
    <row r="7271" spans="1:11" x14ac:dyDescent="0.25">
      <c r="A7271" t="str">
        <f>"9099"</f>
        <v>9099</v>
      </c>
      <c r="B7271" t="str">
        <f t="shared" si="474"/>
        <v>1</v>
      </c>
      <c r="C7271" t="str">
        <f t="shared" si="476"/>
        <v>392</v>
      </c>
      <c r="D7271" t="str">
        <f>"24"</f>
        <v>24</v>
      </c>
      <c r="E7271" t="str">
        <f>"1-392-24"</f>
        <v>1-392-24</v>
      </c>
      <c r="F7271" t="s">
        <v>15</v>
      </c>
      <c r="G7271" t="s">
        <v>16</v>
      </c>
      <c r="H7271" t="s">
        <v>17</v>
      </c>
      <c r="I7271">
        <v>0</v>
      </c>
      <c r="J7271">
        <v>0</v>
      </c>
      <c r="K7271">
        <v>0</v>
      </c>
    </row>
    <row r="7272" spans="1:11" x14ac:dyDescent="0.25">
      <c r="A7272" t="str">
        <f>"9100"</f>
        <v>9100</v>
      </c>
      <c r="B7272" t="str">
        <f t="shared" si="474"/>
        <v>1</v>
      </c>
      <c r="C7272" t="str">
        <f t="shared" ref="C7272:C7296" si="477">"393"</f>
        <v>393</v>
      </c>
      <c r="D7272" t="str">
        <f>"15"</f>
        <v>15</v>
      </c>
      <c r="E7272" t="str">
        <f>"1-393-15"</f>
        <v>1-393-15</v>
      </c>
      <c r="F7272" t="s">
        <v>15</v>
      </c>
      <c r="G7272" t="s">
        <v>16</v>
      </c>
      <c r="H7272" t="s">
        <v>17</v>
      </c>
      <c r="I7272">
        <v>0</v>
      </c>
      <c r="J7272">
        <v>1</v>
      </c>
      <c r="K7272">
        <v>0</v>
      </c>
    </row>
    <row r="7273" spans="1:11" x14ac:dyDescent="0.25">
      <c r="A7273" t="str">
        <f>"9101"</f>
        <v>9101</v>
      </c>
      <c r="B7273" t="str">
        <f t="shared" si="474"/>
        <v>1</v>
      </c>
      <c r="C7273" t="str">
        <f t="shared" si="477"/>
        <v>393</v>
      </c>
      <c r="D7273" t="str">
        <f>"6"</f>
        <v>6</v>
      </c>
      <c r="E7273" t="str">
        <f>"1-393-6"</f>
        <v>1-393-6</v>
      </c>
      <c r="F7273" t="s">
        <v>15</v>
      </c>
      <c r="G7273" t="s">
        <v>18</v>
      </c>
      <c r="H7273" t="s">
        <v>19</v>
      </c>
      <c r="I7273">
        <v>1</v>
      </c>
      <c r="J7273">
        <v>0</v>
      </c>
      <c r="K7273">
        <v>0</v>
      </c>
    </row>
    <row r="7274" spans="1:11" x14ac:dyDescent="0.25">
      <c r="A7274" t="str">
        <f>"9102"</f>
        <v>9102</v>
      </c>
      <c r="B7274" t="str">
        <f t="shared" si="474"/>
        <v>1</v>
      </c>
      <c r="C7274" t="str">
        <f t="shared" si="477"/>
        <v>393</v>
      </c>
      <c r="D7274" t="str">
        <f>"19"</f>
        <v>19</v>
      </c>
      <c r="E7274" t="str">
        <f>"1-393-19"</f>
        <v>1-393-19</v>
      </c>
      <c r="F7274" t="s">
        <v>15</v>
      </c>
      <c r="G7274" t="s">
        <v>16</v>
      </c>
      <c r="H7274" t="s">
        <v>17</v>
      </c>
      <c r="I7274">
        <v>1</v>
      </c>
      <c r="J7274">
        <v>0</v>
      </c>
      <c r="K7274">
        <v>0</v>
      </c>
    </row>
    <row r="7275" spans="1:11" x14ac:dyDescent="0.25">
      <c r="A7275" t="str">
        <f>"9103"</f>
        <v>9103</v>
      </c>
      <c r="B7275" t="str">
        <f t="shared" si="474"/>
        <v>1</v>
      </c>
      <c r="C7275" t="str">
        <f t="shared" si="477"/>
        <v>393</v>
      </c>
      <c r="D7275" t="str">
        <f>"16"</f>
        <v>16</v>
      </c>
      <c r="E7275" t="str">
        <f>"1-393-16"</f>
        <v>1-393-16</v>
      </c>
      <c r="F7275" t="s">
        <v>15</v>
      </c>
      <c r="G7275" t="s">
        <v>16</v>
      </c>
      <c r="H7275" t="s">
        <v>17</v>
      </c>
      <c r="I7275">
        <v>1</v>
      </c>
      <c r="J7275">
        <v>0</v>
      </c>
      <c r="K7275">
        <v>0</v>
      </c>
    </row>
    <row r="7276" spans="1:11" x14ac:dyDescent="0.25">
      <c r="A7276" t="str">
        <f>"9104"</f>
        <v>9104</v>
      </c>
      <c r="B7276" t="str">
        <f t="shared" si="474"/>
        <v>1</v>
      </c>
      <c r="C7276" t="str">
        <f t="shared" si="477"/>
        <v>393</v>
      </c>
      <c r="D7276" t="str">
        <f>"5"</f>
        <v>5</v>
      </c>
      <c r="E7276" t="str">
        <f>"1-393-5"</f>
        <v>1-393-5</v>
      </c>
      <c r="F7276" t="s">
        <v>15</v>
      </c>
      <c r="G7276" t="s">
        <v>18</v>
      </c>
      <c r="H7276" t="s">
        <v>19</v>
      </c>
      <c r="I7276">
        <v>1</v>
      </c>
      <c r="J7276">
        <v>0</v>
      </c>
      <c r="K7276">
        <v>0</v>
      </c>
    </row>
    <row r="7277" spans="1:11" x14ac:dyDescent="0.25">
      <c r="A7277" t="str">
        <f>"9105"</f>
        <v>9105</v>
      </c>
      <c r="B7277" t="str">
        <f t="shared" si="474"/>
        <v>1</v>
      </c>
      <c r="C7277" t="str">
        <f t="shared" si="477"/>
        <v>393</v>
      </c>
      <c r="D7277" t="str">
        <f>"3"</f>
        <v>3</v>
      </c>
      <c r="E7277" t="str">
        <f>"1-393-3"</f>
        <v>1-393-3</v>
      </c>
      <c r="F7277" t="s">
        <v>15</v>
      </c>
      <c r="G7277" t="s">
        <v>16</v>
      </c>
      <c r="H7277" t="s">
        <v>17</v>
      </c>
      <c r="I7277">
        <v>1</v>
      </c>
      <c r="J7277">
        <v>0</v>
      </c>
      <c r="K7277">
        <v>0</v>
      </c>
    </row>
    <row r="7278" spans="1:11" x14ac:dyDescent="0.25">
      <c r="A7278" t="str">
        <f>"9106"</f>
        <v>9106</v>
      </c>
      <c r="B7278" t="str">
        <f t="shared" si="474"/>
        <v>1</v>
      </c>
      <c r="C7278" t="str">
        <f t="shared" si="477"/>
        <v>393</v>
      </c>
      <c r="D7278" t="str">
        <f>"18"</f>
        <v>18</v>
      </c>
      <c r="E7278" t="str">
        <f>"1-393-18"</f>
        <v>1-393-18</v>
      </c>
      <c r="F7278" t="s">
        <v>15</v>
      </c>
      <c r="G7278" t="s">
        <v>18</v>
      </c>
      <c r="H7278" t="s">
        <v>19</v>
      </c>
      <c r="I7278">
        <v>1</v>
      </c>
      <c r="J7278">
        <v>0</v>
      </c>
      <c r="K7278">
        <v>0</v>
      </c>
    </row>
    <row r="7279" spans="1:11" x14ac:dyDescent="0.25">
      <c r="A7279" t="str">
        <f>"9107"</f>
        <v>9107</v>
      </c>
      <c r="B7279" t="str">
        <f t="shared" si="474"/>
        <v>1</v>
      </c>
      <c r="C7279" t="str">
        <f t="shared" si="477"/>
        <v>393</v>
      </c>
      <c r="D7279" t="str">
        <f>"7"</f>
        <v>7</v>
      </c>
      <c r="E7279" t="str">
        <f>"1-393-7"</f>
        <v>1-393-7</v>
      </c>
      <c r="F7279" t="s">
        <v>15</v>
      </c>
      <c r="G7279" t="s">
        <v>16</v>
      </c>
      <c r="H7279" t="s">
        <v>17</v>
      </c>
      <c r="I7279">
        <v>1</v>
      </c>
      <c r="J7279">
        <v>0</v>
      </c>
      <c r="K7279">
        <v>0</v>
      </c>
    </row>
    <row r="7280" spans="1:11" x14ac:dyDescent="0.25">
      <c r="A7280" t="str">
        <f>"9108"</f>
        <v>9108</v>
      </c>
      <c r="B7280" t="str">
        <f t="shared" si="474"/>
        <v>1</v>
      </c>
      <c r="C7280" t="str">
        <f t="shared" si="477"/>
        <v>393</v>
      </c>
      <c r="D7280" t="str">
        <f>"20"</f>
        <v>20</v>
      </c>
      <c r="E7280" t="str">
        <f>"1-393-20"</f>
        <v>1-393-20</v>
      </c>
      <c r="F7280" t="s">
        <v>15</v>
      </c>
      <c r="G7280" t="s">
        <v>18</v>
      </c>
      <c r="H7280" t="s">
        <v>19</v>
      </c>
      <c r="I7280">
        <v>1</v>
      </c>
      <c r="J7280">
        <v>0</v>
      </c>
      <c r="K7280">
        <v>0</v>
      </c>
    </row>
    <row r="7281" spans="1:11" x14ac:dyDescent="0.25">
      <c r="A7281" t="str">
        <f>"9109"</f>
        <v>9109</v>
      </c>
      <c r="B7281" t="str">
        <f t="shared" si="474"/>
        <v>1</v>
      </c>
      <c r="C7281" t="str">
        <f t="shared" si="477"/>
        <v>393</v>
      </c>
      <c r="D7281" t="str">
        <f>"9"</f>
        <v>9</v>
      </c>
      <c r="E7281" t="str">
        <f>"1-393-9"</f>
        <v>1-393-9</v>
      </c>
      <c r="F7281" t="s">
        <v>15</v>
      </c>
      <c r="G7281" t="s">
        <v>18</v>
      </c>
      <c r="H7281" t="s">
        <v>19</v>
      </c>
      <c r="I7281">
        <v>0</v>
      </c>
      <c r="J7281">
        <v>0</v>
      </c>
      <c r="K7281">
        <v>1</v>
      </c>
    </row>
    <row r="7282" spans="1:11" x14ac:dyDescent="0.25">
      <c r="A7282" t="str">
        <f>"9110"</f>
        <v>9110</v>
      </c>
      <c r="B7282" t="str">
        <f t="shared" si="474"/>
        <v>1</v>
      </c>
      <c r="C7282" t="str">
        <f t="shared" si="477"/>
        <v>393</v>
      </c>
      <c r="D7282" t="str">
        <f>"21"</f>
        <v>21</v>
      </c>
      <c r="E7282" t="str">
        <f>"1-393-21"</f>
        <v>1-393-21</v>
      </c>
      <c r="F7282" t="s">
        <v>15</v>
      </c>
      <c r="G7282" t="s">
        <v>18</v>
      </c>
      <c r="H7282" t="s">
        <v>19</v>
      </c>
      <c r="I7282">
        <v>1</v>
      </c>
      <c r="J7282">
        <v>0</v>
      </c>
      <c r="K7282">
        <v>0</v>
      </c>
    </row>
    <row r="7283" spans="1:11" x14ac:dyDescent="0.25">
      <c r="A7283" t="str">
        <f>"9111"</f>
        <v>9111</v>
      </c>
      <c r="B7283" t="str">
        <f t="shared" si="474"/>
        <v>1</v>
      </c>
      <c r="C7283" t="str">
        <f t="shared" si="477"/>
        <v>393</v>
      </c>
      <c r="D7283" t="str">
        <f>"10"</f>
        <v>10</v>
      </c>
      <c r="E7283" t="str">
        <f>"1-393-10"</f>
        <v>1-393-10</v>
      </c>
      <c r="F7283" t="s">
        <v>15</v>
      </c>
      <c r="G7283" t="s">
        <v>16</v>
      </c>
      <c r="H7283" t="s">
        <v>17</v>
      </c>
      <c r="I7283">
        <v>0</v>
      </c>
      <c r="J7283">
        <v>1</v>
      </c>
      <c r="K7283">
        <v>0</v>
      </c>
    </row>
    <row r="7284" spans="1:11" x14ac:dyDescent="0.25">
      <c r="A7284" t="str">
        <f>"9112"</f>
        <v>9112</v>
      </c>
      <c r="B7284" t="str">
        <f t="shared" si="474"/>
        <v>1</v>
      </c>
      <c r="C7284" t="str">
        <f t="shared" si="477"/>
        <v>393</v>
      </c>
      <c r="D7284" t="str">
        <f>"22"</f>
        <v>22</v>
      </c>
      <c r="E7284" t="str">
        <f>"1-393-22"</f>
        <v>1-393-22</v>
      </c>
      <c r="F7284" t="s">
        <v>15</v>
      </c>
      <c r="G7284" t="s">
        <v>16</v>
      </c>
      <c r="H7284" t="s">
        <v>17</v>
      </c>
      <c r="I7284">
        <v>0</v>
      </c>
      <c r="J7284">
        <v>1</v>
      </c>
      <c r="K7284">
        <v>0</v>
      </c>
    </row>
    <row r="7285" spans="1:11" x14ac:dyDescent="0.25">
      <c r="A7285" t="str">
        <f>"9113"</f>
        <v>9113</v>
      </c>
      <c r="B7285" t="str">
        <f t="shared" si="474"/>
        <v>1</v>
      </c>
      <c r="C7285" t="str">
        <f t="shared" si="477"/>
        <v>393</v>
      </c>
      <c r="D7285" t="str">
        <f>"13"</f>
        <v>13</v>
      </c>
      <c r="E7285" t="str">
        <f>"1-393-13"</f>
        <v>1-393-13</v>
      </c>
      <c r="F7285" t="s">
        <v>15</v>
      </c>
      <c r="G7285" t="s">
        <v>18</v>
      </c>
      <c r="H7285" t="s">
        <v>19</v>
      </c>
      <c r="I7285">
        <v>0</v>
      </c>
      <c r="J7285">
        <v>0</v>
      </c>
      <c r="K7285">
        <v>1</v>
      </c>
    </row>
    <row r="7286" spans="1:11" x14ac:dyDescent="0.25">
      <c r="A7286" t="str">
        <f>"9114"</f>
        <v>9114</v>
      </c>
      <c r="B7286" t="str">
        <f t="shared" ref="B7286:B7344" si="478">"1"</f>
        <v>1</v>
      </c>
      <c r="C7286" t="str">
        <f t="shared" si="477"/>
        <v>393</v>
      </c>
      <c r="D7286" t="str">
        <f>"23"</f>
        <v>23</v>
      </c>
      <c r="E7286" t="str">
        <f>"1-393-23"</f>
        <v>1-393-23</v>
      </c>
      <c r="F7286" t="s">
        <v>15</v>
      </c>
      <c r="G7286" t="s">
        <v>16</v>
      </c>
      <c r="H7286" t="s">
        <v>17</v>
      </c>
      <c r="I7286">
        <v>1</v>
      </c>
      <c r="J7286">
        <v>0</v>
      </c>
      <c r="K7286">
        <v>0</v>
      </c>
    </row>
    <row r="7287" spans="1:11" x14ac:dyDescent="0.25">
      <c r="A7287" t="str">
        <f>"9115"</f>
        <v>9115</v>
      </c>
      <c r="B7287" t="str">
        <f t="shared" si="478"/>
        <v>1</v>
      </c>
      <c r="C7287" t="str">
        <f t="shared" si="477"/>
        <v>393</v>
      </c>
      <c r="D7287" t="str">
        <f>"14"</f>
        <v>14</v>
      </c>
      <c r="E7287" t="str">
        <f>"1-393-14"</f>
        <v>1-393-14</v>
      </c>
      <c r="F7287" t="s">
        <v>15</v>
      </c>
      <c r="G7287" t="s">
        <v>18</v>
      </c>
      <c r="H7287" t="s">
        <v>19</v>
      </c>
      <c r="I7287">
        <v>1</v>
      </c>
      <c r="J7287">
        <v>0</v>
      </c>
      <c r="K7287">
        <v>0</v>
      </c>
    </row>
    <row r="7288" spans="1:11" x14ac:dyDescent="0.25">
      <c r="A7288" t="str">
        <f>"9116"</f>
        <v>9116</v>
      </c>
      <c r="B7288" t="str">
        <f t="shared" si="478"/>
        <v>1</v>
      </c>
      <c r="C7288" t="str">
        <f t="shared" si="477"/>
        <v>393</v>
      </c>
      <c r="D7288" t="str">
        <f>"24"</f>
        <v>24</v>
      </c>
      <c r="E7288" t="str">
        <f>"1-393-24"</f>
        <v>1-393-24</v>
      </c>
      <c r="F7288" t="s">
        <v>15</v>
      </c>
      <c r="G7288" t="s">
        <v>16</v>
      </c>
      <c r="H7288" t="s">
        <v>17</v>
      </c>
      <c r="I7288">
        <v>1</v>
      </c>
      <c r="J7288">
        <v>0</v>
      </c>
      <c r="K7288">
        <v>0</v>
      </c>
    </row>
    <row r="7289" spans="1:11" x14ac:dyDescent="0.25">
      <c r="A7289" t="str">
        <f>"9117"</f>
        <v>9117</v>
      </c>
      <c r="B7289" t="str">
        <f t="shared" si="478"/>
        <v>1</v>
      </c>
      <c r="C7289" t="str">
        <f t="shared" si="477"/>
        <v>393</v>
      </c>
      <c r="D7289" t="str">
        <f>"4"</f>
        <v>4</v>
      </c>
      <c r="E7289" t="str">
        <f>"1-393-4"</f>
        <v>1-393-4</v>
      </c>
      <c r="F7289" t="s">
        <v>15</v>
      </c>
      <c r="G7289" t="s">
        <v>16</v>
      </c>
      <c r="H7289" t="s">
        <v>17</v>
      </c>
      <c r="I7289">
        <v>0</v>
      </c>
      <c r="J7289">
        <v>0</v>
      </c>
      <c r="K7289">
        <v>1</v>
      </c>
    </row>
    <row r="7290" spans="1:11" x14ac:dyDescent="0.25">
      <c r="A7290" t="str">
        <f>"9118"</f>
        <v>9118</v>
      </c>
      <c r="B7290" t="str">
        <f t="shared" si="478"/>
        <v>1</v>
      </c>
      <c r="C7290" t="str">
        <f t="shared" si="477"/>
        <v>393</v>
      </c>
      <c r="D7290" t="str">
        <f>"25"</f>
        <v>25</v>
      </c>
      <c r="E7290" t="str">
        <f>"1-393-25"</f>
        <v>1-393-25</v>
      </c>
      <c r="F7290" t="s">
        <v>15</v>
      </c>
      <c r="G7290" t="s">
        <v>18</v>
      </c>
      <c r="H7290" t="s">
        <v>19</v>
      </c>
      <c r="I7290">
        <v>1</v>
      </c>
      <c r="J7290">
        <v>0</v>
      </c>
      <c r="K7290">
        <v>0</v>
      </c>
    </row>
    <row r="7291" spans="1:11" x14ac:dyDescent="0.25">
      <c r="A7291" t="str">
        <f>"9119"</f>
        <v>9119</v>
      </c>
      <c r="B7291" t="str">
        <f t="shared" si="478"/>
        <v>1</v>
      </c>
      <c r="C7291" t="str">
        <f t="shared" si="477"/>
        <v>393</v>
      </c>
      <c r="D7291" t="str">
        <f>"12"</f>
        <v>12</v>
      </c>
      <c r="E7291" t="str">
        <f>"1-393-12"</f>
        <v>1-393-12</v>
      </c>
      <c r="F7291" t="s">
        <v>15</v>
      </c>
      <c r="G7291" t="s">
        <v>16</v>
      </c>
      <c r="H7291" t="s">
        <v>17</v>
      </c>
      <c r="I7291">
        <v>0</v>
      </c>
      <c r="J7291">
        <v>1</v>
      </c>
      <c r="K7291">
        <v>0</v>
      </c>
    </row>
    <row r="7292" spans="1:11" x14ac:dyDescent="0.25">
      <c r="A7292" t="str">
        <f>"9120"</f>
        <v>9120</v>
      </c>
      <c r="B7292" t="str">
        <f t="shared" si="478"/>
        <v>1</v>
      </c>
      <c r="C7292" t="str">
        <f t="shared" si="477"/>
        <v>393</v>
      </c>
      <c r="D7292" t="str">
        <f>"2"</f>
        <v>2</v>
      </c>
      <c r="E7292" t="str">
        <f>"1-393-2"</f>
        <v>1-393-2</v>
      </c>
      <c r="F7292" t="s">
        <v>15</v>
      </c>
      <c r="G7292" t="s">
        <v>16</v>
      </c>
      <c r="H7292" t="s">
        <v>17</v>
      </c>
      <c r="I7292">
        <v>1</v>
      </c>
      <c r="J7292">
        <v>0</v>
      </c>
      <c r="K7292">
        <v>0</v>
      </c>
    </row>
    <row r="7293" spans="1:11" x14ac:dyDescent="0.25">
      <c r="A7293" t="str">
        <f>"9121"</f>
        <v>9121</v>
      </c>
      <c r="B7293" t="str">
        <f t="shared" si="478"/>
        <v>1</v>
      </c>
      <c r="C7293" t="str">
        <f t="shared" si="477"/>
        <v>393</v>
      </c>
      <c r="D7293" t="str">
        <f>"11"</f>
        <v>11</v>
      </c>
      <c r="E7293" t="str">
        <f>"1-393-11"</f>
        <v>1-393-11</v>
      </c>
      <c r="F7293" t="s">
        <v>15</v>
      </c>
      <c r="G7293" t="s">
        <v>18</v>
      </c>
      <c r="H7293" t="s">
        <v>19</v>
      </c>
      <c r="I7293">
        <v>0</v>
      </c>
      <c r="J7293">
        <v>0</v>
      </c>
      <c r="K7293">
        <v>1</v>
      </c>
    </row>
    <row r="7294" spans="1:11" x14ac:dyDescent="0.25">
      <c r="A7294" t="str">
        <f>"9122"</f>
        <v>9122</v>
      </c>
      <c r="B7294" t="str">
        <f t="shared" si="478"/>
        <v>1</v>
      </c>
      <c r="C7294" t="str">
        <f t="shared" si="477"/>
        <v>393</v>
      </c>
      <c r="D7294" t="str">
        <f>"8"</f>
        <v>8</v>
      </c>
      <c r="E7294" t="str">
        <f>"1-393-8"</f>
        <v>1-393-8</v>
      </c>
      <c r="F7294" t="s">
        <v>15</v>
      </c>
      <c r="G7294" t="s">
        <v>16</v>
      </c>
      <c r="H7294" t="s">
        <v>17</v>
      </c>
      <c r="I7294">
        <v>0</v>
      </c>
      <c r="J7294">
        <v>0</v>
      </c>
      <c r="K7294">
        <v>0</v>
      </c>
    </row>
    <row r="7295" spans="1:11" x14ac:dyDescent="0.25">
      <c r="A7295" t="str">
        <f>"9123"</f>
        <v>9123</v>
      </c>
      <c r="B7295" t="str">
        <f t="shared" si="478"/>
        <v>1</v>
      </c>
      <c r="C7295" t="str">
        <f t="shared" si="477"/>
        <v>393</v>
      </c>
      <c r="D7295" t="str">
        <f>"1"</f>
        <v>1</v>
      </c>
      <c r="E7295" t="str">
        <f>"1-393-1"</f>
        <v>1-393-1</v>
      </c>
      <c r="F7295" t="s">
        <v>15</v>
      </c>
      <c r="G7295" t="s">
        <v>18</v>
      </c>
      <c r="H7295" t="s">
        <v>19</v>
      </c>
      <c r="I7295">
        <v>0</v>
      </c>
      <c r="J7295">
        <v>0</v>
      </c>
      <c r="K7295">
        <v>0</v>
      </c>
    </row>
    <row r="7296" spans="1:11" x14ac:dyDescent="0.25">
      <c r="A7296" t="str">
        <f>"9124"</f>
        <v>9124</v>
      </c>
      <c r="B7296" t="str">
        <f t="shared" si="478"/>
        <v>1</v>
      </c>
      <c r="C7296" t="str">
        <f t="shared" si="477"/>
        <v>393</v>
      </c>
      <c r="D7296" t="str">
        <f>"17"</f>
        <v>17</v>
      </c>
      <c r="E7296" t="str">
        <f>"1-393-17"</f>
        <v>1-393-17</v>
      </c>
      <c r="F7296" t="s">
        <v>15</v>
      </c>
      <c r="G7296" t="s">
        <v>18</v>
      </c>
      <c r="H7296" t="s">
        <v>19</v>
      </c>
      <c r="I7296">
        <v>1</v>
      </c>
      <c r="J7296">
        <v>0</v>
      </c>
      <c r="K7296">
        <v>0</v>
      </c>
    </row>
    <row r="7297" spans="1:11" x14ac:dyDescent="0.25">
      <c r="A7297" t="str">
        <f>"9125"</f>
        <v>9125</v>
      </c>
      <c r="B7297" t="str">
        <f t="shared" si="478"/>
        <v>1</v>
      </c>
      <c r="C7297" t="str">
        <f t="shared" ref="C7297:C7319" si="479">"394"</f>
        <v>394</v>
      </c>
      <c r="D7297" t="str">
        <f>"19"</f>
        <v>19</v>
      </c>
      <c r="E7297" t="str">
        <f>"1-394-19"</f>
        <v>1-394-19</v>
      </c>
      <c r="F7297" t="s">
        <v>15</v>
      </c>
      <c r="G7297" t="s">
        <v>16</v>
      </c>
      <c r="H7297" t="s">
        <v>17</v>
      </c>
      <c r="I7297">
        <v>1</v>
      </c>
      <c r="J7297">
        <v>0</v>
      </c>
      <c r="K7297">
        <v>0</v>
      </c>
    </row>
    <row r="7298" spans="1:11" x14ac:dyDescent="0.25">
      <c r="A7298" t="str">
        <f>"9126"</f>
        <v>9126</v>
      </c>
      <c r="B7298" t="str">
        <f t="shared" si="478"/>
        <v>1</v>
      </c>
      <c r="C7298" t="str">
        <f t="shared" si="479"/>
        <v>394</v>
      </c>
      <c r="D7298" t="str">
        <f>"15"</f>
        <v>15</v>
      </c>
      <c r="E7298" t="str">
        <f>"1-394-15"</f>
        <v>1-394-15</v>
      </c>
      <c r="F7298" t="s">
        <v>15</v>
      </c>
      <c r="G7298" t="s">
        <v>16</v>
      </c>
      <c r="H7298" t="s">
        <v>17</v>
      </c>
      <c r="I7298">
        <v>1</v>
      </c>
      <c r="J7298">
        <v>0</v>
      </c>
      <c r="K7298">
        <v>0</v>
      </c>
    </row>
    <row r="7299" spans="1:11" x14ac:dyDescent="0.25">
      <c r="A7299" t="str">
        <f>"9128"</f>
        <v>9128</v>
      </c>
      <c r="B7299" t="str">
        <f t="shared" si="478"/>
        <v>1</v>
      </c>
      <c r="C7299" t="str">
        <f t="shared" si="479"/>
        <v>394</v>
      </c>
      <c r="D7299" t="str">
        <f>"22"</f>
        <v>22</v>
      </c>
      <c r="E7299" t="str">
        <f>"1-394-22"</f>
        <v>1-394-22</v>
      </c>
      <c r="F7299" t="s">
        <v>15</v>
      </c>
      <c r="G7299" t="s">
        <v>18</v>
      </c>
      <c r="H7299" t="s">
        <v>19</v>
      </c>
      <c r="I7299">
        <v>1</v>
      </c>
      <c r="J7299">
        <v>0</v>
      </c>
      <c r="K7299">
        <v>0</v>
      </c>
    </row>
    <row r="7300" spans="1:11" x14ac:dyDescent="0.25">
      <c r="A7300" t="str">
        <f>"9129"</f>
        <v>9129</v>
      </c>
      <c r="B7300" t="str">
        <f t="shared" si="478"/>
        <v>1</v>
      </c>
      <c r="C7300" t="str">
        <f t="shared" si="479"/>
        <v>394</v>
      </c>
      <c r="D7300" t="str">
        <f>"16"</f>
        <v>16</v>
      </c>
      <c r="E7300" t="str">
        <f>"1-394-16"</f>
        <v>1-394-16</v>
      </c>
      <c r="F7300" t="s">
        <v>15</v>
      </c>
      <c r="G7300" t="s">
        <v>18</v>
      </c>
      <c r="H7300" t="s">
        <v>19</v>
      </c>
      <c r="I7300">
        <v>1</v>
      </c>
      <c r="J7300">
        <v>0</v>
      </c>
      <c r="K7300">
        <v>0</v>
      </c>
    </row>
    <row r="7301" spans="1:11" x14ac:dyDescent="0.25">
      <c r="A7301" t="str">
        <f>"9130"</f>
        <v>9130</v>
      </c>
      <c r="B7301" t="str">
        <f t="shared" si="478"/>
        <v>1</v>
      </c>
      <c r="C7301" t="str">
        <f t="shared" si="479"/>
        <v>394</v>
      </c>
      <c r="D7301" t="str">
        <f>"2"</f>
        <v>2</v>
      </c>
      <c r="E7301" t="str">
        <f>"1-394-2"</f>
        <v>1-394-2</v>
      </c>
      <c r="F7301" t="s">
        <v>15</v>
      </c>
      <c r="G7301" t="s">
        <v>16</v>
      </c>
      <c r="H7301" t="s">
        <v>17</v>
      </c>
      <c r="I7301">
        <v>1</v>
      </c>
      <c r="J7301">
        <v>0</v>
      </c>
      <c r="K7301">
        <v>0</v>
      </c>
    </row>
    <row r="7302" spans="1:11" x14ac:dyDescent="0.25">
      <c r="A7302" t="str">
        <f>"9132"</f>
        <v>9132</v>
      </c>
      <c r="B7302" t="str">
        <f t="shared" si="478"/>
        <v>1</v>
      </c>
      <c r="C7302" t="str">
        <f t="shared" si="479"/>
        <v>394</v>
      </c>
      <c r="D7302" t="str">
        <f>"5"</f>
        <v>5</v>
      </c>
      <c r="E7302" t="str">
        <f>"1-394-5"</f>
        <v>1-394-5</v>
      </c>
      <c r="F7302" t="s">
        <v>15</v>
      </c>
      <c r="G7302" t="s">
        <v>20</v>
      </c>
      <c r="H7302" t="s">
        <v>21</v>
      </c>
      <c r="I7302">
        <v>1</v>
      </c>
      <c r="J7302">
        <v>0</v>
      </c>
      <c r="K7302">
        <v>0</v>
      </c>
    </row>
    <row r="7303" spans="1:11" x14ac:dyDescent="0.25">
      <c r="A7303" t="str">
        <f>"9133"</f>
        <v>9133</v>
      </c>
      <c r="B7303" t="str">
        <f t="shared" si="478"/>
        <v>1</v>
      </c>
      <c r="C7303" t="str">
        <f t="shared" si="479"/>
        <v>394</v>
      </c>
      <c r="D7303" t="str">
        <f>"18"</f>
        <v>18</v>
      </c>
      <c r="E7303" t="str">
        <f>"1-394-18"</f>
        <v>1-394-18</v>
      </c>
      <c r="F7303" t="s">
        <v>15</v>
      </c>
      <c r="G7303" t="s">
        <v>16</v>
      </c>
      <c r="H7303" t="s">
        <v>17</v>
      </c>
      <c r="I7303">
        <v>1</v>
      </c>
      <c r="J7303">
        <v>0</v>
      </c>
      <c r="K7303">
        <v>0</v>
      </c>
    </row>
    <row r="7304" spans="1:11" x14ac:dyDescent="0.25">
      <c r="A7304" t="str">
        <f>"9134"</f>
        <v>9134</v>
      </c>
      <c r="B7304" t="str">
        <f t="shared" si="478"/>
        <v>1</v>
      </c>
      <c r="C7304" t="str">
        <f t="shared" si="479"/>
        <v>394</v>
      </c>
      <c r="D7304" t="str">
        <f>"6"</f>
        <v>6</v>
      </c>
      <c r="E7304" t="str">
        <f>"1-394-6"</f>
        <v>1-394-6</v>
      </c>
      <c r="F7304" t="s">
        <v>15</v>
      </c>
      <c r="G7304" t="s">
        <v>16</v>
      </c>
      <c r="H7304" t="s">
        <v>17</v>
      </c>
      <c r="I7304">
        <v>0</v>
      </c>
      <c r="J7304">
        <v>1</v>
      </c>
      <c r="K7304">
        <v>0</v>
      </c>
    </row>
    <row r="7305" spans="1:11" x14ac:dyDescent="0.25">
      <c r="A7305" t="str">
        <f>"9135"</f>
        <v>9135</v>
      </c>
      <c r="B7305" t="str">
        <f t="shared" si="478"/>
        <v>1</v>
      </c>
      <c r="C7305" t="str">
        <f t="shared" si="479"/>
        <v>394</v>
      </c>
      <c r="D7305" t="str">
        <f>"20"</f>
        <v>20</v>
      </c>
      <c r="E7305" t="str">
        <f>"1-394-20"</f>
        <v>1-394-20</v>
      </c>
      <c r="F7305" t="s">
        <v>15</v>
      </c>
      <c r="G7305" t="s">
        <v>18</v>
      </c>
      <c r="H7305" t="s">
        <v>19</v>
      </c>
      <c r="I7305">
        <v>1</v>
      </c>
      <c r="J7305">
        <v>0</v>
      </c>
      <c r="K7305">
        <v>0</v>
      </c>
    </row>
    <row r="7306" spans="1:11" x14ac:dyDescent="0.25">
      <c r="A7306" t="str">
        <f>"9136"</f>
        <v>9136</v>
      </c>
      <c r="B7306" t="str">
        <f t="shared" si="478"/>
        <v>1</v>
      </c>
      <c r="C7306" t="str">
        <f t="shared" si="479"/>
        <v>394</v>
      </c>
      <c r="D7306" t="str">
        <f>"4"</f>
        <v>4</v>
      </c>
      <c r="E7306" t="str">
        <f>"1-394-4"</f>
        <v>1-394-4</v>
      </c>
      <c r="F7306" t="s">
        <v>15</v>
      </c>
      <c r="G7306" t="s">
        <v>16</v>
      </c>
      <c r="H7306" t="s">
        <v>17</v>
      </c>
      <c r="I7306">
        <v>1</v>
      </c>
      <c r="J7306">
        <v>0</v>
      </c>
      <c r="K7306">
        <v>0</v>
      </c>
    </row>
    <row r="7307" spans="1:11" x14ac:dyDescent="0.25">
      <c r="A7307" t="str">
        <f>"9137"</f>
        <v>9137</v>
      </c>
      <c r="B7307" t="str">
        <f t="shared" si="478"/>
        <v>1</v>
      </c>
      <c r="C7307" t="str">
        <f t="shared" si="479"/>
        <v>394</v>
      </c>
      <c r="D7307" t="str">
        <f>"21"</f>
        <v>21</v>
      </c>
      <c r="E7307" t="str">
        <f>"1-394-21"</f>
        <v>1-394-21</v>
      </c>
      <c r="F7307" t="s">
        <v>15</v>
      </c>
      <c r="G7307" t="s">
        <v>18</v>
      </c>
      <c r="H7307" t="s">
        <v>19</v>
      </c>
      <c r="I7307">
        <v>1</v>
      </c>
      <c r="J7307">
        <v>0</v>
      </c>
      <c r="K7307">
        <v>0</v>
      </c>
    </row>
    <row r="7308" spans="1:11" x14ac:dyDescent="0.25">
      <c r="A7308" t="str">
        <f>"9138"</f>
        <v>9138</v>
      </c>
      <c r="B7308" t="str">
        <f t="shared" si="478"/>
        <v>1</v>
      </c>
      <c r="C7308" t="str">
        <f t="shared" si="479"/>
        <v>394</v>
      </c>
      <c r="D7308" t="str">
        <f>"12"</f>
        <v>12</v>
      </c>
      <c r="E7308" t="str">
        <f>"1-394-12"</f>
        <v>1-394-12</v>
      </c>
      <c r="F7308" t="s">
        <v>15</v>
      </c>
      <c r="G7308" t="s">
        <v>16</v>
      </c>
      <c r="H7308" t="s">
        <v>17</v>
      </c>
      <c r="I7308">
        <v>1</v>
      </c>
      <c r="J7308">
        <v>0</v>
      </c>
      <c r="K7308">
        <v>0</v>
      </c>
    </row>
    <row r="7309" spans="1:11" x14ac:dyDescent="0.25">
      <c r="A7309" t="str">
        <f>"9139"</f>
        <v>9139</v>
      </c>
      <c r="B7309" t="str">
        <f t="shared" si="478"/>
        <v>1</v>
      </c>
      <c r="C7309" t="str">
        <f t="shared" si="479"/>
        <v>394</v>
      </c>
      <c r="D7309" t="str">
        <f>"23"</f>
        <v>23</v>
      </c>
      <c r="E7309" t="str">
        <f>"1-394-23"</f>
        <v>1-394-23</v>
      </c>
      <c r="F7309" t="s">
        <v>15</v>
      </c>
      <c r="G7309" t="s">
        <v>16</v>
      </c>
      <c r="H7309" t="s">
        <v>17</v>
      </c>
      <c r="I7309">
        <v>1</v>
      </c>
      <c r="J7309">
        <v>0</v>
      </c>
      <c r="K7309">
        <v>0</v>
      </c>
    </row>
    <row r="7310" spans="1:11" x14ac:dyDescent="0.25">
      <c r="A7310" t="str">
        <f>"9140"</f>
        <v>9140</v>
      </c>
      <c r="B7310" t="str">
        <f t="shared" si="478"/>
        <v>1</v>
      </c>
      <c r="C7310" t="str">
        <f t="shared" si="479"/>
        <v>394</v>
      </c>
      <c r="D7310" t="str">
        <f>"8"</f>
        <v>8</v>
      </c>
      <c r="E7310" t="str">
        <f>"1-394-8"</f>
        <v>1-394-8</v>
      </c>
      <c r="F7310" t="s">
        <v>15</v>
      </c>
      <c r="G7310" t="s">
        <v>16</v>
      </c>
      <c r="H7310" t="s">
        <v>17</v>
      </c>
      <c r="I7310">
        <v>1</v>
      </c>
      <c r="J7310">
        <v>0</v>
      </c>
      <c r="K7310">
        <v>0</v>
      </c>
    </row>
    <row r="7311" spans="1:11" x14ac:dyDescent="0.25">
      <c r="A7311" t="str">
        <f>"9141"</f>
        <v>9141</v>
      </c>
      <c r="B7311" t="str">
        <f t="shared" si="478"/>
        <v>1</v>
      </c>
      <c r="C7311" t="str">
        <f t="shared" si="479"/>
        <v>394</v>
      </c>
      <c r="D7311" t="str">
        <f>"24"</f>
        <v>24</v>
      </c>
      <c r="E7311" t="str">
        <f>"1-394-24"</f>
        <v>1-394-24</v>
      </c>
      <c r="F7311" t="s">
        <v>15</v>
      </c>
      <c r="G7311" t="s">
        <v>16</v>
      </c>
      <c r="H7311" t="s">
        <v>17</v>
      </c>
      <c r="I7311">
        <v>1</v>
      </c>
      <c r="J7311">
        <v>0</v>
      </c>
      <c r="K7311">
        <v>0</v>
      </c>
    </row>
    <row r="7312" spans="1:11" x14ac:dyDescent="0.25">
      <c r="A7312" t="str">
        <f>"9142"</f>
        <v>9142</v>
      </c>
      <c r="B7312" t="str">
        <f t="shared" si="478"/>
        <v>1</v>
      </c>
      <c r="C7312" t="str">
        <f t="shared" si="479"/>
        <v>394</v>
      </c>
      <c r="D7312" t="str">
        <f>"11"</f>
        <v>11</v>
      </c>
      <c r="E7312" t="str">
        <f>"1-394-11"</f>
        <v>1-394-11</v>
      </c>
      <c r="F7312" t="s">
        <v>15</v>
      </c>
      <c r="G7312" t="s">
        <v>16</v>
      </c>
      <c r="H7312" t="s">
        <v>17</v>
      </c>
      <c r="I7312">
        <v>1</v>
      </c>
      <c r="J7312">
        <v>0</v>
      </c>
      <c r="K7312">
        <v>0</v>
      </c>
    </row>
    <row r="7313" spans="1:11" x14ac:dyDescent="0.25">
      <c r="A7313" t="str">
        <f>"9143"</f>
        <v>9143</v>
      </c>
      <c r="B7313" t="str">
        <f t="shared" si="478"/>
        <v>1</v>
      </c>
      <c r="C7313" t="str">
        <f t="shared" si="479"/>
        <v>394</v>
      </c>
      <c r="D7313" t="str">
        <f>"25"</f>
        <v>25</v>
      </c>
      <c r="E7313" t="str">
        <f>"1-394-25"</f>
        <v>1-394-25</v>
      </c>
      <c r="F7313" t="s">
        <v>15</v>
      </c>
      <c r="G7313" t="s">
        <v>16</v>
      </c>
      <c r="H7313" t="s">
        <v>17</v>
      </c>
      <c r="I7313">
        <v>1</v>
      </c>
      <c r="J7313">
        <v>0</v>
      </c>
      <c r="K7313">
        <v>0</v>
      </c>
    </row>
    <row r="7314" spans="1:11" x14ac:dyDescent="0.25">
      <c r="A7314" t="str">
        <f>"9144"</f>
        <v>9144</v>
      </c>
      <c r="B7314" t="str">
        <f t="shared" si="478"/>
        <v>1</v>
      </c>
      <c r="C7314" t="str">
        <f t="shared" si="479"/>
        <v>394</v>
      </c>
      <c r="D7314" t="str">
        <f>"1"</f>
        <v>1</v>
      </c>
      <c r="E7314" t="str">
        <f>"1-394-1"</f>
        <v>1-394-1</v>
      </c>
      <c r="F7314" t="s">
        <v>15</v>
      </c>
      <c r="G7314" t="s">
        <v>20</v>
      </c>
      <c r="H7314" t="s">
        <v>21</v>
      </c>
      <c r="I7314">
        <v>1</v>
      </c>
      <c r="J7314">
        <v>0</v>
      </c>
      <c r="K7314">
        <v>0</v>
      </c>
    </row>
    <row r="7315" spans="1:11" x14ac:dyDescent="0.25">
      <c r="A7315" t="str">
        <f>"9145"</f>
        <v>9145</v>
      </c>
      <c r="B7315" t="str">
        <f t="shared" si="478"/>
        <v>1</v>
      </c>
      <c r="C7315" t="str">
        <f t="shared" si="479"/>
        <v>394</v>
      </c>
      <c r="D7315" t="str">
        <f>"13"</f>
        <v>13</v>
      </c>
      <c r="E7315" t="str">
        <f>"1-394-13"</f>
        <v>1-394-13</v>
      </c>
      <c r="F7315" t="s">
        <v>15</v>
      </c>
      <c r="G7315" t="s">
        <v>16</v>
      </c>
      <c r="H7315" t="s">
        <v>17</v>
      </c>
      <c r="I7315">
        <v>1</v>
      </c>
      <c r="J7315">
        <v>0</v>
      </c>
      <c r="K7315">
        <v>0</v>
      </c>
    </row>
    <row r="7316" spans="1:11" x14ac:dyDescent="0.25">
      <c r="A7316" t="str">
        <f>"9146"</f>
        <v>9146</v>
      </c>
      <c r="B7316" t="str">
        <f t="shared" si="478"/>
        <v>1</v>
      </c>
      <c r="C7316" t="str">
        <f t="shared" si="479"/>
        <v>394</v>
      </c>
      <c r="D7316" t="str">
        <f>"10"</f>
        <v>10</v>
      </c>
      <c r="E7316" t="str">
        <f>"1-394-10"</f>
        <v>1-394-10</v>
      </c>
      <c r="F7316" t="s">
        <v>15</v>
      </c>
      <c r="G7316" t="s">
        <v>16</v>
      </c>
      <c r="H7316" t="s">
        <v>17</v>
      </c>
      <c r="I7316">
        <v>1</v>
      </c>
      <c r="J7316">
        <v>0</v>
      </c>
      <c r="K7316">
        <v>0</v>
      </c>
    </row>
    <row r="7317" spans="1:11" x14ac:dyDescent="0.25">
      <c r="A7317" t="str">
        <f>"9147"</f>
        <v>9147</v>
      </c>
      <c r="B7317" t="str">
        <f t="shared" si="478"/>
        <v>1</v>
      </c>
      <c r="C7317" t="str">
        <f t="shared" si="479"/>
        <v>394</v>
      </c>
      <c r="D7317" t="str">
        <f>"9"</f>
        <v>9</v>
      </c>
      <c r="E7317" t="str">
        <f>"1-394-9"</f>
        <v>1-394-9</v>
      </c>
      <c r="F7317" t="s">
        <v>15</v>
      </c>
      <c r="G7317" t="s">
        <v>20</v>
      </c>
      <c r="H7317" t="s">
        <v>21</v>
      </c>
      <c r="I7317">
        <v>1</v>
      </c>
      <c r="J7317">
        <v>0</v>
      </c>
      <c r="K7317">
        <v>0</v>
      </c>
    </row>
    <row r="7318" spans="1:11" x14ac:dyDescent="0.25">
      <c r="A7318" t="str">
        <f>"9148"</f>
        <v>9148</v>
      </c>
      <c r="B7318" t="str">
        <f t="shared" si="478"/>
        <v>1</v>
      </c>
      <c r="C7318" t="str">
        <f t="shared" si="479"/>
        <v>394</v>
      </c>
      <c r="D7318" t="str">
        <f>"7"</f>
        <v>7</v>
      </c>
      <c r="E7318" t="str">
        <f>"1-394-7"</f>
        <v>1-394-7</v>
      </c>
      <c r="F7318" t="s">
        <v>15</v>
      </c>
      <c r="G7318" t="s">
        <v>16</v>
      </c>
      <c r="H7318" t="s">
        <v>17</v>
      </c>
      <c r="I7318">
        <v>0</v>
      </c>
      <c r="J7318">
        <v>0</v>
      </c>
      <c r="K7318">
        <v>1</v>
      </c>
    </row>
    <row r="7319" spans="1:11" x14ac:dyDescent="0.25">
      <c r="A7319" t="str">
        <f>"9149"</f>
        <v>9149</v>
      </c>
      <c r="B7319" t="str">
        <f t="shared" si="478"/>
        <v>1</v>
      </c>
      <c r="C7319" t="str">
        <f t="shared" si="479"/>
        <v>394</v>
      </c>
      <c r="D7319" t="str">
        <f>"14"</f>
        <v>14</v>
      </c>
      <c r="E7319" t="str">
        <f>"1-394-14"</f>
        <v>1-394-14</v>
      </c>
      <c r="F7319" t="s">
        <v>15</v>
      </c>
      <c r="G7319" t="s">
        <v>16</v>
      </c>
      <c r="H7319" t="s">
        <v>17</v>
      </c>
      <c r="I7319">
        <v>1</v>
      </c>
      <c r="J7319">
        <v>0</v>
      </c>
      <c r="K7319">
        <v>0</v>
      </c>
    </row>
    <row r="7320" spans="1:11" x14ac:dyDescent="0.25">
      <c r="A7320" t="str">
        <f>"9150"</f>
        <v>9150</v>
      </c>
      <c r="B7320" t="str">
        <f t="shared" si="478"/>
        <v>1</v>
      </c>
      <c r="C7320" t="str">
        <f t="shared" ref="C7320:C7343" si="480">"395"</f>
        <v>395</v>
      </c>
      <c r="D7320" t="str">
        <f>"24"</f>
        <v>24</v>
      </c>
      <c r="E7320" t="str">
        <f>"1-395-24"</f>
        <v>1-395-24</v>
      </c>
      <c r="F7320" t="s">
        <v>15</v>
      </c>
      <c r="G7320" t="s">
        <v>18</v>
      </c>
      <c r="H7320" t="s">
        <v>19</v>
      </c>
      <c r="I7320">
        <v>1</v>
      </c>
      <c r="J7320">
        <v>0</v>
      </c>
      <c r="K7320">
        <v>0</v>
      </c>
    </row>
    <row r="7321" spans="1:11" x14ac:dyDescent="0.25">
      <c r="A7321" t="str">
        <f>"9152"</f>
        <v>9152</v>
      </c>
      <c r="B7321" t="str">
        <f t="shared" si="478"/>
        <v>1</v>
      </c>
      <c r="C7321" t="str">
        <f t="shared" si="480"/>
        <v>395</v>
      </c>
      <c r="D7321" t="str">
        <f>"4"</f>
        <v>4</v>
      </c>
      <c r="E7321" t="str">
        <f>"1-395-4"</f>
        <v>1-395-4</v>
      </c>
      <c r="F7321" t="s">
        <v>15</v>
      </c>
      <c r="G7321" t="s">
        <v>16</v>
      </c>
      <c r="H7321" t="s">
        <v>17</v>
      </c>
      <c r="I7321">
        <v>1</v>
      </c>
      <c r="J7321">
        <v>0</v>
      </c>
      <c r="K7321">
        <v>0</v>
      </c>
    </row>
    <row r="7322" spans="1:11" x14ac:dyDescent="0.25">
      <c r="A7322" t="str">
        <f>"9153"</f>
        <v>9153</v>
      </c>
      <c r="B7322" t="str">
        <f t="shared" si="478"/>
        <v>1</v>
      </c>
      <c r="C7322" t="str">
        <f t="shared" si="480"/>
        <v>395</v>
      </c>
      <c r="D7322" t="str">
        <f>"26"</f>
        <v>26</v>
      </c>
      <c r="E7322" t="str">
        <f>"1-395-26"</f>
        <v>1-395-26</v>
      </c>
      <c r="F7322" t="s">
        <v>15</v>
      </c>
      <c r="G7322" t="s">
        <v>16</v>
      </c>
      <c r="H7322" t="s">
        <v>17</v>
      </c>
      <c r="I7322">
        <v>0</v>
      </c>
      <c r="J7322">
        <v>1</v>
      </c>
      <c r="K7322">
        <v>0</v>
      </c>
    </row>
    <row r="7323" spans="1:11" x14ac:dyDescent="0.25">
      <c r="A7323" t="str">
        <f>"9154"</f>
        <v>9154</v>
      </c>
      <c r="B7323" t="str">
        <f t="shared" si="478"/>
        <v>1</v>
      </c>
      <c r="C7323" t="str">
        <f t="shared" si="480"/>
        <v>395</v>
      </c>
      <c r="D7323" t="str">
        <f>"2"</f>
        <v>2</v>
      </c>
      <c r="E7323" t="str">
        <f>"1-395-2"</f>
        <v>1-395-2</v>
      </c>
      <c r="F7323" t="s">
        <v>15</v>
      </c>
      <c r="G7323" t="s">
        <v>18</v>
      </c>
      <c r="H7323" t="s">
        <v>19</v>
      </c>
      <c r="I7323">
        <v>1</v>
      </c>
      <c r="J7323">
        <v>0</v>
      </c>
      <c r="K7323">
        <v>0</v>
      </c>
    </row>
    <row r="7324" spans="1:11" x14ac:dyDescent="0.25">
      <c r="A7324" t="str">
        <f>"9155"</f>
        <v>9155</v>
      </c>
      <c r="B7324" t="str">
        <f t="shared" si="478"/>
        <v>1</v>
      </c>
      <c r="C7324" t="str">
        <f t="shared" si="480"/>
        <v>395</v>
      </c>
      <c r="D7324" t="str">
        <f>"17"</f>
        <v>17</v>
      </c>
      <c r="E7324" t="str">
        <f>"1-395-17"</f>
        <v>1-395-17</v>
      </c>
      <c r="F7324" t="s">
        <v>15</v>
      </c>
      <c r="G7324" t="s">
        <v>20</v>
      </c>
      <c r="H7324" t="s">
        <v>21</v>
      </c>
      <c r="I7324">
        <v>0</v>
      </c>
      <c r="J7324">
        <v>1</v>
      </c>
      <c r="K7324">
        <v>0</v>
      </c>
    </row>
    <row r="7325" spans="1:11" x14ac:dyDescent="0.25">
      <c r="A7325" t="str">
        <f>"9157"</f>
        <v>9157</v>
      </c>
      <c r="B7325" t="str">
        <f t="shared" si="478"/>
        <v>1</v>
      </c>
      <c r="C7325" t="str">
        <f t="shared" si="480"/>
        <v>395</v>
      </c>
      <c r="D7325" t="str">
        <f>"18"</f>
        <v>18</v>
      </c>
      <c r="E7325" t="str">
        <f>"1-395-18"</f>
        <v>1-395-18</v>
      </c>
      <c r="F7325" t="s">
        <v>15</v>
      </c>
      <c r="G7325" t="s">
        <v>16</v>
      </c>
      <c r="H7325" t="s">
        <v>17</v>
      </c>
      <c r="I7325">
        <v>0</v>
      </c>
      <c r="J7325">
        <v>1</v>
      </c>
      <c r="K7325">
        <v>0</v>
      </c>
    </row>
    <row r="7326" spans="1:11" x14ac:dyDescent="0.25">
      <c r="A7326" t="str">
        <f>"9158"</f>
        <v>9158</v>
      </c>
      <c r="B7326" t="str">
        <f t="shared" si="478"/>
        <v>1</v>
      </c>
      <c r="C7326" t="str">
        <f t="shared" si="480"/>
        <v>395</v>
      </c>
      <c r="D7326" t="str">
        <f>"9"</f>
        <v>9</v>
      </c>
      <c r="E7326" t="str">
        <f>"1-395-9"</f>
        <v>1-395-9</v>
      </c>
      <c r="F7326" t="s">
        <v>15</v>
      </c>
      <c r="G7326" t="s">
        <v>18</v>
      </c>
      <c r="H7326" t="s">
        <v>19</v>
      </c>
      <c r="I7326">
        <v>1</v>
      </c>
      <c r="J7326">
        <v>0</v>
      </c>
      <c r="K7326">
        <v>0</v>
      </c>
    </row>
    <row r="7327" spans="1:11" x14ac:dyDescent="0.25">
      <c r="A7327" t="str">
        <f>"9160"</f>
        <v>9160</v>
      </c>
      <c r="B7327" t="str">
        <f t="shared" si="478"/>
        <v>1</v>
      </c>
      <c r="C7327" t="str">
        <f t="shared" si="480"/>
        <v>395</v>
      </c>
      <c r="D7327" t="str">
        <f>"1"</f>
        <v>1</v>
      </c>
      <c r="E7327" t="str">
        <f>"1-395-1"</f>
        <v>1-395-1</v>
      </c>
      <c r="F7327" t="s">
        <v>15</v>
      </c>
      <c r="G7327" t="s">
        <v>16</v>
      </c>
      <c r="H7327" t="s">
        <v>17</v>
      </c>
      <c r="I7327">
        <v>0</v>
      </c>
      <c r="J7327">
        <v>1</v>
      </c>
      <c r="K7327">
        <v>0</v>
      </c>
    </row>
    <row r="7328" spans="1:11" x14ac:dyDescent="0.25">
      <c r="A7328" t="str">
        <f>"9161"</f>
        <v>9161</v>
      </c>
      <c r="B7328" t="str">
        <f t="shared" si="478"/>
        <v>1</v>
      </c>
      <c r="C7328" t="str">
        <f t="shared" si="480"/>
        <v>395</v>
      </c>
      <c r="D7328" t="str">
        <f>"20"</f>
        <v>20</v>
      </c>
      <c r="E7328" t="str">
        <f>"1-395-20"</f>
        <v>1-395-20</v>
      </c>
      <c r="F7328" t="s">
        <v>15</v>
      </c>
      <c r="G7328" t="s">
        <v>16</v>
      </c>
      <c r="H7328" t="s">
        <v>17</v>
      </c>
      <c r="I7328">
        <v>0</v>
      </c>
      <c r="J7328">
        <v>0</v>
      </c>
      <c r="K7328">
        <v>1</v>
      </c>
    </row>
    <row r="7329" spans="1:11" x14ac:dyDescent="0.25">
      <c r="A7329" t="str">
        <f>"9162"</f>
        <v>9162</v>
      </c>
      <c r="B7329" t="str">
        <f t="shared" si="478"/>
        <v>1</v>
      </c>
      <c r="C7329" t="str">
        <f t="shared" si="480"/>
        <v>395</v>
      </c>
      <c r="D7329" t="str">
        <f>"8"</f>
        <v>8</v>
      </c>
      <c r="E7329" t="str">
        <f>"1-395-8"</f>
        <v>1-395-8</v>
      </c>
      <c r="F7329" t="s">
        <v>15</v>
      </c>
      <c r="G7329" t="s">
        <v>16</v>
      </c>
      <c r="H7329" t="s">
        <v>17</v>
      </c>
      <c r="I7329">
        <v>1</v>
      </c>
      <c r="J7329">
        <v>0</v>
      </c>
      <c r="K7329">
        <v>0</v>
      </c>
    </row>
    <row r="7330" spans="1:11" x14ac:dyDescent="0.25">
      <c r="A7330" t="str">
        <f>"9163"</f>
        <v>9163</v>
      </c>
      <c r="B7330" t="str">
        <f t="shared" si="478"/>
        <v>1</v>
      </c>
      <c r="C7330" t="str">
        <f t="shared" si="480"/>
        <v>395</v>
      </c>
      <c r="D7330" t="str">
        <f>"21"</f>
        <v>21</v>
      </c>
      <c r="E7330" t="str">
        <f>"1-395-21"</f>
        <v>1-395-21</v>
      </c>
      <c r="F7330" t="s">
        <v>15</v>
      </c>
      <c r="G7330" t="s">
        <v>16</v>
      </c>
      <c r="H7330" t="s">
        <v>17</v>
      </c>
      <c r="I7330">
        <v>1</v>
      </c>
      <c r="J7330">
        <v>0</v>
      </c>
      <c r="K7330">
        <v>0</v>
      </c>
    </row>
    <row r="7331" spans="1:11" x14ac:dyDescent="0.25">
      <c r="A7331" t="str">
        <f>"9164"</f>
        <v>9164</v>
      </c>
      <c r="B7331" t="str">
        <f t="shared" si="478"/>
        <v>1</v>
      </c>
      <c r="C7331" t="str">
        <f t="shared" si="480"/>
        <v>395</v>
      </c>
      <c r="D7331" t="str">
        <f>"6"</f>
        <v>6</v>
      </c>
      <c r="E7331" t="str">
        <f>"1-395-6"</f>
        <v>1-395-6</v>
      </c>
      <c r="F7331" t="s">
        <v>15</v>
      </c>
      <c r="G7331" t="s">
        <v>16</v>
      </c>
      <c r="H7331" t="s">
        <v>17</v>
      </c>
      <c r="I7331">
        <v>0</v>
      </c>
      <c r="J7331">
        <v>0</v>
      </c>
      <c r="K7331">
        <v>1</v>
      </c>
    </row>
    <row r="7332" spans="1:11" x14ac:dyDescent="0.25">
      <c r="A7332" t="str">
        <f>"9165"</f>
        <v>9165</v>
      </c>
      <c r="B7332" t="str">
        <f t="shared" si="478"/>
        <v>1</v>
      </c>
      <c r="C7332" t="str">
        <f t="shared" si="480"/>
        <v>395</v>
      </c>
      <c r="D7332" t="str">
        <f>"22"</f>
        <v>22</v>
      </c>
      <c r="E7332" t="str">
        <f>"1-395-22"</f>
        <v>1-395-22</v>
      </c>
      <c r="F7332" t="s">
        <v>15</v>
      </c>
      <c r="G7332" t="s">
        <v>18</v>
      </c>
      <c r="H7332" t="s">
        <v>19</v>
      </c>
      <c r="I7332">
        <v>1</v>
      </c>
      <c r="J7332">
        <v>0</v>
      </c>
      <c r="K7332">
        <v>0</v>
      </c>
    </row>
    <row r="7333" spans="1:11" x14ac:dyDescent="0.25">
      <c r="A7333" t="str">
        <f>"9166"</f>
        <v>9166</v>
      </c>
      <c r="B7333" t="str">
        <f t="shared" si="478"/>
        <v>1</v>
      </c>
      <c r="C7333" t="str">
        <f t="shared" si="480"/>
        <v>395</v>
      </c>
      <c r="D7333" t="str">
        <f>"5"</f>
        <v>5</v>
      </c>
      <c r="E7333" t="str">
        <f>"1-395-5"</f>
        <v>1-395-5</v>
      </c>
      <c r="F7333" t="s">
        <v>15</v>
      </c>
      <c r="G7333" t="s">
        <v>16</v>
      </c>
      <c r="H7333" t="s">
        <v>17</v>
      </c>
      <c r="I7333">
        <v>1</v>
      </c>
      <c r="J7333">
        <v>0</v>
      </c>
      <c r="K7333">
        <v>0</v>
      </c>
    </row>
    <row r="7334" spans="1:11" x14ac:dyDescent="0.25">
      <c r="A7334" t="str">
        <f>"9167"</f>
        <v>9167</v>
      </c>
      <c r="B7334" t="str">
        <f t="shared" si="478"/>
        <v>1</v>
      </c>
      <c r="C7334" t="str">
        <f t="shared" si="480"/>
        <v>395</v>
      </c>
      <c r="D7334" t="str">
        <f>"23"</f>
        <v>23</v>
      </c>
      <c r="E7334" t="str">
        <f>"1-395-23"</f>
        <v>1-395-23</v>
      </c>
      <c r="F7334" t="s">
        <v>15</v>
      </c>
      <c r="G7334" t="s">
        <v>16</v>
      </c>
      <c r="H7334" t="s">
        <v>17</v>
      </c>
      <c r="I7334">
        <v>1</v>
      </c>
      <c r="J7334">
        <v>0</v>
      </c>
      <c r="K7334">
        <v>0</v>
      </c>
    </row>
    <row r="7335" spans="1:11" x14ac:dyDescent="0.25">
      <c r="A7335" t="str">
        <f>"9168"</f>
        <v>9168</v>
      </c>
      <c r="B7335" t="str">
        <f t="shared" si="478"/>
        <v>1</v>
      </c>
      <c r="C7335" t="str">
        <f t="shared" si="480"/>
        <v>395</v>
      </c>
      <c r="D7335" t="str">
        <f>"10"</f>
        <v>10</v>
      </c>
      <c r="E7335" t="str">
        <f>"1-395-10"</f>
        <v>1-395-10</v>
      </c>
      <c r="F7335" t="s">
        <v>15</v>
      </c>
      <c r="G7335" t="s">
        <v>16</v>
      </c>
      <c r="H7335" t="s">
        <v>17</v>
      </c>
      <c r="I7335">
        <v>1</v>
      </c>
      <c r="J7335">
        <v>0</v>
      </c>
      <c r="K7335">
        <v>0</v>
      </c>
    </row>
    <row r="7336" spans="1:11" x14ac:dyDescent="0.25">
      <c r="A7336" t="str">
        <f>"9169"</f>
        <v>9169</v>
      </c>
      <c r="B7336" t="str">
        <f t="shared" si="478"/>
        <v>1</v>
      </c>
      <c r="C7336" t="str">
        <f t="shared" si="480"/>
        <v>395</v>
      </c>
      <c r="D7336" t="str">
        <f>"25"</f>
        <v>25</v>
      </c>
      <c r="E7336" t="str">
        <f>"1-395-25"</f>
        <v>1-395-25</v>
      </c>
      <c r="F7336" t="s">
        <v>15</v>
      </c>
      <c r="G7336" t="s">
        <v>16</v>
      </c>
      <c r="H7336" t="s">
        <v>17</v>
      </c>
      <c r="I7336">
        <v>0</v>
      </c>
      <c r="J7336">
        <v>0</v>
      </c>
      <c r="K7336">
        <v>1</v>
      </c>
    </row>
    <row r="7337" spans="1:11" x14ac:dyDescent="0.25">
      <c r="A7337" t="str">
        <f>"9170"</f>
        <v>9170</v>
      </c>
      <c r="B7337" t="str">
        <f t="shared" si="478"/>
        <v>1</v>
      </c>
      <c r="C7337" t="str">
        <f t="shared" si="480"/>
        <v>395</v>
      </c>
      <c r="D7337" t="str">
        <f>"11"</f>
        <v>11</v>
      </c>
      <c r="E7337" t="str">
        <f>"1-395-11"</f>
        <v>1-395-11</v>
      </c>
      <c r="F7337" t="s">
        <v>15</v>
      </c>
      <c r="G7337" t="s">
        <v>18</v>
      </c>
      <c r="H7337" t="s">
        <v>19</v>
      </c>
      <c r="I7337">
        <v>1</v>
      </c>
      <c r="J7337">
        <v>0</v>
      </c>
      <c r="K7337">
        <v>0</v>
      </c>
    </row>
    <row r="7338" spans="1:11" x14ac:dyDescent="0.25">
      <c r="A7338" t="str">
        <f>"9171"</f>
        <v>9171</v>
      </c>
      <c r="B7338" t="str">
        <f t="shared" si="478"/>
        <v>1</v>
      </c>
      <c r="C7338" t="str">
        <f t="shared" si="480"/>
        <v>395</v>
      </c>
      <c r="D7338" t="str">
        <f>"27"</f>
        <v>27</v>
      </c>
      <c r="E7338" t="str">
        <f>"1-395-27"</f>
        <v>1-395-27</v>
      </c>
      <c r="F7338" t="s">
        <v>15</v>
      </c>
      <c r="G7338" t="s">
        <v>16</v>
      </c>
      <c r="H7338" t="s">
        <v>17</v>
      </c>
      <c r="I7338">
        <v>0</v>
      </c>
      <c r="J7338">
        <v>0</v>
      </c>
      <c r="K7338">
        <v>1</v>
      </c>
    </row>
    <row r="7339" spans="1:11" x14ac:dyDescent="0.25">
      <c r="A7339" t="str">
        <f>"9172"</f>
        <v>9172</v>
      </c>
      <c r="B7339" t="str">
        <f t="shared" si="478"/>
        <v>1</v>
      </c>
      <c r="C7339" t="str">
        <f t="shared" si="480"/>
        <v>395</v>
      </c>
      <c r="D7339" t="str">
        <f>"14"</f>
        <v>14</v>
      </c>
      <c r="E7339" t="str">
        <f>"1-395-14"</f>
        <v>1-395-14</v>
      </c>
      <c r="F7339" t="s">
        <v>15</v>
      </c>
      <c r="G7339" t="s">
        <v>18</v>
      </c>
      <c r="H7339" t="s">
        <v>19</v>
      </c>
      <c r="I7339">
        <v>0</v>
      </c>
      <c r="J7339">
        <v>0</v>
      </c>
      <c r="K7339">
        <v>1</v>
      </c>
    </row>
    <row r="7340" spans="1:11" x14ac:dyDescent="0.25">
      <c r="A7340" t="str">
        <f>"9173"</f>
        <v>9173</v>
      </c>
      <c r="B7340" t="str">
        <f t="shared" si="478"/>
        <v>1</v>
      </c>
      <c r="C7340" t="str">
        <f t="shared" si="480"/>
        <v>395</v>
      </c>
      <c r="D7340" t="str">
        <f>"12"</f>
        <v>12</v>
      </c>
      <c r="E7340" t="str">
        <f>"1-395-12"</f>
        <v>1-395-12</v>
      </c>
      <c r="F7340" t="s">
        <v>15</v>
      </c>
      <c r="G7340" t="s">
        <v>16</v>
      </c>
      <c r="H7340" t="s">
        <v>17</v>
      </c>
      <c r="I7340">
        <v>1</v>
      </c>
      <c r="J7340">
        <v>0</v>
      </c>
      <c r="K7340">
        <v>0</v>
      </c>
    </row>
    <row r="7341" spans="1:11" x14ac:dyDescent="0.25">
      <c r="A7341" t="str">
        <f>"9174"</f>
        <v>9174</v>
      </c>
      <c r="B7341" t="str">
        <f t="shared" si="478"/>
        <v>1</v>
      </c>
      <c r="C7341" t="str">
        <f t="shared" si="480"/>
        <v>395</v>
      </c>
      <c r="D7341" t="str">
        <f>"7"</f>
        <v>7</v>
      </c>
      <c r="E7341" t="str">
        <f>"1-395-7"</f>
        <v>1-395-7</v>
      </c>
      <c r="F7341" t="s">
        <v>15</v>
      </c>
      <c r="G7341" t="s">
        <v>16</v>
      </c>
      <c r="H7341" t="s">
        <v>17</v>
      </c>
      <c r="I7341">
        <v>0</v>
      </c>
      <c r="J7341">
        <v>0</v>
      </c>
      <c r="K7341">
        <v>1</v>
      </c>
    </row>
    <row r="7342" spans="1:11" x14ac:dyDescent="0.25">
      <c r="A7342" t="str">
        <f>"9175"</f>
        <v>9175</v>
      </c>
      <c r="B7342" t="str">
        <f t="shared" si="478"/>
        <v>1</v>
      </c>
      <c r="C7342" t="str">
        <f t="shared" si="480"/>
        <v>395</v>
      </c>
      <c r="D7342" t="str">
        <f>"13"</f>
        <v>13</v>
      </c>
      <c r="E7342" t="str">
        <f>"1-395-13"</f>
        <v>1-395-13</v>
      </c>
      <c r="F7342" t="s">
        <v>15</v>
      </c>
      <c r="G7342" t="s">
        <v>18</v>
      </c>
      <c r="H7342" t="s">
        <v>19</v>
      </c>
      <c r="I7342">
        <v>0</v>
      </c>
      <c r="J7342">
        <v>0</v>
      </c>
      <c r="K7342">
        <v>1</v>
      </c>
    </row>
    <row r="7343" spans="1:11" x14ac:dyDescent="0.25">
      <c r="A7343" t="str">
        <f>"9176"</f>
        <v>9176</v>
      </c>
      <c r="B7343" t="str">
        <f t="shared" si="478"/>
        <v>1</v>
      </c>
      <c r="C7343" t="str">
        <f t="shared" si="480"/>
        <v>395</v>
      </c>
      <c r="D7343" t="str">
        <f>"16"</f>
        <v>16</v>
      </c>
      <c r="E7343" t="str">
        <f>"1-395-16"</f>
        <v>1-395-16</v>
      </c>
      <c r="F7343" t="s">
        <v>15</v>
      </c>
      <c r="G7343" t="s">
        <v>18</v>
      </c>
      <c r="H7343" t="s">
        <v>19</v>
      </c>
      <c r="I7343">
        <v>0</v>
      </c>
      <c r="J7343">
        <v>0</v>
      </c>
      <c r="K7343">
        <v>0</v>
      </c>
    </row>
    <row r="7344" spans="1:11" x14ac:dyDescent="0.25">
      <c r="A7344" t="str">
        <f>"9177"</f>
        <v>9177</v>
      </c>
      <c r="B7344" t="str">
        <f t="shared" si="478"/>
        <v>1</v>
      </c>
      <c r="C7344" t="str">
        <f t="shared" ref="C7344:C7358" si="481">"396"</f>
        <v>396</v>
      </c>
      <c r="D7344" t="str">
        <f>"24"</f>
        <v>24</v>
      </c>
      <c r="E7344" t="str">
        <f>"1-396-24"</f>
        <v>1-396-24</v>
      </c>
      <c r="F7344" t="s">
        <v>15</v>
      </c>
      <c r="G7344" t="s">
        <v>18</v>
      </c>
      <c r="H7344" t="s">
        <v>19</v>
      </c>
      <c r="I7344">
        <v>0</v>
      </c>
      <c r="J7344">
        <v>1</v>
      </c>
      <c r="K7344">
        <v>0</v>
      </c>
    </row>
    <row r="7345" spans="1:11" x14ac:dyDescent="0.25">
      <c r="A7345" t="str">
        <f>"9178"</f>
        <v>9178</v>
      </c>
      <c r="B7345" t="str">
        <f t="shared" ref="B7345:B7386" si="482">"1"</f>
        <v>1</v>
      </c>
      <c r="C7345" t="str">
        <f t="shared" si="481"/>
        <v>396</v>
      </c>
      <c r="D7345" t="str">
        <f>"15"</f>
        <v>15</v>
      </c>
      <c r="E7345" t="str">
        <f>"1-396-15"</f>
        <v>1-396-15</v>
      </c>
      <c r="F7345" t="s">
        <v>15</v>
      </c>
      <c r="G7345" t="s">
        <v>18</v>
      </c>
      <c r="H7345" t="s">
        <v>19</v>
      </c>
      <c r="I7345">
        <v>0</v>
      </c>
      <c r="J7345">
        <v>0</v>
      </c>
      <c r="K7345">
        <v>1</v>
      </c>
    </row>
    <row r="7346" spans="1:11" x14ac:dyDescent="0.25">
      <c r="A7346" t="str">
        <f>"9180"</f>
        <v>9180</v>
      </c>
      <c r="B7346" t="str">
        <f t="shared" si="482"/>
        <v>1</v>
      </c>
      <c r="C7346" t="str">
        <f t="shared" si="481"/>
        <v>396</v>
      </c>
      <c r="D7346" t="str">
        <f>"16"</f>
        <v>16</v>
      </c>
      <c r="E7346" t="str">
        <f>"1-396-16"</f>
        <v>1-396-16</v>
      </c>
      <c r="F7346" t="s">
        <v>15</v>
      </c>
      <c r="G7346" t="s">
        <v>18</v>
      </c>
      <c r="H7346" t="s">
        <v>19</v>
      </c>
      <c r="I7346">
        <v>0</v>
      </c>
      <c r="J7346">
        <v>1</v>
      </c>
      <c r="K7346">
        <v>0</v>
      </c>
    </row>
    <row r="7347" spans="1:11" x14ac:dyDescent="0.25">
      <c r="A7347" t="str">
        <f>"9181"</f>
        <v>9181</v>
      </c>
      <c r="B7347" t="str">
        <f t="shared" si="482"/>
        <v>1</v>
      </c>
      <c r="C7347" t="str">
        <f t="shared" si="481"/>
        <v>396</v>
      </c>
      <c r="D7347" t="str">
        <f>"3"</f>
        <v>3</v>
      </c>
      <c r="E7347" t="str">
        <f>"1-396-3"</f>
        <v>1-396-3</v>
      </c>
      <c r="F7347" t="s">
        <v>15</v>
      </c>
      <c r="G7347" t="s">
        <v>18</v>
      </c>
      <c r="H7347" t="s">
        <v>19</v>
      </c>
      <c r="I7347">
        <v>0</v>
      </c>
      <c r="J7347">
        <v>1</v>
      </c>
      <c r="K7347">
        <v>0</v>
      </c>
    </row>
    <row r="7348" spans="1:11" x14ac:dyDescent="0.25">
      <c r="A7348" t="str">
        <f>"9183"</f>
        <v>9183</v>
      </c>
      <c r="B7348" t="str">
        <f t="shared" si="482"/>
        <v>1</v>
      </c>
      <c r="C7348" t="str">
        <f t="shared" si="481"/>
        <v>396</v>
      </c>
      <c r="D7348" t="str">
        <f>"8"</f>
        <v>8</v>
      </c>
      <c r="E7348" t="str">
        <f>"1-396-8"</f>
        <v>1-396-8</v>
      </c>
      <c r="F7348" t="s">
        <v>15</v>
      </c>
      <c r="G7348" t="s">
        <v>18</v>
      </c>
      <c r="H7348" t="s">
        <v>19</v>
      </c>
      <c r="I7348">
        <v>0</v>
      </c>
      <c r="J7348">
        <v>0</v>
      </c>
      <c r="K7348">
        <v>1</v>
      </c>
    </row>
    <row r="7349" spans="1:11" x14ac:dyDescent="0.25">
      <c r="A7349" t="str">
        <f>"9184"</f>
        <v>9184</v>
      </c>
      <c r="B7349" t="str">
        <f t="shared" si="482"/>
        <v>1</v>
      </c>
      <c r="C7349" t="str">
        <f t="shared" si="481"/>
        <v>396</v>
      </c>
      <c r="D7349" t="str">
        <f>"19"</f>
        <v>19</v>
      </c>
      <c r="E7349" t="str">
        <f>"1-396-19"</f>
        <v>1-396-19</v>
      </c>
      <c r="F7349" t="s">
        <v>15</v>
      </c>
      <c r="G7349" t="s">
        <v>18</v>
      </c>
      <c r="H7349" t="s">
        <v>19</v>
      </c>
      <c r="I7349">
        <v>1</v>
      </c>
      <c r="J7349">
        <v>0</v>
      </c>
      <c r="K7349">
        <v>0</v>
      </c>
    </row>
    <row r="7350" spans="1:11" x14ac:dyDescent="0.25">
      <c r="A7350" t="str">
        <f>"9186"</f>
        <v>9186</v>
      </c>
      <c r="B7350" t="str">
        <f t="shared" si="482"/>
        <v>1</v>
      </c>
      <c r="C7350" t="str">
        <f t="shared" si="481"/>
        <v>396</v>
      </c>
      <c r="D7350" t="str">
        <f>"20"</f>
        <v>20</v>
      </c>
      <c r="E7350" t="str">
        <f>"1-396-20"</f>
        <v>1-396-20</v>
      </c>
      <c r="F7350" t="s">
        <v>15</v>
      </c>
      <c r="G7350" t="s">
        <v>16</v>
      </c>
      <c r="H7350" t="s">
        <v>17</v>
      </c>
      <c r="I7350">
        <v>1</v>
      </c>
      <c r="J7350">
        <v>0</v>
      </c>
      <c r="K7350">
        <v>0</v>
      </c>
    </row>
    <row r="7351" spans="1:11" x14ac:dyDescent="0.25">
      <c r="A7351" t="str">
        <f>"9192"</f>
        <v>9192</v>
      </c>
      <c r="B7351" t="str">
        <f t="shared" si="482"/>
        <v>1</v>
      </c>
      <c r="C7351" t="str">
        <f t="shared" si="481"/>
        <v>396</v>
      </c>
      <c r="D7351" t="str">
        <f>"23"</f>
        <v>23</v>
      </c>
      <c r="E7351" t="str">
        <f>"1-396-23"</f>
        <v>1-396-23</v>
      </c>
      <c r="F7351" t="s">
        <v>15</v>
      </c>
      <c r="G7351" t="s">
        <v>18</v>
      </c>
      <c r="H7351" t="s">
        <v>19</v>
      </c>
      <c r="I7351">
        <v>1</v>
      </c>
      <c r="J7351">
        <v>0</v>
      </c>
      <c r="K7351">
        <v>0</v>
      </c>
    </row>
    <row r="7352" spans="1:11" x14ac:dyDescent="0.25">
      <c r="A7352" t="str">
        <f>"9194"</f>
        <v>9194</v>
      </c>
      <c r="B7352" t="str">
        <f t="shared" si="482"/>
        <v>1</v>
      </c>
      <c r="C7352" t="str">
        <f t="shared" si="481"/>
        <v>396</v>
      </c>
      <c r="D7352" t="str">
        <f>"25"</f>
        <v>25</v>
      </c>
      <c r="E7352" t="str">
        <f>"1-396-25"</f>
        <v>1-396-25</v>
      </c>
      <c r="F7352" t="s">
        <v>15</v>
      </c>
      <c r="G7352" t="s">
        <v>18</v>
      </c>
      <c r="H7352" t="s">
        <v>19</v>
      </c>
      <c r="I7352">
        <v>0</v>
      </c>
      <c r="J7352">
        <v>1</v>
      </c>
      <c r="K7352">
        <v>0</v>
      </c>
    </row>
    <row r="7353" spans="1:11" x14ac:dyDescent="0.25">
      <c r="A7353" t="str">
        <f>"9195"</f>
        <v>9195</v>
      </c>
      <c r="B7353" t="str">
        <f t="shared" si="482"/>
        <v>1</v>
      </c>
      <c r="C7353" t="str">
        <f t="shared" si="481"/>
        <v>396</v>
      </c>
      <c r="D7353" t="str">
        <f>"7"</f>
        <v>7</v>
      </c>
      <c r="E7353" t="str">
        <f>"1-396-7"</f>
        <v>1-396-7</v>
      </c>
      <c r="F7353" t="s">
        <v>15</v>
      </c>
      <c r="G7353" t="s">
        <v>18</v>
      </c>
      <c r="H7353" t="s">
        <v>19</v>
      </c>
      <c r="I7353">
        <v>0</v>
      </c>
      <c r="J7353">
        <v>1</v>
      </c>
      <c r="K7353">
        <v>0</v>
      </c>
    </row>
    <row r="7354" spans="1:11" x14ac:dyDescent="0.25">
      <c r="A7354" t="str">
        <f>"9196"</f>
        <v>9196</v>
      </c>
      <c r="B7354" t="str">
        <f t="shared" si="482"/>
        <v>1</v>
      </c>
      <c r="C7354" t="str">
        <f t="shared" si="481"/>
        <v>396</v>
      </c>
      <c r="D7354" t="str">
        <f>"13"</f>
        <v>13</v>
      </c>
      <c r="E7354" t="str">
        <f>"1-396-13"</f>
        <v>1-396-13</v>
      </c>
      <c r="F7354" t="s">
        <v>15</v>
      </c>
      <c r="G7354" t="s">
        <v>18</v>
      </c>
      <c r="H7354" t="s">
        <v>19</v>
      </c>
      <c r="I7354">
        <v>0</v>
      </c>
      <c r="J7354">
        <v>1</v>
      </c>
      <c r="K7354">
        <v>0</v>
      </c>
    </row>
    <row r="7355" spans="1:11" x14ac:dyDescent="0.25">
      <c r="A7355" t="str">
        <f>"9197"</f>
        <v>9197</v>
      </c>
      <c r="B7355" t="str">
        <f t="shared" si="482"/>
        <v>1</v>
      </c>
      <c r="C7355" t="str">
        <f t="shared" si="481"/>
        <v>396</v>
      </c>
      <c r="D7355" t="str">
        <f>"14"</f>
        <v>14</v>
      </c>
      <c r="E7355" t="str">
        <f>"1-396-14"</f>
        <v>1-396-14</v>
      </c>
      <c r="F7355" t="s">
        <v>15</v>
      </c>
      <c r="G7355" t="s">
        <v>18</v>
      </c>
      <c r="H7355" t="s">
        <v>19</v>
      </c>
      <c r="I7355">
        <v>0</v>
      </c>
      <c r="J7355">
        <v>1</v>
      </c>
      <c r="K7355">
        <v>0</v>
      </c>
    </row>
    <row r="7356" spans="1:11" x14ac:dyDescent="0.25">
      <c r="A7356" t="str">
        <f>"9199"</f>
        <v>9199</v>
      </c>
      <c r="B7356" t="str">
        <f t="shared" si="482"/>
        <v>1</v>
      </c>
      <c r="C7356" t="str">
        <f t="shared" si="481"/>
        <v>396</v>
      </c>
      <c r="D7356" t="str">
        <f>"10"</f>
        <v>10</v>
      </c>
      <c r="E7356" t="str">
        <f>"1-396-10"</f>
        <v>1-396-10</v>
      </c>
      <c r="F7356" t="s">
        <v>15</v>
      </c>
      <c r="G7356" t="s">
        <v>18</v>
      </c>
      <c r="H7356" t="s">
        <v>19</v>
      </c>
      <c r="I7356">
        <v>0</v>
      </c>
      <c r="J7356">
        <v>0</v>
      </c>
      <c r="K7356">
        <v>1</v>
      </c>
    </row>
    <row r="7357" spans="1:11" x14ac:dyDescent="0.25">
      <c r="A7357" t="str">
        <f>"9200"</f>
        <v>9200</v>
      </c>
      <c r="B7357" t="str">
        <f t="shared" si="482"/>
        <v>1</v>
      </c>
      <c r="C7357" t="str">
        <f t="shared" si="481"/>
        <v>396</v>
      </c>
      <c r="D7357" t="str">
        <f>"17"</f>
        <v>17</v>
      </c>
      <c r="E7357" t="str">
        <f>"1-396-17"</f>
        <v>1-396-17</v>
      </c>
      <c r="F7357" t="s">
        <v>15</v>
      </c>
      <c r="G7357" t="s">
        <v>18</v>
      </c>
      <c r="H7357" t="s">
        <v>19</v>
      </c>
      <c r="I7357">
        <v>0</v>
      </c>
      <c r="J7357">
        <v>0</v>
      </c>
      <c r="K7357">
        <v>0</v>
      </c>
    </row>
    <row r="7358" spans="1:11" x14ac:dyDescent="0.25">
      <c r="A7358" t="str">
        <f>"9201"</f>
        <v>9201</v>
      </c>
      <c r="B7358" t="str">
        <f t="shared" si="482"/>
        <v>1</v>
      </c>
      <c r="C7358" t="str">
        <f t="shared" si="481"/>
        <v>396</v>
      </c>
      <c r="D7358" t="str">
        <f>"18"</f>
        <v>18</v>
      </c>
      <c r="E7358" t="str">
        <f>"1-396-18"</f>
        <v>1-396-18</v>
      </c>
      <c r="F7358" t="s">
        <v>15</v>
      </c>
      <c r="G7358" t="s">
        <v>18</v>
      </c>
      <c r="H7358" t="s">
        <v>19</v>
      </c>
      <c r="I7358">
        <v>0</v>
      </c>
      <c r="J7358">
        <v>0</v>
      </c>
      <c r="K7358">
        <v>0</v>
      </c>
    </row>
    <row r="7359" spans="1:11" x14ac:dyDescent="0.25">
      <c r="A7359" t="str">
        <f>"9202"</f>
        <v>9202</v>
      </c>
      <c r="B7359" t="str">
        <f t="shared" si="482"/>
        <v>1</v>
      </c>
      <c r="C7359" t="str">
        <f t="shared" ref="C7359:C7367" si="483">"397"</f>
        <v>397</v>
      </c>
      <c r="D7359" t="str">
        <f>"2"</f>
        <v>2</v>
      </c>
      <c r="E7359" t="str">
        <f>"1-397-2"</f>
        <v>1-397-2</v>
      </c>
      <c r="F7359" t="s">
        <v>15</v>
      </c>
      <c r="G7359" t="s">
        <v>20</v>
      </c>
      <c r="H7359" t="s">
        <v>21</v>
      </c>
      <c r="I7359">
        <v>0</v>
      </c>
      <c r="J7359">
        <v>0</v>
      </c>
      <c r="K7359">
        <v>1</v>
      </c>
    </row>
    <row r="7360" spans="1:11" x14ac:dyDescent="0.25">
      <c r="A7360" t="str">
        <f>"9203"</f>
        <v>9203</v>
      </c>
      <c r="B7360" t="str">
        <f t="shared" si="482"/>
        <v>1</v>
      </c>
      <c r="C7360" t="str">
        <f t="shared" si="483"/>
        <v>397</v>
      </c>
      <c r="D7360" t="str">
        <f>"5"</f>
        <v>5</v>
      </c>
      <c r="E7360" t="str">
        <f>"1-397-5"</f>
        <v>1-397-5</v>
      </c>
      <c r="F7360" t="s">
        <v>15</v>
      </c>
      <c r="G7360" t="s">
        <v>20</v>
      </c>
      <c r="H7360" t="s">
        <v>21</v>
      </c>
      <c r="I7360">
        <v>1</v>
      </c>
      <c r="J7360">
        <v>0</v>
      </c>
      <c r="K7360">
        <v>0</v>
      </c>
    </row>
    <row r="7361" spans="1:11" x14ac:dyDescent="0.25">
      <c r="A7361" t="str">
        <f>"9205"</f>
        <v>9205</v>
      </c>
      <c r="B7361" t="str">
        <f t="shared" si="482"/>
        <v>1</v>
      </c>
      <c r="C7361" t="str">
        <f t="shared" si="483"/>
        <v>397</v>
      </c>
      <c r="D7361" t="str">
        <f>"7"</f>
        <v>7</v>
      </c>
      <c r="E7361" t="str">
        <f>"1-397-7"</f>
        <v>1-397-7</v>
      </c>
      <c r="F7361" t="s">
        <v>15</v>
      </c>
      <c r="G7361" t="s">
        <v>20</v>
      </c>
      <c r="H7361" t="s">
        <v>21</v>
      </c>
      <c r="I7361">
        <v>0</v>
      </c>
      <c r="J7361">
        <v>0</v>
      </c>
      <c r="K7361">
        <v>1</v>
      </c>
    </row>
    <row r="7362" spans="1:11" x14ac:dyDescent="0.25">
      <c r="A7362" t="str">
        <f>"9210"</f>
        <v>9210</v>
      </c>
      <c r="B7362" t="str">
        <f t="shared" si="482"/>
        <v>1</v>
      </c>
      <c r="C7362" t="str">
        <f t="shared" si="483"/>
        <v>397</v>
      </c>
      <c r="D7362" t="str">
        <f>"14"</f>
        <v>14</v>
      </c>
      <c r="E7362" t="str">
        <f>"1-397-14"</f>
        <v>1-397-14</v>
      </c>
      <c r="F7362" t="s">
        <v>15</v>
      </c>
      <c r="G7362" t="s">
        <v>20</v>
      </c>
      <c r="H7362" t="s">
        <v>21</v>
      </c>
      <c r="I7362">
        <v>0</v>
      </c>
      <c r="J7362">
        <v>1</v>
      </c>
      <c r="K7362">
        <v>0</v>
      </c>
    </row>
    <row r="7363" spans="1:11" x14ac:dyDescent="0.25">
      <c r="A7363" t="str">
        <f>"9211"</f>
        <v>9211</v>
      </c>
      <c r="B7363" t="str">
        <f t="shared" si="482"/>
        <v>1</v>
      </c>
      <c r="C7363" t="str">
        <f t="shared" si="483"/>
        <v>397</v>
      </c>
      <c r="D7363" t="str">
        <f>"6"</f>
        <v>6</v>
      </c>
      <c r="E7363" t="str">
        <f>"1-397-6"</f>
        <v>1-397-6</v>
      </c>
      <c r="F7363" t="s">
        <v>15</v>
      </c>
      <c r="G7363" t="s">
        <v>20</v>
      </c>
      <c r="H7363" t="s">
        <v>21</v>
      </c>
      <c r="I7363">
        <v>0</v>
      </c>
      <c r="J7363">
        <v>0</v>
      </c>
      <c r="K7363">
        <v>1</v>
      </c>
    </row>
    <row r="7364" spans="1:11" x14ac:dyDescent="0.25">
      <c r="A7364" t="str">
        <f>"9212"</f>
        <v>9212</v>
      </c>
      <c r="B7364" t="str">
        <f t="shared" si="482"/>
        <v>1</v>
      </c>
      <c r="C7364" t="str">
        <f t="shared" si="483"/>
        <v>397</v>
      </c>
      <c r="D7364" t="str">
        <f>"9"</f>
        <v>9</v>
      </c>
      <c r="E7364" t="str">
        <f>"1-397-9"</f>
        <v>1-397-9</v>
      </c>
      <c r="F7364" t="s">
        <v>15</v>
      </c>
      <c r="G7364" t="s">
        <v>20</v>
      </c>
      <c r="H7364" t="s">
        <v>21</v>
      </c>
      <c r="I7364">
        <v>0</v>
      </c>
      <c r="J7364">
        <v>0</v>
      </c>
      <c r="K7364">
        <v>0</v>
      </c>
    </row>
    <row r="7365" spans="1:11" x14ac:dyDescent="0.25">
      <c r="A7365" t="str">
        <f>"9213"</f>
        <v>9213</v>
      </c>
      <c r="B7365" t="str">
        <f t="shared" si="482"/>
        <v>1</v>
      </c>
      <c r="C7365" t="str">
        <f t="shared" si="483"/>
        <v>397</v>
      </c>
      <c r="D7365" t="str">
        <f>"11"</f>
        <v>11</v>
      </c>
      <c r="E7365" t="str">
        <f>"1-397-11"</f>
        <v>1-397-11</v>
      </c>
      <c r="F7365" t="s">
        <v>15</v>
      </c>
      <c r="G7365" t="s">
        <v>20</v>
      </c>
      <c r="H7365" t="s">
        <v>21</v>
      </c>
      <c r="I7365">
        <v>0</v>
      </c>
      <c r="J7365">
        <v>1</v>
      </c>
      <c r="K7365">
        <v>0</v>
      </c>
    </row>
    <row r="7366" spans="1:11" x14ac:dyDescent="0.25">
      <c r="A7366" t="str">
        <f>"9214"</f>
        <v>9214</v>
      </c>
      <c r="B7366" t="str">
        <f t="shared" si="482"/>
        <v>1</v>
      </c>
      <c r="C7366" t="str">
        <f t="shared" si="483"/>
        <v>397</v>
      </c>
      <c r="D7366" t="str">
        <f>"3"</f>
        <v>3</v>
      </c>
      <c r="E7366" t="str">
        <f>"1-397-3"</f>
        <v>1-397-3</v>
      </c>
      <c r="F7366" t="s">
        <v>15</v>
      </c>
      <c r="G7366" t="s">
        <v>20</v>
      </c>
      <c r="H7366" t="s">
        <v>21</v>
      </c>
      <c r="I7366">
        <v>0</v>
      </c>
      <c r="J7366">
        <v>0</v>
      </c>
      <c r="K7366">
        <v>0</v>
      </c>
    </row>
    <row r="7367" spans="1:11" x14ac:dyDescent="0.25">
      <c r="A7367" t="str">
        <f>"9215"</f>
        <v>9215</v>
      </c>
      <c r="B7367" t="str">
        <f t="shared" si="482"/>
        <v>1</v>
      </c>
      <c r="C7367" t="str">
        <f t="shared" si="483"/>
        <v>397</v>
      </c>
      <c r="D7367" t="str">
        <f>"4"</f>
        <v>4</v>
      </c>
      <c r="E7367" t="str">
        <f>"1-397-4"</f>
        <v>1-397-4</v>
      </c>
      <c r="F7367" t="s">
        <v>15</v>
      </c>
      <c r="G7367" t="s">
        <v>20</v>
      </c>
      <c r="H7367" t="s">
        <v>21</v>
      </c>
      <c r="I7367">
        <v>0</v>
      </c>
      <c r="J7367">
        <v>0</v>
      </c>
      <c r="K7367">
        <v>0</v>
      </c>
    </row>
    <row r="7368" spans="1:11" x14ac:dyDescent="0.25">
      <c r="A7368" t="str">
        <f>"9216"</f>
        <v>9216</v>
      </c>
      <c r="B7368" t="str">
        <f t="shared" si="482"/>
        <v>1</v>
      </c>
      <c r="C7368" t="str">
        <f t="shared" ref="C7368:C7385" si="484">"398"</f>
        <v>398</v>
      </c>
      <c r="D7368" t="str">
        <f>"15"</f>
        <v>15</v>
      </c>
      <c r="E7368" t="str">
        <f>"1-398-15"</f>
        <v>1-398-15</v>
      </c>
      <c r="F7368" t="s">
        <v>15</v>
      </c>
      <c r="G7368" t="s">
        <v>18</v>
      </c>
      <c r="H7368" t="s">
        <v>19</v>
      </c>
      <c r="I7368">
        <v>0</v>
      </c>
      <c r="J7368">
        <v>0</v>
      </c>
      <c r="K7368">
        <v>1</v>
      </c>
    </row>
    <row r="7369" spans="1:11" x14ac:dyDescent="0.25">
      <c r="A7369" t="str">
        <f>"9217"</f>
        <v>9217</v>
      </c>
      <c r="B7369" t="str">
        <f t="shared" si="482"/>
        <v>1</v>
      </c>
      <c r="C7369" t="str">
        <f t="shared" si="484"/>
        <v>398</v>
      </c>
      <c r="D7369" t="str">
        <f>"3"</f>
        <v>3</v>
      </c>
      <c r="E7369" t="str">
        <f>"1-398-3"</f>
        <v>1-398-3</v>
      </c>
      <c r="F7369" t="s">
        <v>15</v>
      </c>
      <c r="G7369" t="s">
        <v>16</v>
      </c>
      <c r="H7369" t="s">
        <v>17</v>
      </c>
      <c r="I7369">
        <v>0</v>
      </c>
      <c r="J7369">
        <v>0</v>
      </c>
      <c r="K7369">
        <v>1</v>
      </c>
    </row>
    <row r="7370" spans="1:11" x14ac:dyDescent="0.25">
      <c r="A7370" t="str">
        <f>"9220"</f>
        <v>9220</v>
      </c>
      <c r="B7370" t="str">
        <f t="shared" si="482"/>
        <v>1</v>
      </c>
      <c r="C7370" t="str">
        <f t="shared" si="484"/>
        <v>398</v>
      </c>
      <c r="D7370" t="str">
        <f>"2"</f>
        <v>2</v>
      </c>
      <c r="E7370" t="str">
        <f>"1-398-2"</f>
        <v>1-398-2</v>
      </c>
      <c r="F7370" t="s">
        <v>15</v>
      </c>
      <c r="G7370" t="s">
        <v>18</v>
      </c>
      <c r="H7370" t="s">
        <v>19</v>
      </c>
      <c r="I7370">
        <v>0</v>
      </c>
      <c r="J7370">
        <v>1</v>
      </c>
      <c r="K7370">
        <v>0</v>
      </c>
    </row>
    <row r="7371" spans="1:11" x14ac:dyDescent="0.25">
      <c r="A7371" t="str">
        <f>"9221"</f>
        <v>9221</v>
      </c>
      <c r="B7371" t="str">
        <f t="shared" si="482"/>
        <v>1</v>
      </c>
      <c r="C7371" t="str">
        <f t="shared" si="484"/>
        <v>398</v>
      </c>
      <c r="D7371" t="str">
        <f>"17"</f>
        <v>17</v>
      </c>
      <c r="E7371" t="str">
        <f>"1-398-17"</f>
        <v>1-398-17</v>
      </c>
      <c r="F7371" t="s">
        <v>15</v>
      </c>
      <c r="G7371" t="s">
        <v>18</v>
      </c>
      <c r="H7371" t="s">
        <v>19</v>
      </c>
      <c r="I7371">
        <v>0</v>
      </c>
      <c r="J7371">
        <v>0</v>
      </c>
      <c r="K7371">
        <v>1</v>
      </c>
    </row>
    <row r="7372" spans="1:11" x14ac:dyDescent="0.25">
      <c r="A7372" t="str">
        <f>"9222"</f>
        <v>9222</v>
      </c>
      <c r="B7372" t="str">
        <f t="shared" si="482"/>
        <v>1</v>
      </c>
      <c r="C7372" t="str">
        <f t="shared" si="484"/>
        <v>398</v>
      </c>
      <c r="D7372" t="str">
        <f>"5"</f>
        <v>5</v>
      </c>
      <c r="E7372" t="str">
        <f>"1-398-5"</f>
        <v>1-398-5</v>
      </c>
      <c r="F7372" t="s">
        <v>15</v>
      </c>
      <c r="G7372" t="s">
        <v>16</v>
      </c>
      <c r="H7372" t="s">
        <v>17</v>
      </c>
      <c r="I7372">
        <v>0</v>
      </c>
      <c r="J7372">
        <v>0</v>
      </c>
      <c r="K7372">
        <v>1</v>
      </c>
    </row>
    <row r="7373" spans="1:11" x14ac:dyDescent="0.25">
      <c r="A7373" t="str">
        <f>"9223"</f>
        <v>9223</v>
      </c>
      <c r="B7373" t="str">
        <f t="shared" si="482"/>
        <v>1</v>
      </c>
      <c r="C7373" t="str">
        <f t="shared" si="484"/>
        <v>398</v>
      </c>
      <c r="D7373" t="str">
        <f>"18"</f>
        <v>18</v>
      </c>
      <c r="E7373" t="str">
        <f>"1-398-18"</f>
        <v>1-398-18</v>
      </c>
      <c r="F7373" t="s">
        <v>15</v>
      </c>
      <c r="G7373" t="s">
        <v>18</v>
      </c>
      <c r="H7373" t="s">
        <v>19</v>
      </c>
      <c r="I7373">
        <v>0</v>
      </c>
      <c r="J7373">
        <v>1</v>
      </c>
      <c r="K7373">
        <v>0</v>
      </c>
    </row>
    <row r="7374" spans="1:11" x14ac:dyDescent="0.25">
      <c r="A7374" t="str">
        <f>"9224"</f>
        <v>9224</v>
      </c>
      <c r="B7374" t="str">
        <f t="shared" si="482"/>
        <v>1</v>
      </c>
      <c r="C7374" t="str">
        <f t="shared" si="484"/>
        <v>398</v>
      </c>
      <c r="D7374" t="str">
        <f>"10"</f>
        <v>10</v>
      </c>
      <c r="E7374" t="str">
        <f>"1-398-10"</f>
        <v>1-398-10</v>
      </c>
      <c r="F7374" t="s">
        <v>15</v>
      </c>
      <c r="G7374" t="s">
        <v>18</v>
      </c>
      <c r="H7374" t="s">
        <v>19</v>
      </c>
      <c r="I7374">
        <v>0</v>
      </c>
      <c r="J7374">
        <v>1</v>
      </c>
      <c r="K7374">
        <v>0</v>
      </c>
    </row>
    <row r="7375" spans="1:11" x14ac:dyDescent="0.25">
      <c r="A7375" t="str">
        <f>"9225"</f>
        <v>9225</v>
      </c>
      <c r="B7375" t="str">
        <f t="shared" si="482"/>
        <v>1</v>
      </c>
      <c r="C7375" t="str">
        <f t="shared" si="484"/>
        <v>398</v>
      </c>
      <c r="D7375" t="str">
        <f>"19"</f>
        <v>19</v>
      </c>
      <c r="E7375" t="str">
        <f>"1-398-19"</f>
        <v>1-398-19</v>
      </c>
      <c r="F7375" t="s">
        <v>15</v>
      </c>
      <c r="G7375" t="s">
        <v>18</v>
      </c>
      <c r="H7375" t="s">
        <v>19</v>
      </c>
      <c r="I7375">
        <v>0</v>
      </c>
      <c r="J7375">
        <v>0</v>
      </c>
      <c r="K7375">
        <v>1</v>
      </c>
    </row>
    <row r="7376" spans="1:11" x14ac:dyDescent="0.25">
      <c r="A7376" t="str">
        <f>"9227"</f>
        <v>9227</v>
      </c>
      <c r="B7376" t="str">
        <f t="shared" si="482"/>
        <v>1</v>
      </c>
      <c r="C7376" t="str">
        <f t="shared" si="484"/>
        <v>398</v>
      </c>
      <c r="D7376" t="str">
        <f>"20"</f>
        <v>20</v>
      </c>
      <c r="E7376" t="str">
        <f>"1-398-20"</f>
        <v>1-398-20</v>
      </c>
      <c r="F7376" t="s">
        <v>15</v>
      </c>
      <c r="G7376" t="s">
        <v>18</v>
      </c>
      <c r="H7376" t="s">
        <v>19</v>
      </c>
      <c r="I7376">
        <v>0</v>
      </c>
      <c r="J7376">
        <v>1</v>
      </c>
      <c r="K7376">
        <v>0</v>
      </c>
    </row>
    <row r="7377" spans="1:11" x14ac:dyDescent="0.25">
      <c r="A7377" t="str">
        <f>"9231"</f>
        <v>9231</v>
      </c>
      <c r="B7377" t="str">
        <f t="shared" si="482"/>
        <v>1</v>
      </c>
      <c r="C7377" t="str">
        <f t="shared" si="484"/>
        <v>398</v>
      </c>
      <c r="D7377" t="str">
        <f>"23"</f>
        <v>23</v>
      </c>
      <c r="E7377" t="str">
        <f>"1-398-23"</f>
        <v>1-398-23</v>
      </c>
      <c r="F7377" t="s">
        <v>15</v>
      </c>
      <c r="G7377" t="s">
        <v>18</v>
      </c>
      <c r="H7377" t="s">
        <v>19</v>
      </c>
      <c r="I7377">
        <v>0</v>
      </c>
      <c r="J7377">
        <v>1</v>
      </c>
      <c r="K7377">
        <v>0</v>
      </c>
    </row>
    <row r="7378" spans="1:11" x14ac:dyDescent="0.25">
      <c r="A7378" t="str">
        <f>"9232"</f>
        <v>9232</v>
      </c>
      <c r="B7378" t="str">
        <f t="shared" si="482"/>
        <v>1</v>
      </c>
      <c r="C7378" t="str">
        <f t="shared" si="484"/>
        <v>398</v>
      </c>
      <c r="D7378" t="str">
        <f>"1"</f>
        <v>1</v>
      </c>
      <c r="E7378" t="str">
        <f>"1-398-1"</f>
        <v>1-398-1</v>
      </c>
      <c r="F7378" t="s">
        <v>15</v>
      </c>
      <c r="G7378" t="s">
        <v>18</v>
      </c>
      <c r="H7378" t="s">
        <v>19</v>
      </c>
      <c r="I7378">
        <v>0</v>
      </c>
      <c r="J7378">
        <v>0</v>
      </c>
      <c r="K7378">
        <v>1</v>
      </c>
    </row>
    <row r="7379" spans="1:11" x14ac:dyDescent="0.25">
      <c r="A7379" t="str">
        <f>"9234"</f>
        <v>9234</v>
      </c>
      <c r="B7379" t="str">
        <f t="shared" si="482"/>
        <v>1</v>
      </c>
      <c r="C7379" t="str">
        <f t="shared" si="484"/>
        <v>398</v>
      </c>
      <c r="D7379" t="str">
        <f>"9"</f>
        <v>9</v>
      </c>
      <c r="E7379" t="str">
        <f>"1-398-9"</f>
        <v>1-398-9</v>
      </c>
      <c r="F7379" t="s">
        <v>15</v>
      </c>
      <c r="G7379" t="s">
        <v>18</v>
      </c>
      <c r="H7379" t="s">
        <v>19</v>
      </c>
      <c r="I7379">
        <v>0</v>
      </c>
      <c r="J7379">
        <v>0</v>
      </c>
      <c r="K7379">
        <v>1</v>
      </c>
    </row>
    <row r="7380" spans="1:11" x14ac:dyDescent="0.25">
      <c r="A7380" t="str">
        <f>"9235"</f>
        <v>9235</v>
      </c>
      <c r="B7380" t="str">
        <f t="shared" si="482"/>
        <v>1</v>
      </c>
      <c r="C7380" t="str">
        <f t="shared" si="484"/>
        <v>398</v>
      </c>
      <c r="D7380" t="str">
        <f>"25"</f>
        <v>25</v>
      </c>
      <c r="E7380" t="str">
        <f>"1-398-25"</f>
        <v>1-398-25</v>
      </c>
      <c r="F7380" t="s">
        <v>15</v>
      </c>
      <c r="G7380" t="s">
        <v>18</v>
      </c>
      <c r="H7380" t="s">
        <v>19</v>
      </c>
      <c r="I7380">
        <v>0</v>
      </c>
      <c r="J7380">
        <v>0</v>
      </c>
      <c r="K7380">
        <v>1</v>
      </c>
    </row>
    <row r="7381" spans="1:11" x14ac:dyDescent="0.25">
      <c r="A7381" t="str">
        <f>"9236"</f>
        <v>9236</v>
      </c>
      <c r="B7381" t="str">
        <f t="shared" si="482"/>
        <v>1</v>
      </c>
      <c r="C7381" t="str">
        <f t="shared" si="484"/>
        <v>398</v>
      </c>
      <c r="D7381" t="str">
        <f>"12"</f>
        <v>12</v>
      </c>
      <c r="E7381" t="str">
        <f>"1-398-12"</f>
        <v>1-398-12</v>
      </c>
      <c r="F7381" t="s">
        <v>15</v>
      </c>
      <c r="G7381" t="s">
        <v>18</v>
      </c>
      <c r="H7381" t="s">
        <v>19</v>
      </c>
      <c r="I7381">
        <v>1</v>
      </c>
      <c r="J7381">
        <v>0</v>
      </c>
      <c r="K7381">
        <v>0</v>
      </c>
    </row>
    <row r="7382" spans="1:11" x14ac:dyDescent="0.25">
      <c r="A7382" t="str">
        <f>"9237"</f>
        <v>9237</v>
      </c>
      <c r="B7382" t="str">
        <f t="shared" si="482"/>
        <v>1</v>
      </c>
      <c r="C7382" t="str">
        <f t="shared" si="484"/>
        <v>398</v>
      </c>
      <c r="D7382" t="str">
        <f>"4"</f>
        <v>4</v>
      </c>
      <c r="E7382" t="str">
        <f>"1-398-4"</f>
        <v>1-398-4</v>
      </c>
      <c r="F7382" t="s">
        <v>15</v>
      </c>
      <c r="G7382" t="s">
        <v>16</v>
      </c>
      <c r="H7382" t="s">
        <v>17</v>
      </c>
      <c r="I7382">
        <v>0</v>
      </c>
      <c r="J7382">
        <v>0</v>
      </c>
      <c r="K7382">
        <v>1</v>
      </c>
    </row>
    <row r="7383" spans="1:11" x14ac:dyDescent="0.25">
      <c r="A7383" t="str">
        <f>"9238"</f>
        <v>9238</v>
      </c>
      <c r="B7383" t="str">
        <f t="shared" si="482"/>
        <v>1</v>
      </c>
      <c r="C7383" t="str">
        <f t="shared" si="484"/>
        <v>398</v>
      </c>
      <c r="D7383" t="str">
        <f>"8"</f>
        <v>8</v>
      </c>
      <c r="E7383" t="str">
        <f>"1-398-8"</f>
        <v>1-398-8</v>
      </c>
      <c r="F7383" t="s">
        <v>15</v>
      </c>
      <c r="G7383" t="s">
        <v>18</v>
      </c>
      <c r="H7383" t="s">
        <v>19</v>
      </c>
      <c r="I7383">
        <v>1</v>
      </c>
      <c r="J7383">
        <v>0</v>
      </c>
      <c r="K7383">
        <v>0</v>
      </c>
    </row>
    <row r="7384" spans="1:11" x14ac:dyDescent="0.25">
      <c r="A7384" t="str">
        <f>"9239"</f>
        <v>9239</v>
      </c>
      <c r="B7384" t="str">
        <f t="shared" si="482"/>
        <v>1</v>
      </c>
      <c r="C7384" t="str">
        <f t="shared" si="484"/>
        <v>398</v>
      </c>
      <c r="D7384" t="str">
        <f>"7"</f>
        <v>7</v>
      </c>
      <c r="E7384" t="str">
        <f>"1-398-7"</f>
        <v>1-398-7</v>
      </c>
      <c r="F7384" t="s">
        <v>15</v>
      </c>
      <c r="G7384" t="s">
        <v>18</v>
      </c>
      <c r="H7384" t="s">
        <v>19</v>
      </c>
      <c r="I7384">
        <v>0</v>
      </c>
      <c r="J7384">
        <v>0</v>
      </c>
      <c r="K7384">
        <v>1</v>
      </c>
    </row>
    <row r="7385" spans="1:11" x14ac:dyDescent="0.25">
      <c r="A7385" t="str">
        <f>"9240"</f>
        <v>9240</v>
      </c>
      <c r="B7385" t="str">
        <f t="shared" si="482"/>
        <v>1</v>
      </c>
      <c r="C7385" t="str">
        <f t="shared" si="484"/>
        <v>398</v>
      </c>
      <c r="D7385" t="str">
        <f>"14"</f>
        <v>14</v>
      </c>
      <c r="E7385" t="str">
        <f>"1-398-14"</f>
        <v>1-398-14</v>
      </c>
      <c r="F7385" t="s">
        <v>15</v>
      </c>
      <c r="G7385" t="s">
        <v>18</v>
      </c>
      <c r="H7385" t="s">
        <v>19</v>
      </c>
      <c r="I7385">
        <v>0</v>
      </c>
      <c r="J7385">
        <v>0</v>
      </c>
      <c r="K7385">
        <v>0</v>
      </c>
    </row>
    <row r="7386" spans="1:11" x14ac:dyDescent="0.25">
      <c r="A7386" t="str">
        <f>"9241"</f>
        <v>9241</v>
      </c>
      <c r="B7386" t="str">
        <f t="shared" si="482"/>
        <v>1</v>
      </c>
      <c r="C7386" t="str">
        <f t="shared" ref="C7386:C7409" si="485">"399"</f>
        <v>399</v>
      </c>
      <c r="D7386" t="str">
        <f>"23"</f>
        <v>23</v>
      </c>
      <c r="E7386" t="str">
        <f>"1-399-23"</f>
        <v>1-399-23</v>
      </c>
      <c r="F7386" t="s">
        <v>15</v>
      </c>
      <c r="G7386" t="s">
        <v>20</v>
      </c>
      <c r="H7386" t="s">
        <v>21</v>
      </c>
      <c r="I7386">
        <v>0</v>
      </c>
      <c r="J7386">
        <v>0</v>
      </c>
      <c r="K7386">
        <v>1</v>
      </c>
    </row>
    <row r="7387" spans="1:11" x14ac:dyDescent="0.25">
      <c r="A7387" t="str">
        <f>"9242"</f>
        <v>9242</v>
      </c>
      <c r="B7387" t="str">
        <f t="shared" ref="B7387:B7438" si="486">"1"</f>
        <v>1</v>
      </c>
      <c r="C7387" t="str">
        <f t="shared" si="485"/>
        <v>399</v>
      </c>
      <c r="D7387" t="str">
        <f>"15"</f>
        <v>15</v>
      </c>
      <c r="E7387" t="str">
        <f>"1-399-15"</f>
        <v>1-399-15</v>
      </c>
      <c r="F7387" t="s">
        <v>15</v>
      </c>
      <c r="G7387" t="s">
        <v>18</v>
      </c>
      <c r="H7387" t="s">
        <v>19</v>
      </c>
      <c r="I7387">
        <v>1</v>
      </c>
      <c r="J7387">
        <v>0</v>
      </c>
      <c r="K7387">
        <v>0</v>
      </c>
    </row>
    <row r="7388" spans="1:11" x14ac:dyDescent="0.25">
      <c r="A7388" t="str">
        <f>"9243"</f>
        <v>9243</v>
      </c>
      <c r="B7388" t="str">
        <f t="shared" si="486"/>
        <v>1</v>
      </c>
      <c r="C7388" t="str">
        <f t="shared" si="485"/>
        <v>399</v>
      </c>
      <c r="D7388" t="str">
        <f>"2"</f>
        <v>2</v>
      </c>
      <c r="E7388" t="str">
        <f>"1-399-2"</f>
        <v>1-399-2</v>
      </c>
      <c r="F7388" t="s">
        <v>15</v>
      </c>
      <c r="G7388" t="s">
        <v>16</v>
      </c>
      <c r="H7388" t="s">
        <v>17</v>
      </c>
      <c r="I7388">
        <v>0</v>
      </c>
      <c r="J7388">
        <v>0</v>
      </c>
      <c r="K7388">
        <v>1</v>
      </c>
    </row>
    <row r="7389" spans="1:11" x14ac:dyDescent="0.25">
      <c r="A7389" t="str">
        <f>"9244"</f>
        <v>9244</v>
      </c>
      <c r="B7389" t="str">
        <f t="shared" si="486"/>
        <v>1</v>
      </c>
      <c r="C7389" t="str">
        <f t="shared" si="485"/>
        <v>399</v>
      </c>
      <c r="D7389" t="str">
        <f>"22"</f>
        <v>22</v>
      </c>
      <c r="E7389" t="str">
        <f>"1-399-22"</f>
        <v>1-399-22</v>
      </c>
      <c r="F7389" t="s">
        <v>15</v>
      </c>
      <c r="G7389" t="s">
        <v>16</v>
      </c>
      <c r="H7389" t="s">
        <v>17</v>
      </c>
      <c r="I7389">
        <v>0</v>
      </c>
      <c r="J7389">
        <v>1</v>
      </c>
      <c r="K7389">
        <v>0</v>
      </c>
    </row>
    <row r="7390" spans="1:11" x14ac:dyDescent="0.25">
      <c r="A7390" t="str">
        <f>"9245"</f>
        <v>9245</v>
      </c>
      <c r="B7390" t="str">
        <f t="shared" si="486"/>
        <v>1</v>
      </c>
      <c r="C7390" t="str">
        <f t="shared" si="485"/>
        <v>399</v>
      </c>
      <c r="D7390" t="str">
        <f>"16"</f>
        <v>16</v>
      </c>
      <c r="E7390" t="str">
        <f>"1-399-16"</f>
        <v>1-399-16</v>
      </c>
      <c r="F7390" t="s">
        <v>15</v>
      </c>
      <c r="G7390" t="s">
        <v>16</v>
      </c>
      <c r="H7390" t="s">
        <v>17</v>
      </c>
      <c r="I7390">
        <v>0</v>
      </c>
      <c r="J7390">
        <v>1</v>
      </c>
      <c r="K7390">
        <v>0</v>
      </c>
    </row>
    <row r="7391" spans="1:11" x14ac:dyDescent="0.25">
      <c r="A7391" t="str">
        <f>"9246"</f>
        <v>9246</v>
      </c>
      <c r="B7391" t="str">
        <f t="shared" si="486"/>
        <v>1</v>
      </c>
      <c r="C7391" t="str">
        <f t="shared" si="485"/>
        <v>399</v>
      </c>
      <c r="D7391" t="str">
        <f>"4"</f>
        <v>4</v>
      </c>
      <c r="E7391" t="str">
        <f>"1-399-4"</f>
        <v>1-399-4</v>
      </c>
      <c r="F7391" t="s">
        <v>15</v>
      </c>
      <c r="G7391" t="s">
        <v>16</v>
      </c>
      <c r="H7391" t="s">
        <v>17</v>
      </c>
      <c r="I7391">
        <v>0</v>
      </c>
      <c r="J7391">
        <v>1</v>
      </c>
      <c r="K7391">
        <v>0</v>
      </c>
    </row>
    <row r="7392" spans="1:11" x14ac:dyDescent="0.25">
      <c r="A7392" t="str">
        <f>"9247"</f>
        <v>9247</v>
      </c>
      <c r="B7392" t="str">
        <f t="shared" si="486"/>
        <v>1</v>
      </c>
      <c r="C7392" t="str">
        <f t="shared" si="485"/>
        <v>399</v>
      </c>
      <c r="D7392" t="str">
        <f>"17"</f>
        <v>17</v>
      </c>
      <c r="E7392" t="str">
        <f>"1-399-17"</f>
        <v>1-399-17</v>
      </c>
      <c r="F7392" t="s">
        <v>15</v>
      </c>
      <c r="G7392" t="s">
        <v>16</v>
      </c>
      <c r="H7392" t="s">
        <v>17</v>
      </c>
      <c r="I7392">
        <v>0</v>
      </c>
      <c r="J7392">
        <v>1</v>
      </c>
      <c r="K7392">
        <v>0</v>
      </c>
    </row>
    <row r="7393" spans="1:11" x14ac:dyDescent="0.25">
      <c r="A7393" t="str">
        <f>"9248"</f>
        <v>9248</v>
      </c>
      <c r="B7393" t="str">
        <f t="shared" si="486"/>
        <v>1</v>
      </c>
      <c r="C7393" t="str">
        <f t="shared" si="485"/>
        <v>399</v>
      </c>
      <c r="D7393" t="str">
        <f>"10"</f>
        <v>10</v>
      </c>
      <c r="E7393" t="str">
        <f>"1-399-10"</f>
        <v>1-399-10</v>
      </c>
      <c r="F7393" t="s">
        <v>15</v>
      </c>
      <c r="G7393" t="s">
        <v>16</v>
      </c>
      <c r="H7393" t="s">
        <v>17</v>
      </c>
      <c r="I7393">
        <v>0</v>
      </c>
      <c r="J7393">
        <v>1</v>
      </c>
      <c r="K7393">
        <v>0</v>
      </c>
    </row>
    <row r="7394" spans="1:11" x14ac:dyDescent="0.25">
      <c r="A7394" t="str">
        <f>"9249"</f>
        <v>9249</v>
      </c>
      <c r="B7394" t="str">
        <f t="shared" si="486"/>
        <v>1</v>
      </c>
      <c r="C7394" t="str">
        <f t="shared" si="485"/>
        <v>399</v>
      </c>
      <c r="D7394" t="str">
        <f>"18"</f>
        <v>18</v>
      </c>
      <c r="E7394" t="str">
        <f>"1-399-18"</f>
        <v>1-399-18</v>
      </c>
      <c r="F7394" t="s">
        <v>15</v>
      </c>
      <c r="G7394" t="s">
        <v>16</v>
      </c>
      <c r="H7394" t="s">
        <v>17</v>
      </c>
      <c r="I7394">
        <v>1</v>
      </c>
      <c r="J7394">
        <v>0</v>
      </c>
      <c r="K7394">
        <v>0</v>
      </c>
    </row>
    <row r="7395" spans="1:11" x14ac:dyDescent="0.25">
      <c r="A7395" t="str">
        <f>"9251"</f>
        <v>9251</v>
      </c>
      <c r="B7395" t="str">
        <f t="shared" si="486"/>
        <v>1</v>
      </c>
      <c r="C7395" t="str">
        <f t="shared" si="485"/>
        <v>399</v>
      </c>
      <c r="D7395" t="str">
        <f>"9"</f>
        <v>9</v>
      </c>
      <c r="E7395" t="str">
        <f>"1-399-9"</f>
        <v>1-399-9</v>
      </c>
      <c r="F7395" t="s">
        <v>15</v>
      </c>
      <c r="G7395" t="s">
        <v>16</v>
      </c>
      <c r="H7395" t="s">
        <v>17</v>
      </c>
      <c r="I7395">
        <v>0</v>
      </c>
      <c r="J7395">
        <v>0</v>
      </c>
      <c r="K7395">
        <v>1</v>
      </c>
    </row>
    <row r="7396" spans="1:11" x14ac:dyDescent="0.25">
      <c r="A7396" t="str">
        <f>"9252"</f>
        <v>9252</v>
      </c>
      <c r="B7396" t="str">
        <f t="shared" si="486"/>
        <v>1</v>
      </c>
      <c r="C7396" t="str">
        <f t="shared" si="485"/>
        <v>399</v>
      </c>
      <c r="D7396" t="str">
        <f>"20"</f>
        <v>20</v>
      </c>
      <c r="E7396" t="str">
        <f>"1-399-20"</f>
        <v>1-399-20</v>
      </c>
      <c r="F7396" t="s">
        <v>15</v>
      </c>
      <c r="G7396" t="s">
        <v>16</v>
      </c>
      <c r="H7396" t="s">
        <v>17</v>
      </c>
      <c r="I7396">
        <v>0</v>
      </c>
      <c r="J7396">
        <v>1</v>
      </c>
      <c r="K7396">
        <v>0</v>
      </c>
    </row>
    <row r="7397" spans="1:11" x14ac:dyDescent="0.25">
      <c r="A7397" t="str">
        <f>"9253"</f>
        <v>9253</v>
      </c>
      <c r="B7397" t="str">
        <f t="shared" si="486"/>
        <v>1</v>
      </c>
      <c r="C7397" t="str">
        <f t="shared" si="485"/>
        <v>399</v>
      </c>
      <c r="D7397" t="str">
        <f>"1"</f>
        <v>1</v>
      </c>
      <c r="E7397" t="str">
        <f>"1-399-1"</f>
        <v>1-399-1</v>
      </c>
      <c r="F7397" t="s">
        <v>15</v>
      </c>
      <c r="G7397" t="s">
        <v>16</v>
      </c>
      <c r="H7397" t="s">
        <v>17</v>
      </c>
      <c r="I7397">
        <v>0</v>
      </c>
      <c r="J7397">
        <v>0</v>
      </c>
      <c r="K7397">
        <v>1</v>
      </c>
    </row>
    <row r="7398" spans="1:11" x14ac:dyDescent="0.25">
      <c r="A7398" t="str">
        <f>"9254"</f>
        <v>9254</v>
      </c>
      <c r="B7398" t="str">
        <f t="shared" si="486"/>
        <v>1</v>
      </c>
      <c r="C7398" t="str">
        <f t="shared" si="485"/>
        <v>399</v>
      </c>
      <c r="D7398" t="str">
        <f>"21"</f>
        <v>21</v>
      </c>
      <c r="E7398" t="str">
        <f>"1-399-21"</f>
        <v>1-399-21</v>
      </c>
      <c r="F7398" t="s">
        <v>15</v>
      </c>
      <c r="G7398" t="s">
        <v>16</v>
      </c>
      <c r="H7398" t="s">
        <v>17</v>
      </c>
      <c r="I7398">
        <v>0</v>
      </c>
      <c r="J7398">
        <v>1</v>
      </c>
      <c r="K7398">
        <v>0</v>
      </c>
    </row>
    <row r="7399" spans="1:11" x14ac:dyDescent="0.25">
      <c r="A7399" t="str">
        <f>"9255"</f>
        <v>9255</v>
      </c>
      <c r="B7399" t="str">
        <f t="shared" si="486"/>
        <v>1</v>
      </c>
      <c r="C7399" t="str">
        <f t="shared" si="485"/>
        <v>399</v>
      </c>
      <c r="D7399" t="str">
        <f>"7"</f>
        <v>7</v>
      </c>
      <c r="E7399" t="str">
        <f>"1-399-7"</f>
        <v>1-399-7</v>
      </c>
      <c r="F7399" t="s">
        <v>15</v>
      </c>
      <c r="G7399" t="s">
        <v>16</v>
      </c>
      <c r="H7399" t="s">
        <v>17</v>
      </c>
      <c r="I7399">
        <v>1</v>
      </c>
      <c r="J7399">
        <v>0</v>
      </c>
      <c r="K7399">
        <v>0</v>
      </c>
    </row>
    <row r="7400" spans="1:11" x14ac:dyDescent="0.25">
      <c r="A7400" t="str">
        <f>"9256"</f>
        <v>9256</v>
      </c>
      <c r="B7400" t="str">
        <f t="shared" si="486"/>
        <v>1</v>
      </c>
      <c r="C7400" t="str">
        <f t="shared" si="485"/>
        <v>399</v>
      </c>
      <c r="D7400" t="str">
        <f>"11"</f>
        <v>11</v>
      </c>
      <c r="E7400" t="str">
        <f>"1-399-11"</f>
        <v>1-399-11</v>
      </c>
      <c r="F7400" t="s">
        <v>15</v>
      </c>
      <c r="G7400" t="s">
        <v>16</v>
      </c>
      <c r="H7400" t="s">
        <v>17</v>
      </c>
      <c r="I7400">
        <v>1</v>
      </c>
      <c r="J7400">
        <v>0</v>
      </c>
      <c r="K7400">
        <v>0</v>
      </c>
    </row>
    <row r="7401" spans="1:11" x14ac:dyDescent="0.25">
      <c r="A7401" t="str">
        <f>"9257"</f>
        <v>9257</v>
      </c>
      <c r="B7401" t="str">
        <f t="shared" si="486"/>
        <v>1</v>
      </c>
      <c r="C7401" t="str">
        <f t="shared" si="485"/>
        <v>399</v>
      </c>
      <c r="D7401" t="str">
        <f>"25"</f>
        <v>25</v>
      </c>
      <c r="E7401" t="str">
        <f>"1-399-25"</f>
        <v>1-399-25</v>
      </c>
      <c r="F7401" t="s">
        <v>15</v>
      </c>
      <c r="G7401" t="s">
        <v>16</v>
      </c>
      <c r="H7401" t="s">
        <v>17</v>
      </c>
      <c r="I7401">
        <v>1</v>
      </c>
      <c r="J7401">
        <v>0</v>
      </c>
      <c r="K7401">
        <v>0</v>
      </c>
    </row>
    <row r="7402" spans="1:11" x14ac:dyDescent="0.25">
      <c r="A7402" t="str">
        <f>"9258"</f>
        <v>9258</v>
      </c>
      <c r="B7402" t="str">
        <f t="shared" si="486"/>
        <v>1</v>
      </c>
      <c r="C7402" t="str">
        <f t="shared" si="485"/>
        <v>399</v>
      </c>
      <c r="D7402" t="str">
        <f>"12"</f>
        <v>12</v>
      </c>
      <c r="E7402" t="str">
        <f>"1-399-12"</f>
        <v>1-399-12</v>
      </c>
      <c r="F7402" t="s">
        <v>15</v>
      </c>
      <c r="G7402" t="s">
        <v>16</v>
      </c>
      <c r="H7402" t="s">
        <v>17</v>
      </c>
      <c r="I7402">
        <v>0</v>
      </c>
      <c r="J7402">
        <v>0</v>
      </c>
      <c r="K7402">
        <v>1</v>
      </c>
    </row>
    <row r="7403" spans="1:11" x14ac:dyDescent="0.25">
      <c r="A7403" t="str">
        <f>"9259"</f>
        <v>9259</v>
      </c>
      <c r="B7403" t="str">
        <f t="shared" si="486"/>
        <v>1</v>
      </c>
      <c r="C7403" t="str">
        <f t="shared" si="485"/>
        <v>399</v>
      </c>
      <c r="D7403" t="str">
        <f>"8"</f>
        <v>8</v>
      </c>
      <c r="E7403" t="str">
        <f>"1-399-8"</f>
        <v>1-399-8</v>
      </c>
      <c r="F7403" t="s">
        <v>15</v>
      </c>
      <c r="G7403" t="s">
        <v>16</v>
      </c>
      <c r="H7403" t="s">
        <v>17</v>
      </c>
      <c r="I7403">
        <v>1</v>
      </c>
      <c r="J7403">
        <v>0</v>
      </c>
      <c r="K7403">
        <v>0</v>
      </c>
    </row>
    <row r="7404" spans="1:11" x14ac:dyDescent="0.25">
      <c r="A7404" t="str">
        <f>"9260"</f>
        <v>9260</v>
      </c>
      <c r="B7404" t="str">
        <f t="shared" si="486"/>
        <v>1</v>
      </c>
      <c r="C7404" t="str">
        <f t="shared" si="485"/>
        <v>399</v>
      </c>
      <c r="D7404" t="str">
        <f>"3"</f>
        <v>3</v>
      </c>
      <c r="E7404" t="str">
        <f>"1-399-3"</f>
        <v>1-399-3</v>
      </c>
      <c r="F7404" t="s">
        <v>15</v>
      </c>
      <c r="G7404" t="s">
        <v>16</v>
      </c>
      <c r="H7404" t="s">
        <v>17</v>
      </c>
      <c r="I7404">
        <v>0</v>
      </c>
      <c r="J7404">
        <v>0</v>
      </c>
      <c r="K7404">
        <v>1</v>
      </c>
    </row>
    <row r="7405" spans="1:11" x14ac:dyDescent="0.25">
      <c r="A7405" t="str">
        <f>"9261"</f>
        <v>9261</v>
      </c>
      <c r="B7405" t="str">
        <f t="shared" si="486"/>
        <v>1</v>
      </c>
      <c r="C7405" t="str">
        <f t="shared" si="485"/>
        <v>399</v>
      </c>
      <c r="D7405" t="str">
        <f>"5"</f>
        <v>5</v>
      </c>
      <c r="E7405" t="str">
        <f>"1-399-5"</f>
        <v>1-399-5</v>
      </c>
      <c r="F7405" t="s">
        <v>15</v>
      </c>
      <c r="G7405" t="s">
        <v>16</v>
      </c>
      <c r="H7405" t="s">
        <v>17</v>
      </c>
      <c r="I7405">
        <v>0</v>
      </c>
      <c r="J7405">
        <v>1</v>
      </c>
      <c r="K7405">
        <v>0</v>
      </c>
    </row>
    <row r="7406" spans="1:11" x14ac:dyDescent="0.25">
      <c r="A7406" t="str">
        <f>"9262"</f>
        <v>9262</v>
      </c>
      <c r="B7406" t="str">
        <f t="shared" si="486"/>
        <v>1</v>
      </c>
      <c r="C7406" t="str">
        <f t="shared" si="485"/>
        <v>399</v>
      </c>
      <c r="D7406" t="str">
        <f>"13"</f>
        <v>13</v>
      </c>
      <c r="E7406" t="str">
        <f>"1-399-13"</f>
        <v>1-399-13</v>
      </c>
      <c r="F7406" t="s">
        <v>15</v>
      </c>
      <c r="G7406" t="s">
        <v>16</v>
      </c>
      <c r="H7406" t="s">
        <v>17</v>
      </c>
      <c r="I7406">
        <v>0</v>
      </c>
      <c r="J7406">
        <v>0</v>
      </c>
      <c r="K7406">
        <v>1</v>
      </c>
    </row>
    <row r="7407" spans="1:11" x14ac:dyDescent="0.25">
      <c r="A7407" t="str">
        <f>"9263"</f>
        <v>9263</v>
      </c>
      <c r="B7407" t="str">
        <f t="shared" si="486"/>
        <v>1</v>
      </c>
      <c r="C7407" t="str">
        <f t="shared" si="485"/>
        <v>399</v>
      </c>
      <c r="D7407" t="str">
        <f>"14"</f>
        <v>14</v>
      </c>
      <c r="E7407" t="str">
        <f>"1-399-14"</f>
        <v>1-399-14</v>
      </c>
      <c r="F7407" t="s">
        <v>15</v>
      </c>
      <c r="G7407" t="s">
        <v>16</v>
      </c>
      <c r="H7407" t="s">
        <v>17</v>
      </c>
      <c r="I7407">
        <v>0</v>
      </c>
      <c r="J7407">
        <v>0</v>
      </c>
      <c r="K7407">
        <v>1</v>
      </c>
    </row>
    <row r="7408" spans="1:11" x14ac:dyDescent="0.25">
      <c r="A7408" t="str">
        <f>"9264"</f>
        <v>9264</v>
      </c>
      <c r="B7408" t="str">
        <f t="shared" si="486"/>
        <v>1</v>
      </c>
      <c r="C7408" t="str">
        <f t="shared" si="485"/>
        <v>399</v>
      </c>
      <c r="D7408" t="str">
        <f>"19"</f>
        <v>19</v>
      </c>
      <c r="E7408" t="str">
        <f>"1-399-19"</f>
        <v>1-399-19</v>
      </c>
      <c r="F7408" t="s">
        <v>15</v>
      </c>
      <c r="G7408" t="s">
        <v>16</v>
      </c>
      <c r="H7408" t="s">
        <v>17</v>
      </c>
      <c r="I7408">
        <v>0</v>
      </c>
      <c r="J7408">
        <v>0</v>
      </c>
      <c r="K7408">
        <v>0</v>
      </c>
    </row>
    <row r="7409" spans="1:11" x14ac:dyDescent="0.25">
      <c r="A7409" t="str">
        <f>"9265"</f>
        <v>9265</v>
      </c>
      <c r="B7409" t="str">
        <f t="shared" si="486"/>
        <v>1</v>
      </c>
      <c r="C7409" t="str">
        <f t="shared" si="485"/>
        <v>399</v>
      </c>
      <c r="D7409" t="str">
        <f>"24"</f>
        <v>24</v>
      </c>
      <c r="E7409" t="str">
        <f>"1-399-24"</f>
        <v>1-399-24</v>
      </c>
      <c r="F7409" t="s">
        <v>15</v>
      </c>
      <c r="G7409" t="s">
        <v>16</v>
      </c>
      <c r="H7409" t="s">
        <v>17</v>
      </c>
      <c r="I7409">
        <v>0</v>
      </c>
      <c r="J7409">
        <v>0</v>
      </c>
      <c r="K7409">
        <v>0</v>
      </c>
    </row>
    <row r="7410" spans="1:11" x14ac:dyDescent="0.25">
      <c r="A7410" t="str">
        <f>"9267"</f>
        <v>9267</v>
      </c>
      <c r="B7410" t="str">
        <f t="shared" si="486"/>
        <v>1</v>
      </c>
      <c r="C7410" t="str">
        <f t="shared" ref="C7410:C7425" si="487">"400"</f>
        <v>400</v>
      </c>
      <c r="D7410" t="str">
        <f>"15"</f>
        <v>15</v>
      </c>
      <c r="E7410" t="str">
        <f>"1-400-15"</f>
        <v>1-400-15</v>
      </c>
      <c r="F7410" t="s">
        <v>15</v>
      </c>
      <c r="G7410" t="s">
        <v>20</v>
      </c>
      <c r="H7410" t="s">
        <v>21</v>
      </c>
      <c r="I7410">
        <v>0</v>
      </c>
      <c r="J7410">
        <v>0</v>
      </c>
      <c r="K7410">
        <v>1</v>
      </c>
    </row>
    <row r="7411" spans="1:11" x14ac:dyDescent="0.25">
      <c r="A7411" t="str">
        <f>"9268"</f>
        <v>9268</v>
      </c>
      <c r="B7411" t="str">
        <f t="shared" si="486"/>
        <v>1</v>
      </c>
      <c r="C7411" t="str">
        <f t="shared" si="487"/>
        <v>400</v>
      </c>
      <c r="D7411" t="str">
        <f>"4"</f>
        <v>4</v>
      </c>
      <c r="E7411" t="str">
        <f>"1-400-4"</f>
        <v>1-400-4</v>
      </c>
      <c r="F7411" t="s">
        <v>15</v>
      </c>
      <c r="G7411" t="s">
        <v>20</v>
      </c>
      <c r="H7411" t="s">
        <v>21</v>
      </c>
      <c r="I7411">
        <v>1</v>
      </c>
      <c r="J7411">
        <v>0</v>
      </c>
      <c r="K7411">
        <v>0</v>
      </c>
    </row>
    <row r="7412" spans="1:11" x14ac:dyDescent="0.25">
      <c r="A7412" t="str">
        <f>"9270"</f>
        <v>9270</v>
      </c>
      <c r="B7412" t="str">
        <f t="shared" si="486"/>
        <v>1</v>
      </c>
      <c r="C7412" t="str">
        <f t="shared" si="487"/>
        <v>400</v>
      </c>
      <c r="D7412" t="str">
        <f>"16"</f>
        <v>16</v>
      </c>
      <c r="E7412" t="str">
        <f>"1-400-16"</f>
        <v>1-400-16</v>
      </c>
      <c r="F7412" t="s">
        <v>15</v>
      </c>
      <c r="G7412" t="s">
        <v>20</v>
      </c>
      <c r="H7412" t="s">
        <v>21</v>
      </c>
      <c r="I7412">
        <v>0</v>
      </c>
      <c r="J7412">
        <v>0</v>
      </c>
      <c r="K7412">
        <v>1</v>
      </c>
    </row>
    <row r="7413" spans="1:11" x14ac:dyDescent="0.25">
      <c r="A7413" t="str">
        <f>"9271"</f>
        <v>9271</v>
      </c>
      <c r="B7413" t="str">
        <f t="shared" si="486"/>
        <v>1</v>
      </c>
      <c r="C7413" t="str">
        <f t="shared" si="487"/>
        <v>400</v>
      </c>
      <c r="D7413" t="str">
        <f>"1"</f>
        <v>1</v>
      </c>
      <c r="E7413" t="str">
        <f>"1-400-1"</f>
        <v>1-400-1</v>
      </c>
      <c r="F7413" t="s">
        <v>15</v>
      </c>
      <c r="G7413" t="s">
        <v>20</v>
      </c>
      <c r="H7413" t="s">
        <v>21</v>
      </c>
      <c r="I7413">
        <v>1</v>
      </c>
      <c r="J7413">
        <v>0</v>
      </c>
      <c r="K7413">
        <v>0</v>
      </c>
    </row>
    <row r="7414" spans="1:11" x14ac:dyDescent="0.25">
      <c r="A7414" t="str">
        <f>"9272"</f>
        <v>9272</v>
      </c>
      <c r="B7414" t="str">
        <f t="shared" si="486"/>
        <v>1</v>
      </c>
      <c r="C7414" t="str">
        <f t="shared" si="487"/>
        <v>400</v>
      </c>
      <c r="D7414" t="str">
        <f>"17"</f>
        <v>17</v>
      </c>
      <c r="E7414" t="str">
        <f>"1-400-17"</f>
        <v>1-400-17</v>
      </c>
      <c r="F7414" t="s">
        <v>15</v>
      </c>
      <c r="G7414" t="s">
        <v>20</v>
      </c>
      <c r="H7414" t="s">
        <v>21</v>
      </c>
      <c r="I7414">
        <v>0</v>
      </c>
      <c r="J7414">
        <v>1</v>
      </c>
      <c r="K7414">
        <v>0</v>
      </c>
    </row>
    <row r="7415" spans="1:11" x14ac:dyDescent="0.25">
      <c r="A7415" t="str">
        <f>"9274"</f>
        <v>9274</v>
      </c>
      <c r="B7415" t="str">
        <f t="shared" si="486"/>
        <v>1</v>
      </c>
      <c r="C7415" t="str">
        <f t="shared" si="487"/>
        <v>400</v>
      </c>
      <c r="D7415" t="str">
        <f>"19"</f>
        <v>19</v>
      </c>
      <c r="E7415" t="str">
        <f>"1-400-19"</f>
        <v>1-400-19</v>
      </c>
      <c r="F7415" t="s">
        <v>15</v>
      </c>
      <c r="G7415" t="s">
        <v>20</v>
      </c>
      <c r="H7415" t="s">
        <v>21</v>
      </c>
      <c r="I7415">
        <v>0</v>
      </c>
      <c r="J7415">
        <v>0</v>
      </c>
      <c r="K7415">
        <v>1</v>
      </c>
    </row>
    <row r="7416" spans="1:11" x14ac:dyDescent="0.25">
      <c r="A7416" t="str">
        <f>"9281"</f>
        <v>9281</v>
      </c>
      <c r="B7416" t="str">
        <f t="shared" si="486"/>
        <v>1</v>
      </c>
      <c r="C7416" t="str">
        <f t="shared" si="487"/>
        <v>400</v>
      </c>
      <c r="D7416" t="str">
        <f>"5"</f>
        <v>5</v>
      </c>
      <c r="E7416" t="str">
        <f>"1-400-5"</f>
        <v>1-400-5</v>
      </c>
      <c r="F7416" t="s">
        <v>15</v>
      </c>
      <c r="G7416" t="s">
        <v>20</v>
      </c>
      <c r="H7416" t="s">
        <v>21</v>
      </c>
      <c r="I7416">
        <v>0</v>
      </c>
      <c r="J7416">
        <v>0</v>
      </c>
      <c r="K7416">
        <v>1</v>
      </c>
    </row>
    <row r="7417" spans="1:11" x14ac:dyDescent="0.25">
      <c r="A7417" t="str">
        <f>"9282"</f>
        <v>9282</v>
      </c>
      <c r="B7417" t="str">
        <f t="shared" si="486"/>
        <v>1</v>
      </c>
      <c r="C7417" t="str">
        <f t="shared" si="487"/>
        <v>400</v>
      </c>
      <c r="D7417" t="str">
        <f>"25"</f>
        <v>25</v>
      </c>
      <c r="E7417" t="str">
        <f>"1-400-25"</f>
        <v>1-400-25</v>
      </c>
      <c r="F7417" t="s">
        <v>15</v>
      </c>
      <c r="G7417" t="s">
        <v>20</v>
      </c>
      <c r="H7417" t="s">
        <v>21</v>
      </c>
      <c r="I7417">
        <v>1</v>
      </c>
      <c r="J7417">
        <v>0</v>
      </c>
      <c r="K7417">
        <v>0</v>
      </c>
    </row>
    <row r="7418" spans="1:11" x14ac:dyDescent="0.25">
      <c r="A7418" t="str">
        <f>"9283"</f>
        <v>9283</v>
      </c>
      <c r="B7418" t="str">
        <f t="shared" si="486"/>
        <v>1</v>
      </c>
      <c r="C7418" t="str">
        <f t="shared" si="487"/>
        <v>400</v>
      </c>
      <c r="D7418" t="str">
        <f>"7"</f>
        <v>7</v>
      </c>
      <c r="E7418" t="str">
        <f>"1-400-7"</f>
        <v>1-400-7</v>
      </c>
      <c r="F7418" t="s">
        <v>15</v>
      </c>
      <c r="G7418" t="s">
        <v>20</v>
      </c>
      <c r="H7418" t="s">
        <v>21</v>
      </c>
      <c r="I7418">
        <v>0</v>
      </c>
      <c r="J7418">
        <v>0</v>
      </c>
      <c r="K7418">
        <v>1</v>
      </c>
    </row>
    <row r="7419" spans="1:11" x14ac:dyDescent="0.25">
      <c r="A7419" t="str">
        <f>"9284"</f>
        <v>9284</v>
      </c>
      <c r="B7419" t="str">
        <f t="shared" si="486"/>
        <v>1</v>
      </c>
      <c r="C7419" t="str">
        <f t="shared" si="487"/>
        <v>400</v>
      </c>
      <c r="D7419" t="str">
        <f>"8"</f>
        <v>8</v>
      </c>
      <c r="E7419" t="str">
        <f>"1-400-8"</f>
        <v>1-400-8</v>
      </c>
      <c r="F7419" t="s">
        <v>15</v>
      </c>
      <c r="G7419" t="s">
        <v>20</v>
      </c>
      <c r="H7419" t="s">
        <v>21</v>
      </c>
      <c r="I7419">
        <v>1</v>
      </c>
      <c r="J7419">
        <v>0</v>
      </c>
      <c r="K7419">
        <v>0</v>
      </c>
    </row>
    <row r="7420" spans="1:11" x14ac:dyDescent="0.25">
      <c r="A7420" t="str">
        <f>"9285"</f>
        <v>9285</v>
      </c>
      <c r="B7420" t="str">
        <f t="shared" si="486"/>
        <v>1</v>
      </c>
      <c r="C7420" t="str">
        <f t="shared" si="487"/>
        <v>400</v>
      </c>
      <c r="D7420" t="str">
        <f>"6"</f>
        <v>6</v>
      </c>
      <c r="E7420" t="str">
        <f>"1-400-6"</f>
        <v>1-400-6</v>
      </c>
      <c r="F7420" t="s">
        <v>15</v>
      </c>
      <c r="G7420" t="s">
        <v>20</v>
      </c>
      <c r="H7420" t="s">
        <v>21</v>
      </c>
      <c r="I7420">
        <v>1</v>
      </c>
      <c r="J7420">
        <v>0</v>
      </c>
      <c r="K7420">
        <v>0</v>
      </c>
    </row>
    <row r="7421" spans="1:11" x14ac:dyDescent="0.25">
      <c r="A7421" t="str">
        <f>"9286"</f>
        <v>9286</v>
      </c>
      <c r="B7421" t="str">
        <f t="shared" si="486"/>
        <v>1</v>
      </c>
      <c r="C7421" t="str">
        <f t="shared" si="487"/>
        <v>400</v>
      </c>
      <c r="D7421" t="str">
        <f>"9"</f>
        <v>9</v>
      </c>
      <c r="E7421" t="str">
        <f>"1-400-9"</f>
        <v>1-400-9</v>
      </c>
      <c r="F7421" t="s">
        <v>15</v>
      </c>
      <c r="G7421" t="s">
        <v>20</v>
      </c>
      <c r="H7421" t="s">
        <v>21</v>
      </c>
      <c r="I7421">
        <v>0</v>
      </c>
      <c r="J7421">
        <v>0</v>
      </c>
      <c r="K7421">
        <v>1</v>
      </c>
    </row>
    <row r="7422" spans="1:11" x14ac:dyDescent="0.25">
      <c r="A7422" t="str">
        <f>"9287"</f>
        <v>9287</v>
      </c>
      <c r="B7422" t="str">
        <f t="shared" si="486"/>
        <v>1</v>
      </c>
      <c r="C7422" t="str">
        <f t="shared" si="487"/>
        <v>400</v>
      </c>
      <c r="D7422" t="str">
        <f>"12"</f>
        <v>12</v>
      </c>
      <c r="E7422" t="str">
        <f>"1-400-12"</f>
        <v>1-400-12</v>
      </c>
      <c r="F7422" t="s">
        <v>15</v>
      </c>
      <c r="G7422" t="s">
        <v>20</v>
      </c>
      <c r="H7422" t="s">
        <v>21</v>
      </c>
      <c r="I7422">
        <v>0</v>
      </c>
      <c r="J7422">
        <v>0</v>
      </c>
      <c r="K7422">
        <v>1</v>
      </c>
    </row>
    <row r="7423" spans="1:11" x14ac:dyDescent="0.25">
      <c r="A7423" t="str">
        <f>"9288"</f>
        <v>9288</v>
      </c>
      <c r="B7423" t="str">
        <f t="shared" si="486"/>
        <v>1</v>
      </c>
      <c r="C7423" t="str">
        <f t="shared" si="487"/>
        <v>400</v>
      </c>
      <c r="D7423" t="str">
        <f>"23"</f>
        <v>23</v>
      </c>
      <c r="E7423" t="str">
        <f>"1-400-23"</f>
        <v>1-400-23</v>
      </c>
      <c r="F7423" t="s">
        <v>15</v>
      </c>
      <c r="G7423" t="s">
        <v>20</v>
      </c>
      <c r="H7423" t="s">
        <v>21</v>
      </c>
      <c r="I7423">
        <v>0</v>
      </c>
      <c r="J7423">
        <v>0</v>
      </c>
      <c r="K7423">
        <v>0</v>
      </c>
    </row>
    <row r="7424" spans="1:11" x14ac:dyDescent="0.25">
      <c r="A7424" t="str">
        <f>"9289"</f>
        <v>9289</v>
      </c>
      <c r="B7424" t="str">
        <f t="shared" si="486"/>
        <v>1</v>
      </c>
      <c r="C7424" t="str">
        <f t="shared" si="487"/>
        <v>400</v>
      </c>
      <c r="D7424" t="str">
        <f>"2"</f>
        <v>2</v>
      </c>
      <c r="E7424" t="str">
        <f>"1-400-2"</f>
        <v>1-400-2</v>
      </c>
      <c r="F7424" t="s">
        <v>15</v>
      </c>
      <c r="G7424" t="s">
        <v>20</v>
      </c>
      <c r="H7424" t="s">
        <v>21</v>
      </c>
      <c r="I7424">
        <v>0</v>
      </c>
      <c r="J7424">
        <v>0</v>
      </c>
      <c r="K7424">
        <v>0</v>
      </c>
    </row>
    <row r="7425" spans="1:11" x14ac:dyDescent="0.25">
      <c r="A7425" t="str">
        <f>"9290"</f>
        <v>9290</v>
      </c>
      <c r="B7425" t="str">
        <f t="shared" si="486"/>
        <v>1</v>
      </c>
      <c r="C7425" t="str">
        <f t="shared" si="487"/>
        <v>400</v>
      </c>
      <c r="D7425" t="str">
        <f>"21"</f>
        <v>21</v>
      </c>
      <c r="E7425" t="str">
        <f>"1-400-21"</f>
        <v>1-400-21</v>
      </c>
      <c r="F7425" t="s">
        <v>15</v>
      </c>
      <c r="G7425" t="s">
        <v>20</v>
      </c>
      <c r="H7425" t="s">
        <v>21</v>
      </c>
      <c r="I7425">
        <v>0</v>
      </c>
      <c r="J7425">
        <v>0</v>
      </c>
      <c r="K7425">
        <v>0</v>
      </c>
    </row>
    <row r="7426" spans="1:11" x14ac:dyDescent="0.25">
      <c r="A7426" t="str">
        <f>"9291"</f>
        <v>9291</v>
      </c>
      <c r="B7426" t="str">
        <f t="shared" si="486"/>
        <v>1</v>
      </c>
      <c r="C7426" t="str">
        <f t="shared" ref="C7426:C7446" si="488">"401"</f>
        <v>401</v>
      </c>
      <c r="D7426" t="str">
        <f>"19"</f>
        <v>19</v>
      </c>
      <c r="E7426" t="str">
        <f>"1-401-19"</f>
        <v>1-401-19</v>
      </c>
      <c r="F7426" t="s">
        <v>15</v>
      </c>
      <c r="G7426" t="s">
        <v>20</v>
      </c>
      <c r="H7426" t="s">
        <v>21</v>
      </c>
      <c r="I7426">
        <v>1</v>
      </c>
      <c r="J7426">
        <v>0</v>
      </c>
      <c r="K7426">
        <v>0</v>
      </c>
    </row>
    <row r="7427" spans="1:11" x14ac:dyDescent="0.25">
      <c r="A7427" t="str">
        <f>"9292"</f>
        <v>9292</v>
      </c>
      <c r="B7427" t="str">
        <f t="shared" si="486"/>
        <v>1</v>
      </c>
      <c r="C7427" t="str">
        <f t="shared" si="488"/>
        <v>401</v>
      </c>
      <c r="D7427" t="str">
        <f>"15"</f>
        <v>15</v>
      </c>
      <c r="E7427" t="str">
        <f>"1-401-15"</f>
        <v>1-401-15</v>
      </c>
      <c r="F7427" t="s">
        <v>15</v>
      </c>
      <c r="G7427" t="s">
        <v>20</v>
      </c>
      <c r="H7427" t="s">
        <v>21</v>
      </c>
      <c r="I7427">
        <v>0</v>
      </c>
      <c r="J7427">
        <v>1</v>
      </c>
      <c r="K7427">
        <v>0</v>
      </c>
    </row>
    <row r="7428" spans="1:11" x14ac:dyDescent="0.25">
      <c r="A7428" t="str">
        <f>"9294"</f>
        <v>9294</v>
      </c>
      <c r="B7428" t="str">
        <f t="shared" si="486"/>
        <v>1</v>
      </c>
      <c r="C7428" t="str">
        <f t="shared" si="488"/>
        <v>401</v>
      </c>
      <c r="D7428" t="str">
        <f>"16"</f>
        <v>16</v>
      </c>
      <c r="E7428" t="str">
        <f>"1-401-16"</f>
        <v>1-401-16</v>
      </c>
      <c r="F7428" t="s">
        <v>15</v>
      </c>
      <c r="G7428" t="s">
        <v>20</v>
      </c>
      <c r="H7428" t="s">
        <v>21</v>
      </c>
      <c r="I7428">
        <v>0</v>
      </c>
      <c r="J7428">
        <v>0</v>
      </c>
      <c r="K7428">
        <v>1</v>
      </c>
    </row>
    <row r="7429" spans="1:11" x14ac:dyDescent="0.25">
      <c r="A7429" t="str">
        <f>"9295"</f>
        <v>9295</v>
      </c>
      <c r="B7429" t="str">
        <f t="shared" si="486"/>
        <v>1</v>
      </c>
      <c r="C7429" t="str">
        <f t="shared" si="488"/>
        <v>401</v>
      </c>
      <c r="D7429" t="str">
        <f>"1"</f>
        <v>1</v>
      </c>
      <c r="E7429" t="str">
        <f>"1-401-1"</f>
        <v>1-401-1</v>
      </c>
      <c r="F7429" t="s">
        <v>15</v>
      </c>
      <c r="G7429" t="s">
        <v>20</v>
      </c>
      <c r="H7429" t="s">
        <v>21</v>
      </c>
      <c r="I7429">
        <v>1</v>
      </c>
      <c r="J7429">
        <v>0</v>
      </c>
      <c r="K7429">
        <v>0</v>
      </c>
    </row>
    <row r="7430" spans="1:11" x14ac:dyDescent="0.25">
      <c r="A7430" t="str">
        <f>"9296"</f>
        <v>9296</v>
      </c>
      <c r="B7430" t="str">
        <f t="shared" si="486"/>
        <v>1</v>
      </c>
      <c r="C7430" t="str">
        <f t="shared" si="488"/>
        <v>401</v>
      </c>
      <c r="D7430" t="str">
        <f>"6"</f>
        <v>6</v>
      </c>
      <c r="E7430" t="str">
        <f>"1-401-6"</f>
        <v>1-401-6</v>
      </c>
      <c r="F7430" t="s">
        <v>15</v>
      </c>
      <c r="G7430" t="s">
        <v>20</v>
      </c>
      <c r="H7430" t="s">
        <v>21</v>
      </c>
      <c r="I7430">
        <v>1</v>
      </c>
      <c r="J7430">
        <v>0</v>
      </c>
      <c r="K7430">
        <v>0</v>
      </c>
    </row>
    <row r="7431" spans="1:11" x14ac:dyDescent="0.25">
      <c r="A7431" t="str">
        <f>"9298"</f>
        <v>9298</v>
      </c>
      <c r="B7431" t="str">
        <f t="shared" si="486"/>
        <v>1</v>
      </c>
      <c r="C7431" t="str">
        <f t="shared" si="488"/>
        <v>401</v>
      </c>
      <c r="D7431" t="str">
        <f>"9"</f>
        <v>9</v>
      </c>
      <c r="E7431" t="str">
        <f>"1-401-9"</f>
        <v>1-401-9</v>
      </c>
      <c r="F7431" t="s">
        <v>15</v>
      </c>
      <c r="G7431" t="s">
        <v>20</v>
      </c>
      <c r="H7431" t="s">
        <v>21</v>
      </c>
      <c r="I7431">
        <v>0</v>
      </c>
      <c r="J7431">
        <v>0</v>
      </c>
      <c r="K7431">
        <v>1</v>
      </c>
    </row>
    <row r="7432" spans="1:11" x14ac:dyDescent="0.25">
      <c r="A7432" t="str">
        <f>"9299"</f>
        <v>9299</v>
      </c>
      <c r="B7432" t="str">
        <f t="shared" si="486"/>
        <v>1</v>
      </c>
      <c r="C7432" t="str">
        <f t="shared" si="488"/>
        <v>401</v>
      </c>
      <c r="D7432" t="str">
        <f>"20"</f>
        <v>20</v>
      </c>
      <c r="E7432" t="str">
        <f>"1-401-20"</f>
        <v>1-401-20</v>
      </c>
      <c r="F7432" t="s">
        <v>15</v>
      </c>
      <c r="G7432" t="s">
        <v>20</v>
      </c>
      <c r="H7432" t="s">
        <v>21</v>
      </c>
      <c r="I7432">
        <v>0</v>
      </c>
      <c r="J7432">
        <v>0</v>
      </c>
      <c r="K7432">
        <v>1</v>
      </c>
    </row>
    <row r="7433" spans="1:11" x14ac:dyDescent="0.25">
      <c r="A7433" t="str">
        <f>"9300"</f>
        <v>9300</v>
      </c>
      <c r="B7433" t="str">
        <f t="shared" si="486"/>
        <v>1</v>
      </c>
      <c r="C7433" t="str">
        <f t="shared" si="488"/>
        <v>401</v>
      </c>
      <c r="D7433" t="str">
        <f>"2"</f>
        <v>2</v>
      </c>
      <c r="E7433" t="str">
        <f>"1-401-2"</f>
        <v>1-401-2</v>
      </c>
      <c r="F7433" t="s">
        <v>15</v>
      </c>
      <c r="G7433" t="s">
        <v>20</v>
      </c>
      <c r="H7433" t="s">
        <v>21</v>
      </c>
      <c r="I7433">
        <v>0</v>
      </c>
      <c r="J7433">
        <v>0</v>
      </c>
      <c r="K7433">
        <v>1</v>
      </c>
    </row>
    <row r="7434" spans="1:11" x14ac:dyDescent="0.25">
      <c r="A7434" t="str">
        <f>"9301"</f>
        <v>9301</v>
      </c>
      <c r="B7434" t="str">
        <f t="shared" si="486"/>
        <v>1</v>
      </c>
      <c r="C7434" t="str">
        <f t="shared" si="488"/>
        <v>401</v>
      </c>
      <c r="D7434" t="str">
        <f>"21"</f>
        <v>21</v>
      </c>
      <c r="E7434" t="str">
        <f>"1-401-21"</f>
        <v>1-401-21</v>
      </c>
      <c r="F7434" t="s">
        <v>15</v>
      </c>
      <c r="G7434" t="s">
        <v>20</v>
      </c>
      <c r="H7434" t="s">
        <v>21</v>
      </c>
      <c r="I7434">
        <v>0</v>
      </c>
      <c r="J7434">
        <v>1</v>
      </c>
      <c r="K7434">
        <v>0</v>
      </c>
    </row>
    <row r="7435" spans="1:11" x14ac:dyDescent="0.25">
      <c r="A7435" t="str">
        <f>"9302"</f>
        <v>9302</v>
      </c>
      <c r="B7435" t="str">
        <f t="shared" si="486"/>
        <v>1</v>
      </c>
      <c r="C7435" t="str">
        <f t="shared" si="488"/>
        <v>401</v>
      </c>
      <c r="D7435" t="str">
        <f>"12"</f>
        <v>12</v>
      </c>
      <c r="E7435" t="str">
        <f>"1-401-12"</f>
        <v>1-401-12</v>
      </c>
      <c r="F7435" t="s">
        <v>15</v>
      </c>
      <c r="G7435" t="s">
        <v>20</v>
      </c>
      <c r="H7435" t="s">
        <v>21</v>
      </c>
      <c r="I7435">
        <v>0</v>
      </c>
      <c r="J7435">
        <v>1</v>
      </c>
      <c r="K7435">
        <v>0</v>
      </c>
    </row>
    <row r="7436" spans="1:11" x14ac:dyDescent="0.25">
      <c r="A7436" t="str">
        <f>"9303"</f>
        <v>9303</v>
      </c>
      <c r="B7436" t="str">
        <f t="shared" si="486"/>
        <v>1</v>
      </c>
      <c r="C7436" t="str">
        <f t="shared" si="488"/>
        <v>401</v>
      </c>
      <c r="D7436" t="str">
        <f>"22"</f>
        <v>22</v>
      </c>
      <c r="E7436" t="str">
        <f>"1-401-22"</f>
        <v>1-401-22</v>
      </c>
      <c r="F7436" t="s">
        <v>15</v>
      </c>
      <c r="G7436" t="s">
        <v>20</v>
      </c>
      <c r="H7436" t="s">
        <v>21</v>
      </c>
      <c r="I7436">
        <v>0</v>
      </c>
      <c r="J7436">
        <v>0</v>
      </c>
      <c r="K7436">
        <v>1</v>
      </c>
    </row>
    <row r="7437" spans="1:11" x14ac:dyDescent="0.25">
      <c r="A7437" t="str">
        <f>"9304"</f>
        <v>9304</v>
      </c>
      <c r="B7437" t="str">
        <f t="shared" si="486"/>
        <v>1</v>
      </c>
      <c r="C7437" t="str">
        <f t="shared" si="488"/>
        <v>401</v>
      </c>
      <c r="D7437" t="str">
        <f>"23"</f>
        <v>23</v>
      </c>
      <c r="E7437" t="str">
        <f>"1-401-23"</f>
        <v>1-401-23</v>
      </c>
      <c r="F7437" t="s">
        <v>15</v>
      </c>
      <c r="G7437" t="s">
        <v>20</v>
      </c>
      <c r="H7437" t="s">
        <v>21</v>
      </c>
      <c r="I7437">
        <v>1</v>
      </c>
      <c r="J7437">
        <v>0</v>
      </c>
      <c r="K7437">
        <v>0</v>
      </c>
    </row>
    <row r="7438" spans="1:11" x14ac:dyDescent="0.25">
      <c r="A7438" t="str">
        <f>"9305"</f>
        <v>9305</v>
      </c>
      <c r="B7438" t="str">
        <f t="shared" si="486"/>
        <v>1</v>
      </c>
      <c r="C7438" t="str">
        <f t="shared" si="488"/>
        <v>401</v>
      </c>
      <c r="D7438" t="str">
        <f>"5"</f>
        <v>5</v>
      </c>
      <c r="E7438" t="str">
        <f>"1-401-5"</f>
        <v>1-401-5</v>
      </c>
      <c r="F7438" t="s">
        <v>15</v>
      </c>
      <c r="G7438" t="s">
        <v>20</v>
      </c>
      <c r="H7438" t="s">
        <v>21</v>
      </c>
      <c r="I7438">
        <v>0</v>
      </c>
      <c r="J7438">
        <v>0</v>
      </c>
      <c r="K7438">
        <v>1</v>
      </c>
    </row>
    <row r="7439" spans="1:11" x14ac:dyDescent="0.25">
      <c r="A7439" t="str">
        <f>"9306"</f>
        <v>9306</v>
      </c>
      <c r="B7439" t="str">
        <f t="shared" ref="B7439:B7497" si="489">"1"</f>
        <v>1</v>
      </c>
      <c r="C7439" t="str">
        <f t="shared" si="488"/>
        <v>401</v>
      </c>
      <c r="D7439" t="str">
        <f>"8"</f>
        <v>8</v>
      </c>
      <c r="E7439" t="str">
        <f>"1-401-8"</f>
        <v>1-401-8</v>
      </c>
      <c r="F7439" t="s">
        <v>15</v>
      </c>
      <c r="G7439" t="s">
        <v>20</v>
      </c>
      <c r="H7439" t="s">
        <v>21</v>
      </c>
      <c r="I7439">
        <v>0</v>
      </c>
      <c r="J7439">
        <v>0</v>
      </c>
      <c r="K7439">
        <v>1</v>
      </c>
    </row>
    <row r="7440" spans="1:11" x14ac:dyDescent="0.25">
      <c r="A7440" t="str">
        <f>"9307"</f>
        <v>9307</v>
      </c>
      <c r="B7440" t="str">
        <f t="shared" si="489"/>
        <v>1</v>
      </c>
      <c r="C7440" t="str">
        <f t="shared" si="488"/>
        <v>401</v>
      </c>
      <c r="D7440" t="str">
        <f>"10"</f>
        <v>10</v>
      </c>
      <c r="E7440" t="str">
        <f>"1-401-10"</f>
        <v>1-401-10</v>
      </c>
      <c r="F7440" t="s">
        <v>15</v>
      </c>
      <c r="G7440" t="s">
        <v>20</v>
      </c>
      <c r="H7440" t="s">
        <v>21</v>
      </c>
      <c r="I7440">
        <v>0</v>
      </c>
      <c r="J7440">
        <v>0</v>
      </c>
      <c r="K7440">
        <v>1</v>
      </c>
    </row>
    <row r="7441" spans="1:11" x14ac:dyDescent="0.25">
      <c r="A7441" t="str">
        <f>"9308"</f>
        <v>9308</v>
      </c>
      <c r="B7441" t="str">
        <f t="shared" si="489"/>
        <v>1</v>
      </c>
      <c r="C7441" t="str">
        <f t="shared" si="488"/>
        <v>401</v>
      </c>
      <c r="D7441" t="str">
        <f>"11"</f>
        <v>11</v>
      </c>
      <c r="E7441" t="str">
        <f>"1-401-11"</f>
        <v>1-401-11</v>
      </c>
      <c r="F7441" t="s">
        <v>15</v>
      </c>
      <c r="G7441" t="s">
        <v>20</v>
      </c>
      <c r="H7441" t="s">
        <v>21</v>
      </c>
      <c r="I7441">
        <v>1</v>
      </c>
      <c r="J7441">
        <v>0</v>
      </c>
      <c r="K7441">
        <v>0</v>
      </c>
    </row>
    <row r="7442" spans="1:11" x14ac:dyDescent="0.25">
      <c r="A7442" t="str">
        <f>"9309"</f>
        <v>9309</v>
      </c>
      <c r="B7442" t="str">
        <f t="shared" si="489"/>
        <v>1</v>
      </c>
      <c r="C7442" t="str">
        <f t="shared" si="488"/>
        <v>401</v>
      </c>
      <c r="D7442" t="str">
        <f>"14"</f>
        <v>14</v>
      </c>
      <c r="E7442" t="str">
        <f>"1-401-14"</f>
        <v>1-401-14</v>
      </c>
      <c r="F7442" t="s">
        <v>15</v>
      </c>
      <c r="G7442" t="s">
        <v>20</v>
      </c>
      <c r="H7442" t="s">
        <v>21</v>
      </c>
      <c r="I7442">
        <v>1</v>
      </c>
      <c r="J7442">
        <v>0</v>
      </c>
      <c r="K7442">
        <v>0</v>
      </c>
    </row>
    <row r="7443" spans="1:11" x14ac:dyDescent="0.25">
      <c r="A7443" t="str">
        <f>"9310"</f>
        <v>9310</v>
      </c>
      <c r="B7443" t="str">
        <f t="shared" si="489"/>
        <v>1</v>
      </c>
      <c r="C7443" t="str">
        <f t="shared" si="488"/>
        <v>401</v>
      </c>
      <c r="D7443" t="str">
        <f>"4"</f>
        <v>4</v>
      </c>
      <c r="E7443" t="str">
        <f>"1-401-4"</f>
        <v>1-401-4</v>
      </c>
      <c r="F7443" t="s">
        <v>15</v>
      </c>
      <c r="G7443" t="s">
        <v>20</v>
      </c>
      <c r="H7443" t="s">
        <v>21</v>
      </c>
      <c r="I7443">
        <v>0</v>
      </c>
      <c r="J7443">
        <v>1</v>
      </c>
      <c r="K7443">
        <v>0</v>
      </c>
    </row>
    <row r="7444" spans="1:11" x14ac:dyDescent="0.25">
      <c r="A7444" t="str">
        <f>"9311"</f>
        <v>9311</v>
      </c>
      <c r="B7444" t="str">
        <f t="shared" si="489"/>
        <v>1</v>
      </c>
      <c r="C7444" t="str">
        <f t="shared" si="488"/>
        <v>401</v>
      </c>
      <c r="D7444" t="str">
        <f>"13"</f>
        <v>13</v>
      </c>
      <c r="E7444" t="str">
        <f>"1-401-13"</f>
        <v>1-401-13</v>
      </c>
      <c r="F7444" t="s">
        <v>15</v>
      </c>
      <c r="G7444" t="s">
        <v>20</v>
      </c>
      <c r="H7444" t="s">
        <v>21</v>
      </c>
      <c r="I7444">
        <v>0</v>
      </c>
      <c r="J7444">
        <v>0</v>
      </c>
      <c r="K7444">
        <v>0</v>
      </c>
    </row>
    <row r="7445" spans="1:11" x14ac:dyDescent="0.25">
      <c r="A7445" t="str">
        <f>"9312"</f>
        <v>9312</v>
      </c>
      <c r="B7445" t="str">
        <f t="shared" si="489"/>
        <v>1</v>
      </c>
      <c r="C7445" t="str">
        <f t="shared" si="488"/>
        <v>401</v>
      </c>
      <c r="D7445" t="str">
        <f>"7"</f>
        <v>7</v>
      </c>
      <c r="E7445" t="str">
        <f>"1-401-7"</f>
        <v>1-401-7</v>
      </c>
      <c r="F7445" t="s">
        <v>15</v>
      </c>
      <c r="G7445" t="s">
        <v>20</v>
      </c>
      <c r="H7445" t="s">
        <v>21</v>
      </c>
      <c r="I7445">
        <v>0</v>
      </c>
      <c r="J7445">
        <v>0</v>
      </c>
      <c r="K7445">
        <v>0</v>
      </c>
    </row>
    <row r="7446" spans="1:11" x14ac:dyDescent="0.25">
      <c r="A7446" t="str">
        <f>"9313"</f>
        <v>9313</v>
      </c>
      <c r="B7446" t="str">
        <f t="shared" si="489"/>
        <v>1</v>
      </c>
      <c r="C7446" t="str">
        <f t="shared" si="488"/>
        <v>401</v>
      </c>
      <c r="D7446" t="str">
        <f>"17"</f>
        <v>17</v>
      </c>
      <c r="E7446" t="str">
        <f>"1-401-17"</f>
        <v>1-401-17</v>
      </c>
      <c r="F7446" t="s">
        <v>15</v>
      </c>
      <c r="G7446" t="s">
        <v>20</v>
      </c>
      <c r="H7446" t="s">
        <v>21</v>
      </c>
      <c r="I7446">
        <v>0</v>
      </c>
      <c r="J7446">
        <v>0</v>
      </c>
      <c r="K7446">
        <v>0</v>
      </c>
    </row>
    <row r="7447" spans="1:11" x14ac:dyDescent="0.25">
      <c r="A7447" t="str">
        <f>"9314"</f>
        <v>9314</v>
      </c>
      <c r="B7447" t="str">
        <f t="shared" si="489"/>
        <v>1</v>
      </c>
      <c r="C7447" t="str">
        <f t="shared" ref="C7447:C7467" si="490">"402"</f>
        <v>402</v>
      </c>
      <c r="D7447" t="str">
        <f>"18"</f>
        <v>18</v>
      </c>
      <c r="E7447" t="str">
        <f>"1-402-18"</f>
        <v>1-402-18</v>
      </c>
      <c r="F7447" t="s">
        <v>15</v>
      </c>
      <c r="G7447" t="s">
        <v>16</v>
      </c>
      <c r="H7447" t="s">
        <v>17</v>
      </c>
      <c r="I7447">
        <v>0</v>
      </c>
      <c r="J7447">
        <v>1</v>
      </c>
      <c r="K7447">
        <v>0</v>
      </c>
    </row>
    <row r="7448" spans="1:11" x14ac:dyDescent="0.25">
      <c r="A7448" t="str">
        <f>"9315"</f>
        <v>9315</v>
      </c>
      <c r="B7448" t="str">
        <f t="shared" si="489"/>
        <v>1</v>
      </c>
      <c r="C7448" t="str">
        <f t="shared" si="490"/>
        <v>402</v>
      </c>
      <c r="D7448" t="str">
        <f>"15"</f>
        <v>15</v>
      </c>
      <c r="E7448" t="str">
        <f>"1-402-15"</f>
        <v>1-402-15</v>
      </c>
      <c r="F7448" t="s">
        <v>15</v>
      </c>
      <c r="G7448" t="s">
        <v>16</v>
      </c>
      <c r="H7448" t="s">
        <v>17</v>
      </c>
      <c r="I7448">
        <v>1</v>
      </c>
      <c r="J7448">
        <v>0</v>
      </c>
      <c r="K7448">
        <v>0</v>
      </c>
    </row>
    <row r="7449" spans="1:11" x14ac:dyDescent="0.25">
      <c r="A7449" t="str">
        <f>"9316"</f>
        <v>9316</v>
      </c>
      <c r="B7449" t="str">
        <f t="shared" si="489"/>
        <v>1</v>
      </c>
      <c r="C7449" t="str">
        <f t="shared" si="490"/>
        <v>402</v>
      </c>
      <c r="D7449" t="str">
        <f>"19"</f>
        <v>19</v>
      </c>
      <c r="E7449" t="str">
        <f>"1-402-19"</f>
        <v>1-402-19</v>
      </c>
      <c r="F7449" t="s">
        <v>15</v>
      </c>
      <c r="G7449" t="s">
        <v>16</v>
      </c>
      <c r="H7449" t="s">
        <v>17</v>
      </c>
      <c r="I7449">
        <v>0</v>
      </c>
      <c r="J7449">
        <v>0</v>
      </c>
      <c r="K7449">
        <v>1</v>
      </c>
    </row>
    <row r="7450" spans="1:11" x14ac:dyDescent="0.25">
      <c r="A7450" t="str">
        <f>"9317"</f>
        <v>9317</v>
      </c>
      <c r="B7450" t="str">
        <f t="shared" si="489"/>
        <v>1</v>
      </c>
      <c r="C7450" t="str">
        <f t="shared" si="490"/>
        <v>402</v>
      </c>
      <c r="D7450" t="str">
        <f>"16"</f>
        <v>16</v>
      </c>
      <c r="E7450" t="str">
        <f>"1-402-16"</f>
        <v>1-402-16</v>
      </c>
      <c r="F7450" t="s">
        <v>15</v>
      </c>
      <c r="G7450" t="s">
        <v>18</v>
      </c>
      <c r="H7450" t="s">
        <v>19</v>
      </c>
      <c r="I7450">
        <v>0</v>
      </c>
      <c r="J7450">
        <v>0</v>
      </c>
      <c r="K7450">
        <v>1</v>
      </c>
    </row>
    <row r="7451" spans="1:11" x14ac:dyDescent="0.25">
      <c r="A7451" t="str">
        <f>"9319"</f>
        <v>9319</v>
      </c>
      <c r="B7451" t="str">
        <f t="shared" si="489"/>
        <v>1</v>
      </c>
      <c r="C7451" t="str">
        <f t="shared" si="490"/>
        <v>402</v>
      </c>
      <c r="D7451" t="str">
        <f>"17"</f>
        <v>17</v>
      </c>
      <c r="E7451" t="str">
        <f>"1-402-17"</f>
        <v>1-402-17</v>
      </c>
      <c r="F7451" t="s">
        <v>15</v>
      </c>
      <c r="G7451" t="s">
        <v>16</v>
      </c>
      <c r="H7451" t="s">
        <v>17</v>
      </c>
      <c r="I7451">
        <v>0</v>
      </c>
      <c r="J7451">
        <v>0</v>
      </c>
      <c r="K7451">
        <v>1</v>
      </c>
    </row>
    <row r="7452" spans="1:11" x14ac:dyDescent="0.25">
      <c r="A7452" t="str">
        <f>"9321"</f>
        <v>9321</v>
      </c>
      <c r="B7452" t="str">
        <f t="shared" si="489"/>
        <v>1</v>
      </c>
      <c r="C7452" t="str">
        <f t="shared" si="490"/>
        <v>402</v>
      </c>
      <c r="D7452" t="str">
        <f>"20"</f>
        <v>20</v>
      </c>
      <c r="E7452" t="str">
        <f>"1-402-20"</f>
        <v>1-402-20</v>
      </c>
      <c r="F7452" t="s">
        <v>15</v>
      </c>
      <c r="G7452" t="s">
        <v>18</v>
      </c>
      <c r="H7452" t="s">
        <v>19</v>
      </c>
      <c r="I7452">
        <v>1</v>
      </c>
      <c r="J7452">
        <v>0</v>
      </c>
      <c r="K7452">
        <v>0</v>
      </c>
    </row>
    <row r="7453" spans="1:11" x14ac:dyDescent="0.25">
      <c r="A7453" t="str">
        <f>"9322"</f>
        <v>9322</v>
      </c>
      <c r="B7453" t="str">
        <f t="shared" si="489"/>
        <v>1</v>
      </c>
      <c r="C7453" t="str">
        <f t="shared" si="490"/>
        <v>402</v>
      </c>
      <c r="D7453" t="str">
        <f>"13"</f>
        <v>13</v>
      </c>
      <c r="E7453" t="str">
        <f>"1-402-13"</f>
        <v>1-402-13</v>
      </c>
      <c r="F7453" t="s">
        <v>15</v>
      </c>
      <c r="G7453" t="s">
        <v>16</v>
      </c>
      <c r="H7453" t="s">
        <v>17</v>
      </c>
      <c r="I7453">
        <v>0</v>
      </c>
      <c r="J7453">
        <v>1</v>
      </c>
      <c r="K7453">
        <v>0</v>
      </c>
    </row>
    <row r="7454" spans="1:11" x14ac:dyDescent="0.25">
      <c r="A7454" t="str">
        <f>"9324"</f>
        <v>9324</v>
      </c>
      <c r="B7454" t="str">
        <f t="shared" si="489"/>
        <v>1</v>
      </c>
      <c r="C7454" t="str">
        <f t="shared" si="490"/>
        <v>402</v>
      </c>
      <c r="D7454" t="str">
        <f>"11"</f>
        <v>11</v>
      </c>
      <c r="E7454" t="str">
        <f>"1-402-11"</f>
        <v>1-402-11</v>
      </c>
      <c r="F7454" t="s">
        <v>15</v>
      </c>
      <c r="G7454" t="s">
        <v>16</v>
      </c>
      <c r="H7454" t="s">
        <v>17</v>
      </c>
      <c r="I7454">
        <v>0</v>
      </c>
      <c r="J7454">
        <v>0</v>
      </c>
      <c r="K7454">
        <v>1</v>
      </c>
    </row>
    <row r="7455" spans="1:11" x14ac:dyDescent="0.25">
      <c r="A7455" t="str">
        <f>"9325"</f>
        <v>9325</v>
      </c>
      <c r="B7455" t="str">
        <f t="shared" si="489"/>
        <v>1</v>
      </c>
      <c r="C7455" t="str">
        <f t="shared" si="490"/>
        <v>402</v>
      </c>
      <c r="D7455" t="str">
        <f>"22"</f>
        <v>22</v>
      </c>
      <c r="E7455" t="str">
        <f>"1-402-22"</f>
        <v>1-402-22</v>
      </c>
      <c r="F7455" t="s">
        <v>15</v>
      </c>
      <c r="G7455" t="s">
        <v>16</v>
      </c>
      <c r="H7455" t="s">
        <v>17</v>
      </c>
      <c r="I7455">
        <v>0</v>
      </c>
      <c r="J7455">
        <v>0</v>
      </c>
      <c r="K7455">
        <v>1</v>
      </c>
    </row>
    <row r="7456" spans="1:11" x14ac:dyDescent="0.25">
      <c r="A7456" t="str">
        <f>"9326"</f>
        <v>9326</v>
      </c>
      <c r="B7456" t="str">
        <f t="shared" si="489"/>
        <v>1</v>
      </c>
      <c r="C7456" t="str">
        <f t="shared" si="490"/>
        <v>402</v>
      </c>
      <c r="D7456" t="str">
        <f>"9"</f>
        <v>9</v>
      </c>
      <c r="E7456" t="str">
        <f>"1-402-9"</f>
        <v>1-402-9</v>
      </c>
      <c r="F7456" t="s">
        <v>15</v>
      </c>
      <c r="G7456" t="s">
        <v>20</v>
      </c>
      <c r="H7456" t="s">
        <v>21</v>
      </c>
      <c r="I7456">
        <v>1</v>
      </c>
      <c r="J7456">
        <v>0</v>
      </c>
      <c r="K7456">
        <v>0</v>
      </c>
    </row>
    <row r="7457" spans="1:11" x14ac:dyDescent="0.25">
      <c r="A7457" t="str">
        <f>"9327"</f>
        <v>9327</v>
      </c>
      <c r="B7457" t="str">
        <f t="shared" si="489"/>
        <v>1</v>
      </c>
      <c r="C7457" t="str">
        <f t="shared" si="490"/>
        <v>402</v>
      </c>
      <c r="D7457" t="str">
        <f>"2"</f>
        <v>2</v>
      </c>
      <c r="E7457" t="str">
        <f>"1-402-2"</f>
        <v>1-402-2</v>
      </c>
      <c r="F7457" t="s">
        <v>15</v>
      </c>
      <c r="G7457" t="s">
        <v>18</v>
      </c>
      <c r="H7457" t="s">
        <v>19</v>
      </c>
      <c r="I7457">
        <v>0</v>
      </c>
      <c r="J7457">
        <v>1</v>
      </c>
      <c r="K7457">
        <v>0</v>
      </c>
    </row>
    <row r="7458" spans="1:11" x14ac:dyDescent="0.25">
      <c r="A7458" t="str">
        <f>"9328"</f>
        <v>9328</v>
      </c>
      <c r="B7458" t="str">
        <f t="shared" si="489"/>
        <v>1</v>
      </c>
      <c r="C7458" t="str">
        <f t="shared" si="490"/>
        <v>402</v>
      </c>
      <c r="D7458" t="str">
        <f>"24"</f>
        <v>24</v>
      </c>
      <c r="E7458" t="str">
        <f>"1-402-24"</f>
        <v>1-402-24</v>
      </c>
      <c r="F7458" t="s">
        <v>15</v>
      </c>
      <c r="G7458" t="s">
        <v>16</v>
      </c>
      <c r="H7458" t="s">
        <v>17</v>
      </c>
      <c r="I7458">
        <v>1</v>
      </c>
      <c r="J7458">
        <v>0</v>
      </c>
      <c r="K7458">
        <v>0</v>
      </c>
    </row>
    <row r="7459" spans="1:11" x14ac:dyDescent="0.25">
      <c r="A7459" t="str">
        <f>"9329"</f>
        <v>9329</v>
      </c>
      <c r="B7459" t="str">
        <f t="shared" si="489"/>
        <v>1</v>
      </c>
      <c r="C7459" t="str">
        <f t="shared" si="490"/>
        <v>402</v>
      </c>
      <c r="D7459" t="str">
        <f>"14"</f>
        <v>14</v>
      </c>
      <c r="E7459" t="str">
        <f>"1-402-14"</f>
        <v>1-402-14</v>
      </c>
      <c r="F7459" t="s">
        <v>15</v>
      </c>
      <c r="G7459" t="s">
        <v>16</v>
      </c>
      <c r="H7459" t="s">
        <v>17</v>
      </c>
      <c r="I7459">
        <v>1</v>
      </c>
      <c r="J7459">
        <v>0</v>
      </c>
      <c r="K7459">
        <v>0</v>
      </c>
    </row>
    <row r="7460" spans="1:11" x14ac:dyDescent="0.25">
      <c r="A7460" t="str">
        <f>"9330"</f>
        <v>9330</v>
      </c>
      <c r="B7460" t="str">
        <f t="shared" si="489"/>
        <v>1</v>
      </c>
      <c r="C7460" t="str">
        <f t="shared" si="490"/>
        <v>402</v>
      </c>
      <c r="D7460" t="str">
        <f>"12"</f>
        <v>12</v>
      </c>
      <c r="E7460" t="str">
        <f>"1-402-12"</f>
        <v>1-402-12</v>
      </c>
      <c r="F7460" t="s">
        <v>15</v>
      </c>
      <c r="G7460" t="s">
        <v>16</v>
      </c>
      <c r="H7460" t="s">
        <v>17</v>
      </c>
      <c r="I7460">
        <v>0</v>
      </c>
      <c r="J7460">
        <v>1</v>
      </c>
      <c r="K7460">
        <v>0</v>
      </c>
    </row>
    <row r="7461" spans="1:11" x14ac:dyDescent="0.25">
      <c r="A7461" t="str">
        <f>"9331"</f>
        <v>9331</v>
      </c>
      <c r="B7461" t="str">
        <f t="shared" si="489"/>
        <v>1</v>
      </c>
      <c r="C7461" t="str">
        <f t="shared" si="490"/>
        <v>402</v>
      </c>
      <c r="D7461" t="str">
        <f>"10"</f>
        <v>10</v>
      </c>
      <c r="E7461" t="str">
        <f>"1-402-10"</f>
        <v>1-402-10</v>
      </c>
      <c r="F7461" t="s">
        <v>15</v>
      </c>
      <c r="G7461" t="s">
        <v>20</v>
      </c>
      <c r="H7461" t="s">
        <v>21</v>
      </c>
      <c r="I7461">
        <v>0</v>
      </c>
      <c r="J7461">
        <v>1</v>
      </c>
      <c r="K7461">
        <v>0</v>
      </c>
    </row>
    <row r="7462" spans="1:11" x14ac:dyDescent="0.25">
      <c r="A7462" t="str">
        <f>"9332"</f>
        <v>9332</v>
      </c>
      <c r="B7462" t="str">
        <f t="shared" si="489"/>
        <v>1</v>
      </c>
      <c r="C7462" t="str">
        <f t="shared" si="490"/>
        <v>402</v>
      </c>
      <c r="D7462" t="str">
        <f>"8"</f>
        <v>8</v>
      </c>
      <c r="E7462" t="str">
        <f>"1-402-8"</f>
        <v>1-402-8</v>
      </c>
      <c r="F7462" t="s">
        <v>15</v>
      </c>
      <c r="G7462" t="s">
        <v>16</v>
      </c>
      <c r="H7462" t="s">
        <v>17</v>
      </c>
      <c r="I7462">
        <v>1</v>
      </c>
      <c r="J7462">
        <v>0</v>
      </c>
      <c r="K7462">
        <v>0</v>
      </c>
    </row>
    <row r="7463" spans="1:11" x14ac:dyDescent="0.25">
      <c r="A7463" t="str">
        <f>"9333"</f>
        <v>9333</v>
      </c>
      <c r="B7463" t="str">
        <f t="shared" si="489"/>
        <v>1</v>
      </c>
      <c r="C7463" t="str">
        <f t="shared" si="490"/>
        <v>402</v>
      </c>
      <c r="D7463" t="str">
        <f>"5"</f>
        <v>5</v>
      </c>
      <c r="E7463" t="str">
        <f>"1-402-5"</f>
        <v>1-402-5</v>
      </c>
      <c r="F7463" t="s">
        <v>15</v>
      </c>
      <c r="G7463" t="s">
        <v>16</v>
      </c>
      <c r="H7463" t="s">
        <v>17</v>
      </c>
      <c r="I7463">
        <v>0</v>
      </c>
      <c r="J7463">
        <v>0</v>
      </c>
      <c r="K7463">
        <v>1</v>
      </c>
    </row>
    <row r="7464" spans="1:11" x14ac:dyDescent="0.25">
      <c r="A7464" t="str">
        <f>"9334"</f>
        <v>9334</v>
      </c>
      <c r="B7464" t="str">
        <f t="shared" si="489"/>
        <v>1</v>
      </c>
      <c r="C7464" t="str">
        <f t="shared" si="490"/>
        <v>402</v>
      </c>
      <c r="D7464" t="str">
        <f>"23"</f>
        <v>23</v>
      </c>
      <c r="E7464" t="str">
        <f>"1-402-23"</f>
        <v>1-402-23</v>
      </c>
      <c r="F7464" t="s">
        <v>15</v>
      </c>
      <c r="G7464" t="s">
        <v>16</v>
      </c>
      <c r="H7464" t="s">
        <v>17</v>
      </c>
      <c r="I7464">
        <v>0</v>
      </c>
      <c r="J7464">
        <v>0</v>
      </c>
      <c r="K7464">
        <v>0</v>
      </c>
    </row>
    <row r="7465" spans="1:11" x14ac:dyDescent="0.25">
      <c r="A7465" t="str">
        <f>"9335"</f>
        <v>9335</v>
      </c>
      <c r="B7465" t="str">
        <f t="shared" si="489"/>
        <v>1</v>
      </c>
      <c r="C7465" t="str">
        <f t="shared" si="490"/>
        <v>402</v>
      </c>
      <c r="D7465" t="str">
        <f>"3"</f>
        <v>3</v>
      </c>
      <c r="E7465" t="str">
        <f>"1-402-3"</f>
        <v>1-402-3</v>
      </c>
      <c r="F7465" t="s">
        <v>15</v>
      </c>
      <c r="G7465" t="s">
        <v>16</v>
      </c>
      <c r="H7465" t="s">
        <v>17</v>
      </c>
      <c r="I7465">
        <v>0</v>
      </c>
      <c r="J7465">
        <v>0</v>
      </c>
      <c r="K7465">
        <v>0</v>
      </c>
    </row>
    <row r="7466" spans="1:11" x14ac:dyDescent="0.25">
      <c r="A7466" t="str">
        <f>"9336"</f>
        <v>9336</v>
      </c>
      <c r="B7466" t="str">
        <f t="shared" si="489"/>
        <v>1</v>
      </c>
      <c r="C7466" t="str">
        <f t="shared" si="490"/>
        <v>402</v>
      </c>
      <c r="D7466" t="str">
        <f>"4"</f>
        <v>4</v>
      </c>
      <c r="E7466" t="str">
        <f>"1-402-4"</f>
        <v>1-402-4</v>
      </c>
      <c r="F7466" t="s">
        <v>15</v>
      </c>
      <c r="G7466" t="s">
        <v>16</v>
      </c>
      <c r="H7466" t="s">
        <v>17</v>
      </c>
      <c r="I7466">
        <v>0</v>
      </c>
      <c r="J7466">
        <v>0</v>
      </c>
      <c r="K7466">
        <v>0</v>
      </c>
    </row>
    <row r="7467" spans="1:11" x14ac:dyDescent="0.25">
      <c r="A7467" t="str">
        <f>"9337"</f>
        <v>9337</v>
      </c>
      <c r="B7467" t="str">
        <f t="shared" si="489"/>
        <v>1</v>
      </c>
      <c r="C7467" t="str">
        <f t="shared" si="490"/>
        <v>402</v>
      </c>
      <c r="D7467" t="str">
        <f>"7"</f>
        <v>7</v>
      </c>
      <c r="E7467" t="str">
        <f>"1-402-7"</f>
        <v>1-402-7</v>
      </c>
      <c r="F7467" t="s">
        <v>15</v>
      </c>
      <c r="G7467" t="s">
        <v>20</v>
      </c>
      <c r="H7467" t="s">
        <v>21</v>
      </c>
      <c r="I7467">
        <v>0</v>
      </c>
      <c r="J7467">
        <v>0</v>
      </c>
      <c r="K7467">
        <v>0</v>
      </c>
    </row>
    <row r="7468" spans="1:11" x14ac:dyDescent="0.25">
      <c r="A7468" t="str">
        <f>"9338"</f>
        <v>9338</v>
      </c>
      <c r="B7468" t="str">
        <f t="shared" si="489"/>
        <v>1</v>
      </c>
      <c r="C7468" t="str">
        <f t="shared" ref="C7468:C7491" si="491">"403"</f>
        <v>403</v>
      </c>
      <c r="D7468" t="str">
        <f>"22"</f>
        <v>22</v>
      </c>
      <c r="E7468" t="str">
        <f>"1-403-22"</f>
        <v>1-403-22</v>
      </c>
      <c r="F7468" t="s">
        <v>15</v>
      </c>
      <c r="G7468" t="s">
        <v>16</v>
      </c>
      <c r="H7468" t="s">
        <v>17</v>
      </c>
      <c r="I7468">
        <v>1</v>
      </c>
      <c r="J7468">
        <v>0</v>
      </c>
      <c r="K7468">
        <v>0</v>
      </c>
    </row>
    <row r="7469" spans="1:11" x14ac:dyDescent="0.25">
      <c r="A7469" t="str">
        <f>"9339"</f>
        <v>9339</v>
      </c>
      <c r="B7469" t="str">
        <f t="shared" si="489"/>
        <v>1</v>
      </c>
      <c r="C7469" t="str">
        <f t="shared" si="491"/>
        <v>403</v>
      </c>
      <c r="D7469" t="str">
        <f>"15"</f>
        <v>15</v>
      </c>
      <c r="E7469" t="str">
        <f>"1-403-15"</f>
        <v>1-403-15</v>
      </c>
      <c r="F7469" t="s">
        <v>15</v>
      </c>
      <c r="G7469" t="s">
        <v>16</v>
      </c>
      <c r="H7469" t="s">
        <v>17</v>
      </c>
      <c r="I7469">
        <v>0</v>
      </c>
      <c r="J7469">
        <v>1</v>
      </c>
      <c r="K7469">
        <v>0</v>
      </c>
    </row>
    <row r="7470" spans="1:11" x14ac:dyDescent="0.25">
      <c r="A7470" t="str">
        <f>"9340"</f>
        <v>9340</v>
      </c>
      <c r="B7470" t="str">
        <f t="shared" si="489"/>
        <v>1</v>
      </c>
      <c r="C7470" t="str">
        <f t="shared" si="491"/>
        <v>403</v>
      </c>
      <c r="D7470" t="str">
        <f>"2"</f>
        <v>2</v>
      </c>
      <c r="E7470" t="str">
        <f>"1-403-2"</f>
        <v>1-403-2</v>
      </c>
      <c r="F7470" t="s">
        <v>15</v>
      </c>
      <c r="G7470" t="s">
        <v>16</v>
      </c>
      <c r="H7470" t="s">
        <v>17</v>
      </c>
      <c r="I7470">
        <v>1</v>
      </c>
      <c r="J7470">
        <v>0</v>
      </c>
      <c r="K7470">
        <v>0</v>
      </c>
    </row>
    <row r="7471" spans="1:11" x14ac:dyDescent="0.25">
      <c r="A7471" t="str">
        <f>"9341"</f>
        <v>9341</v>
      </c>
      <c r="B7471" t="str">
        <f t="shared" si="489"/>
        <v>1</v>
      </c>
      <c r="C7471" t="str">
        <f t="shared" si="491"/>
        <v>403</v>
      </c>
      <c r="D7471" t="str">
        <f>"25"</f>
        <v>25</v>
      </c>
      <c r="E7471" t="str">
        <f>"1-403-25"</f>
        <v>1-403-25</v>
      </c>
      <c r="F7471" t="s">
        <v>15</v>
      </c>
      <c r="G7471" t="s">
        <v>16</v>
      </c>
      <c r="H7471" t="s">
        <v>17</v>
      </c>
      <c r="I7471">
        <v>1</v>
      </c>
      <c r="J7471">
        <v>0</v>
      </c>
      <c r="K7471">
        <v>0</v>
      </c>
    </row>
    <row r="7472" spans="1:11" x14ac:dyDescent="0.25">
      <c r="A7472" t="str">
        <f>"9342"</f>
        <v>9342</v>
      </c>
      <c r="B7472" t="str">
        <f t="shared" si="489"/>
        <v>1</v>
      </c>
      <c r="C7472" t="str">
        <f t="shared" si="491"/>
        <v>403</v>
      </c>
      <c r="D7472" t="str">
        <f>"16"</f>
        <v>16</v>
      </c>
      <c r="E7472" t="str">
        <f>"1-403-16"</f>
        <v>1-403-16</v>
      </c>
      <c r="F7472" t="s">
        <v>15</v>
      </c>
      <c r="G7472" t="s">
        <v>16</v>
      </c>
      <c r="H7472" t="s">
        <v>17</v>
      </c>
      <c r="I7472">
        <v>0</v>
      </c>
      <c r="J7472">
        <v>0</v>
      </c>
      <c r="K7472">
        <v>1</v>
      </c>
    </row>
    <row r="7473" spans="1:11" x14ac:dyDescent="0.25">
      <c r="A7473" t="str">
        <f>"9343"</f>
        <v>9343</v>
      </c>
      <c r="B7473" t="str">
        <f t="shared" si="489"/>
        <v>1</v>
      </c>
      <c r="C7473" t="str">
        <f t="shared" si="491"/>
        <v>403</v>
      </c>
      <c r="D7473" t="str">
        <f>"8"</f>
        <v>8</v>
      </c>
      <c r="E7473" t="str">
        <f>"1-403-8"</f>
        <v>1-403-8</v>
      </c>
      <c r="F7473" t="s">
        <v>15</v>
      </c>
      <c r="G7473" t="s">
        <v>16</v>
      </c>
      <c r="H7473" t="s">
        <v>17</v>
      </c>
      <c r="I7473">
        <v>1</v>
      </c>
      <c r="J7473">
        <v>0</v>
      </c>
      <c r="K7473">
        <v>0</v>
      </c>
    </row>
    <row r="7474" spans="1:11" x14ac:dyDescent="0.25">
      <c r="A7474" t="str">
        <f>"9344"</f>
        <v>9344</v>
      </c>
      <c r="B7474" t="str">
        <f t="shared" si="489"/>
        <v>1</v>
      </c>
      <c r="C7474" t="str">
        <f t="shared" si="491"/>
        <v>403</v>
      </c>
      <c r="D7474" t="str">
        <f>"17"</f>
        <v>17</v>
      </c>
      <c r="E7474" t="str">
        <f>"1-403-17"</f>
        <v>1-403-17</v>
      </c>
      <c r="F7474" t="s">
        <v>15</v>
      </c>
      <c r="G7474" t="s">
        <v>16</v>
      </c>
      <c r="H7474" t="s">
        <v>17</v>
      </c>
      <c r="I7474">
        <v>0</v>
      </c>
      <c r="J7474">
        <v>1</v>
      </c>
      <c r="K7474">
        <v>0</v>
      </c>
    </row>
    <row r="7475" spans="1:11" x14ac:dyDescent="0.25">
      <c r="A7475" t="str">
        <f>"9345"</f>
        <v>9345</v>
      </c>
      <c r="B7475" t="str">
        <f t="shared" si="489"/>
        <v>1</v>
      </c>
      <c r="C7475" t="str">
        <f t="shared" si="491"/>
        <v>403</v>
      </c>
      <c r="D7475" t="str">
        <f>"18"</f>
        <v>18</v>
      </c>
      <c r="E7475" t="str">
        <f>"1-403-18"</f>
        <v>1-403-18</v>
      </c>
      <c r="F7475" t="s">
        <v>15</v>
      </c>
      <c r="G7475" t="s">
        <v>16</v>
      </c>
      <c r="H7475" t="s">
        <v>17</v>
      </c>
      <c r="I7475">
        <v>0</v>
      </c>
      <c r="J7475">
        <v>1</v>
      </c>
      <c r="K7475">
        <v>0</v>
      </c>
    </row>
    <row r="7476" spans="1:11" x14ac:dyDescent="0.25">
      <c r="A7476" t="str">
        <f>"9346"</f>
        <v>9346</v>
      </c>
      <c r="B7476" t="str">
        <f t="shared" si="489"/>
        <v>1</v>
      </c>
      <c r="C7476" t="str">
        <f t="shared" si="491"/>
        <v>403</v>
      </c>
      <c r="D7476" t="str">
        <f>"14"</f>
        <v>14</v>
      </c>
      <c r="E7476" t="str">
        <f>"1-403-14"</f>
        <v>1-403-14</v>
      </c>
      <c r="F7476" t="s">
        <v>15</v>
      </c>
      <c r="G7476" t="s">
        <v>16</v>
      </c>
      <c r="H7476" t="s">
        <v>17</v>
      </c>
      <c r="I7476">
        <v>0</v>
      </c>
      <c r="J7476">
        <v>0</v>
      </c>
      <c r="K7476">
        <v>1</v>
      </c>
    </row>
    <row r="7477" spans="1:11" x14ac:dyDescent="0.25">
      <c r="A7477" t="str">
        <f>"9347"</f>
        <v>9347</v>
      </c>
      <c r="B7477" t="str">
        <f t="shared" si="489"/>
        <v>1</v>
      </c>
      <c r="C7477" t="str">
        <f t="shared" si="491"/>
        <v>403</v>
      </c>
      <c r="D7477" t="str">
        <f>"19"</f>
        <v>19</v>
      </c>
      <c r="E7477" t="str">
        <f>"1-403-19"</f>
        <v>1-403-19</v>
      </c>
      <c r="F7477" t="s">
        <v>15</v>
      </c>
      <c r="G7477" t="s">
        <v>16</v>
      </c>
      <c r="H7477" t="s">
        <v>17</v>
      </c>
      <c r="I7477">
        <v>1</v>
      </c>
      <c r="J7477">
        <v>0</v>
      </c>
      <c r="K7477">
        <v>0</v>
      </c>
    </row>
    <row r="7478" spans="1:11" x14ac:dyDescent="0.25">
      <c r="A7478" t="str">
        <f>"9348"</f>
        <v>9348</v>
      </c>
      <c r="B7478" t="str">
        <f t="shared" si="489"/>
        <v>1</v>
      </c>
      <c r="C7478" t="str">
        <f t="shared" si="491"/>
        <v>403</v>
      </c>
      <c r="D7478" t="str">
        <f>"1"</f>
        <v>1</v>
      </c>
      <c r="E7478" t="str">
        <f>"1-403-1"</f>
        <v>1-403-1</v>
      </c>
      <c r="F7478" t="s">
        <v>15</v>
      </c>
      <c r="G7478" t="s">
        <v>16</v>
      </c>
      <c r="H7478" t="s">
        <v>17</v>
      </c>
      <c r="I7478">
        <v>1</v>
      </c>
      <c r="J7478">
        <v>0</v>
      </c>
      <c r="K7478">
        <v>0</v>
      </c>
    </row>
    <row r="7479" spans="1:11" x14ac:dyDescent="0.25">
      <c r="A7479" t="str">
        <f>"9349"</f>
        <v>9349</v>
      </c>
      <c r="B7479" t="str">
        <f t="shared" si="489"/>
        <v>1</v>
      </c>
      <c r="C7479" t="str">
        <f t="shared" si="491"/>
        <v>403</v>
      </c>
      <c r="D7479" t="str">
        <f>"20"</f>
        <v>20</v>
      </c>
      <c r="E7479" t="str">
        <f>"1-403-20"</f>
        <v>1-403-20</v>
      </c>
      <c r="F7479" t="s">
        <v>15</v>
      </c>
      <c r="G7479" t="s">
        <v>18</v>
      </c>
      <c r="H7479" t="s">
        <v>19</v>
      </c>
      <c r="I7479">
        <v>0</v>
      </c>
      <c r="J7479">
        <v>0</v>
      </c>
      <c r="K7479">
        <v>1</v>
      </c>
    </row>
    <row r="7480" spans="1:11" x14ac:dyDescent="0.25">
      <c r="A7480" t="str">
        <f>"9350"</f>
        <v>9350</v>
      </c>
      <c r="B7480" t="str">
        <f t="shared" si="489"/>
        <v>1</v>
      </c>
      <c r="C7480" t="str">
        <f t="shared" si="491"/>
        <v>403</v>
      </c>
      <c r="D7480" t="str">
        <f>"3"</f>
        <v>3</v>
      </c>
      <c r="E7480" t="str">
        <f>"1-403-3"</f>
        <v>1-403-3</v>
      </c>
      <c r="F7480" t="s">
        <v>15</v>
      </c>
      <c r="G7480" t="s">
        <v>16</v>
      </c>
      <c r="H7480" t="s">
        <v>17</v>
      </c>
      <c r="I7480">
        <v>1</v>
      </c>
      <c r="J7480">
        <v>0</v>
      </c>
      <c r="K7480">
        <v>0</v>
      </c>
    </row>
    <row r="7481" spans="1:11" x14ac:dyDescent="0.25">
      <c r="A7481" t="str">
        <f>"9351"</f>
        <v>9351</v>
      </c>
      <c r="B7481" t="str">
        <f t="shared" si="489"/>
        <v>1</v>
      </c>
      <c r="C7481" t="str">
        <f t="shared" si="491"/>
        <v>403</v>
      </c>
      <c r="D7481" t="str">
        <f>"10"</f>
        <v>10</v>
      </c>
      <c r="E7481" t="str">
        <f>"1-403-10"</f>
        <v>1-403-10</v>
      </c>
      <c r="F7481" t="s">
        <v>15</v>
      </c>
      <c r="G7481" t="s">
        <v>16</v>
      </c>
      <c r="H7481" t="s">
        <v>17</v>
      </c>
      <c r="I7481">
        <v>1</v>
      </c>
      <c r="J7481">
        <v>0</v>
      </c>
      <c r="K7481">
        <v>0</v>
      </c>
    </row>
    <row r="7482" spans="1:11" x14ac:dyDescent="0.25">
      <c r="A7482" t="str">
        <f>"9353"</f>
        <v>9353</v>
      </c>
      <c r="B7482" t="str">
        <f t="shared" si="489"/>
        <v>1</v>
      </c>
      <c r="C7482" t="str">
        <f t="shared" si="491"/>
        <v>403</v>
      </c>
      <c r="D7482" t="str">
        <f>"24"</f>
        <v>24</v>
      </c>
      <c r="E7482" t="str">
        <f>"1-403-24"</f>
        <v>1-403-24</v>
      </c>
      <c r="F7482" t="s">
        <v>15</v>
      </c>
      <c r="G7482" t="s">
        <v>16</v>
      </c>
      <c r="H7482" t="s">
        <v>17</v>
      </c>
      <c r="I7482">
        <v>1</v>
      </c>
      <c r="J7482">
        <v>0</v>
      </c>
      <c r="K7482">
        <v>0</v>
      </c>
    </row>
    <row r="7483" spans="1:11" x14ac:dyDescent="0.25">
      <c r="A7483" t="str">
        <f>"9354"</f>
        <v>9354</v>
      </c>
      <c r="B7483" t="str">
        <f t="shared" si="489"/>
        <v>1</v>
      </c>
      <c r="C7483" t="str">
        <f t="shared" si="491"/>
        <v>403</v>
      </c>
      <c r="D7483" t="str">
        <f>"6"</f>
        <v>6</v>
      </c>
      <c r="E7483" t="str">
        <f>"1-403-6"</f>
        <v>1-403-6</v>
      </c>
      <c r="F7483" t="s">
        <v>15</v>
      </c>
      <c r="G7483" t="s">
        <v>16</v>
      </c>
      <c r="H7483" t="s">
        <v>17</v>
      </c>
      <c r="I7483">
        <v>1</v>
      </c>
      <c r="J7483">
        <v>0</v>
      </c>
      <c r="K7483">
        <v>0</v>
      </c>
    </row>
    <row r="7484" spans="1:11" x14ac:dyDescent="0.25">
      <c r="A7484" t="str">
        <f>"9355"</f>
        <v>9355</v>
      </c>
      <c r="B7484" t="str">
        <f t="shared" si="489"/>
        <v>1</v>
      </c>
      <c r="C7484" t="str">
        <f t="shared" si="491"/>
        <v>403</v>
      </c>
      <c r="D7484" t="str">
        <f>"5"</f>
        <v>5</v>
      </c>
      <c r="E7484" t="str">
        <f>"1-403-5"</f>
        <v>1-403-5</v>
      </c>
      <c r="F7484" t="s">
        <v>15</v>
      </c>
      <c r="G7484" t="s">
        <v>16</v>
      </c>
      <c r="H7484" t="s">
        <v>17</v>
      </c>
      <c r="I7484">
        <v>1</v>
      </c>
      <c r="J7484">
        <v>0</v>
      </c>
      <c r="K7484">
        <v>0</v>
      </c>
    </row>
    <row r="7485" spans="1:11" x14ac:dyDescent="0.25">
      <c r="A7485" t="str">
        <f>"9356"</f>
        <v>9356</v>
      </c>
      <c r="B7485" t="str">
        <f t="shared" si="489"/>
        <v>1</v>
      </c>
      <c r="C7485" t="str">
        <f t="shared" si="491"/>
        <v>403</v>
      </c>
      <c r="D7485" t="str">
        <f>"11"</f>
        <v>11</v>
      </c>
      <c r="E7485" t="str">
        <f>"1-403-11"</f>
        <v>1-403-11</v>
      </c>
      <c r="F7485" t="s">
        <v>15</v>
      </c>
      <c r="G7485" t="s">
        <v>16</v>
      </c>
      <c r="H7485" t="s">
        <v>17</v>
      </c>
      <c r="I7485">
        <v>1</v>
      </c>
      <c r="J7485">
        <v>0</v>
      </c>
      <c r="K7485">
        <v>0</v>
      </c>
    </row>
    <row r="7486" spans="1:11" x14ac:dyDescent="0.25">
      <c r="A7486" t="str">
        <f>"9357"</f>
        <v>9357</v>
      </c>
      <c r="B7486" t="str">
        <f t="shared" si="489"/>
        <v>1</v>
      </c>
      <c r="C7486" t="str">
        <f t="shared" si="491"/>
        <v>403</v>
      </c>
      <c r="D7486" t="str">
        <f>"13"</f>
        <v>13</v>
      </c>
      <c r="E7486" t="str">
        <f>"1-403-13"</f>
        <v>1-403-13</v>
      </c>
      <c r="F7486" t="s">
        <v>15</v>
      </c>
      <c r="G7486" t="s">
        <v>16</v>
      </c>
      <c r="H7486" t="s">
        <v>17</v>
      </c>
      <c r="I7486">
        <v>0</v>
      </c>
      <c r="J7486">
        <v>0</v>
      </c>
      <c r="K7486">
        <v>1</v>
      </c>
    </row>
    <row r="7487" spans="1:11" x14ac:dyDescent="0.25">
      <c r="A7487" t="str">
        <f>"9358"</f>
        <v>9358</v>
      </c>
      <c r="B7487" t="str">
        <f t="shared" si="489"/>
        <v>1</v>
      </c>
      <c r="C7487" t="str">
        <f t="shared" si="491"/>
        <v>403</v>
      </c>
      <c r="D7487" t="str">
        <f>"4"</f>
        <v>4</v>
      </c>
      <c r="E7487" t="str">
        <f>"1-403-4"</f>
        <v>1-403-4</v>
      </c>
      <c r="F7487" t="s">
        <v>15</v>
      </c>
      <c r="G7487" t="s">
        <v>16</v>
      </c>
      <c r="H7487" t="s">
        <v>17</v>
      </c>
      <c r="I7487">
        <v>0</v>
      </c>
      <c r="J7487">
        <v>1</v>
      </c>
      <c r="K7487">
        <v>0</v>
      </c>
    </row>
    <row r="7488" spans="1:11" x14ac:dyDescent="0.25">
      <c r="A7488" t="str">
        <f>"9359"</f>
        <v>9359</v>
      </c>
      <c r="B7488" t="str">
        <f t="shared" si="489"/>
        <v>1</v>
      </c>
      <c r="C7488" t="str">
        <f t="shared" si="491"/>
        <v>403</v>
      </c>
      <c r="D7488" t="str">
        <f>"12"</f>
        <v>12</v>
      </c>
      <c r="E7488" t="str">
        <f>"1-403-12"</f>
        <v>1-403-12</v>
      </c>
      <c r="F7488" t="s">
        <v>15</v>
      </c>
      <c r="G7488" t="s">
        <v>16</v>
      </c>
      <c r="H7488" t="s">
        <v>17</v>
      </c>
      <c r="I7488">
        <v>0</v>
      </c>
      <c r="J7488">
        <v>1</v>
      </c>
      <c r="K7488">
        <v>0</v>
      </c>
    </row>
    <row r="7489" spans="1:11" x14ac:dyDescent="0.25">
      <c r="A7489" t="str">
        <f>"9360"</f>
        <v>9360</v>
      </c>
      <c r="B7489" t="str">
        <f t="shared" si="489"/>
        <v>1</v>
      </c>
      <c r="C7489" t="str">
        <f t="shared" si="491"/>
        <v>403</v>
      </c>
      <c r="D7489" t="str">
        <f>"21"</f>
        <v>21</v>
      </c>
      <c r="E7489" t="str">
        <f>"1-403-21"</f>
        <v>1-403-21</v>
      </c>
      <c r="F7489" t="s">
        <v>15</v>
      </c>
      <c r="G7489" t="s">
        <v>18</v>
      </c>
      <c r="H7489" t="s">
        <v>19</v>
      </c>
      <c r="I7489">
        <v>0</v>
      </c>
      <c r="J7489">
        <v>0</v>
      </c>
      <c r="K7489">
        <v>0</v>
      </c>
    </row>
    <row r="7490" spans="1:11" x14ac:dyDescent="0.25">
      <c r="A7490" t="str">
        <f>"9361"</f>
        <v>9361</v>
      </c>
      <c r="B7490" t="str">
        <f t="shared" si="489"/>
        <v>1</v>
      </c>
      <c r="C7490" t="str">
        <f t="shared" si="491"/>
        <v>403</v>
      </c>
      <c r="D7490" t="str">
        <f>"7"</f>
        <v>7</v>
      </c>
      <c r="E7490" t="str">
        <f>"1-403-7"</f>
        <v>1-403-7</v>
      </c>
      <c r="F7490" t="s">
        <v>15</v>
      </c>
      <c r="G7490" t="s">
        <v>16</v>
      </c>
      <c r="H7490" t="s">
        <v>17</v>
      </c>
      <c r="I7490">
        <v>0</v>
      </c>
      <c r="J7490">
        <v>0</v>
      </c>
      <c r="K7490">
        <v>0</v>
      </c>
    </row>
    <row r="7491" spans="1:11" x14ac:dyDescent="0.25">
      <c r="A7491" t="str">
        <f>"9362"</f>
        <v>9362</v>
      </c>
      <c r="B7491" t="str">
        <f t="shared" si="489"/>
        <v>1</v>
      </c>
      <c r="C7491" t="str">
        <f t="shared" si="491"/>
        <v>403</v>
      </c>
      <c r="D7491" t="str">
        <f>"9"</f>
        <v>9</v>
      </c>
      <c r="E7491" t="str">
        <f>"1-403-9"</f>
        <v>1-403-9</v>
      </c>
      <c r="F7491" t="s">
        <v>15</v>
      </c>
      <c r="G7491" t="s">
        <v>16</v>
      </c>
      <c r="H7491" t="s">
        <v>17</v>
      </c>
      <c r="I7491">
        <v>0</v>
      </c>
      <c r="J7491">
        <v>0</v>
      </c>
      <c r="K7491">
        <v>0</v>
      </c>
    </row>
    <row r="7492" spans="1:11" x14ac:dyDescent="0.25">
      <c r="A7492" t="str">
        <f>"9363"</f>
        <v>9363</v>
      </c>
      <c r="B7492" t="str">
        <f t="shared" si="489"/>
        <v>1</v>
      </c>
      <c r="C7492" t="str">
        <f t="shared" ref="C7492:C7512" si="492">"404"</f>
        <v>404</v>
      </c>
      <c r="D7492" t="str">
        <f>"15"</f>
        <v>15</v>
      </c>
      <c r="E7492" t="str">
        <f>"1-404-15"</f>
        <v>1-404-15</v>
      </c>
      <c r="F7492" t="s">
        <v>15</v>
      </c>
      <c r="G7492" t="s">
        <v>18</v>
      </c>
      <c r="H7492" t="s">
        <v>19</v>
      </c>
      <c r="I7492">
        <v>0</v>
      </c>
      <c r="J7492">
        <v>1</v>
      </c>
      <c r="K7492">
        <v>0</v>
      </c>
    </row>
    <row r="7493" spans="1:11" x14ac:dyDescent="0.25">
      <c r="A7493" t="str">
        <f>"9364"</f>
        <v>9364</v>
      </c>
      <c r="B7493" t="str">
        <f t="shared" si="489"/>
        <v>1</v>
      </c>
      <c r="C7493" t="str">
        <f t="shared" si="492"/>
        <v>404</v>
      </c>
      <c r="D7493" t="str">
        <f>"4"</f>
        <v>4</v>
      </c>
      <c r="E7493" t="str">
        <f>"1-404-4"</f>
        <v>1-404-4</v>
      </c>
      <c r="F7493" t="s">
        <v>15</v>
      </c>
      <c r="G7493" t="s">
        <v>18</v>
      </c>
      <c r="H7493" t="s">
        <v>19</v>
      </c>
      <c r="I7493">
        <v>0</v>
      </c>
      <c r="J7493">
        <v>1</v>
      </c>
      <c r="K7493">
        <v>0</v>
      </c>
    </row>
    <row r="7494" spans="1:11" x14ac:dyDescent="0.25">
      <c r="A7494" t="str">
        <f>"9365"</f>
        <v>9365</v>
      </c>
      <c r="B7494" t="str">
        <f t="shared" si="489"/>
        <v>1</v>
      </c>
      <c r="C7494" t="str">
        <f t="shared" si="492"/>
        <v>404</v>
      </c>
      <c r="D7494" t="str">
        <f>"16"</f>
        <v>16</v>
      </c>
      <c r="E7494" t="str">
        <f>"1-404-16"</f>
        <v>1-404-16</v>
      </c>
      <c r="F7494" t="s">
        <v>15</v>
      </c>
      <c r="G7494" t="s">
        <v>18</v>
      </c>
      <c r="H7494" t="s">
        <v>19</v>
      </c>
      <c r="I7494">
        <v>0</v>
      </c>
      <c r="J7494">
        <v>0</v>
      </c>
      <c r="K7494">
        <v>1</v>
      </c>
    </row>
    <row r="7495" spans="1:11" x14ac:dyDescent="0.25">
      <c r="A7495" t="str">
        <f>"9366"</f>
        <v>9366</v>
      </c>
      <c r="B7495" t="str">
        <f t="shared" si="489"/>
        <v>1</v>
      </c>
      <c r="C7495" t="str">
        <f t="shared" si="492"/>
        <v>404</v>
      </c>
      <c r="D7495" t="str">
        <f>"2"</f>
        <v>2</v>
      </c>
      <c r="E7495" t="str">
        <f>"1-404-2"</f>
        <v>1-404-2</v>
      </c>
      <c r="F7495" t="s">
        <v>15</v>
      </c>
      <c r="G7495" t="s">
        <v>18</v>
      </c>
      <c r="H7495" t="s">
        <v>19</v>
      </c>
      <c r="I7495">
        <v>0</v>
      </c>
      <c r="J7495">
        <v>1</v>
      </c>
      <c r="K7495">
        <v>0</v>
      </c>
    </row>
    <row r="7496" spans="1:11" x14ac:dyDescent="0.25">
      <c r="A7496" t="str">
        <f>"9368"</f>
        <v>9368</v>
      </c>
      <c r="B7496" t="str">
        <f t="shared" si="489"/>
        <v>1</v>
      </c>
      <c r="C7496" t="str">
        <f t="shared" si="492"/>
        <v>404</v>
      </c>
      <c r="D7496" t="str">
        <f>"3"</f>
        <v>3</v>
      </c>
      <c r="E7496" t="str">
        <f>"1-404-3"</f>
        <v>1-404-3</v>
      </c>
      <c r="F7496" t="s">
        <v>15</v>
      </c>
      <c r="G7496" t="s">
        <v>18</v>
      </c>
      <c r="H7496" t="s">
        <v>19</v>
      </c>
      <c r="I7496">
        <v>0</v>
      </c>
      <c r="J7496">
        <v>1</v>
      </c>
      <c r="K7496">
        <v>0</v>
      </c>
    </row>
    <row r="7497" spans="1:11" x14ac:dyDescent="0.25">
      <c r="A7497" t="str">
        <f>"9369"</f>
        <v>9369</v>
      </c>
      <c r="B7497" t="str">
        <f t="shared" si="489"/>
        <v>1</v>
      </c>
      <c r="C7497" t="str">
        <f t="shared" si="492"/>
        <v>404</v>
      </c>
      <c r="D7497" t="str">
        <f>"18"</f>
        <v>18</v>
      </c>
      <c r="E7497" t="str">
        <f>"1-404-18"</f>
        <v>1-404-18</v>
      </c>
      <c r="F7497" t="s">
        <v>15</v>
      </c>
      <c r="G7497" t="s">
        <v>18</v>
      </c>
      <c r="H7497" t="s">
        <v>19</v>
      </c>
      <c r="I7497">
        <v>0</v>
      </c>
      <c r="J7497">
        <v>0</v>
      </c>
      <c r="K7497">
        <v>1</v>
      </c>
    </row>
    <row r="7498" spans="1:11" x14ac:dyDescent="0.25">
      <c r="A7498" t="str">
        <f>"9370"</f>
        <v>9370</v>
      </c>
      <c r="B7498" t="str">
        <f t="shared" ref="B7498:B7553" si="493">"1"</f>
        <v>1</v>
      </c>
      <c r="C7498" t="str">
        <f t="shared" si="492"/>
        <v>404</v>
      </c>
      <c r="D7498" t="str">
        <f>"7"</f>
        <v>7</v>
      </c>
      <c r="E7498" t="str">
        <f>"1-404-7"</f>
        <v>1-404-7</v>
      </c>
      <c r="F7498" t="s">
        <v>15</v>
      </c>
      <c r="G7498" t="s">
        <v>18</v>
      </c>
      <c r="H7498" t="s">
        <v>19</v>
      </c>
      <c r="I7498">
        <v>0</v>
      </c>
      <c r="J7498">
        <v>1</v>
      </c>
      <c r="K7498">
        <v>0</v>
      </c>
    </row>
    <row r="7499" spans="1:11" x14ac:dyDescent="0.25">
      <c r="A7499" t="str">
        <f>"9371"</f>
        <v>9371</v>
      </c>
      <c r="B7499" t="str">
        <f t="shared" si="493"/>
        <v>1</v>
      </c>
      <c r="C7499" t="str">
        <f t="shared" si="492"/>
        <v>404</v>
      </c>
      <c r="D7499" t="str">
        <f>"19"</f>
        <v>19</v>
      </c>
      <c r="E7499" t="str">
        <f>"1-404-19"</f>
        <v>1-404-19</v>
      </c>
      <c r="F7499" t="s">
        <v>15</v>
      </c>
      <c r="G7499" t="s">
        <v>18</v>
      </c>
      <c r="H7499" t="s">
        <v>19</v>
      </c>
      <c r="I7499">
        <v>1</v>
      </c>
      <c r="J7499">
        <v>0</v>
      </c>
      <c r="K7499">
        <v>0</v>
      </c>
    </row>
    <row r="7500" spans="1:11" x14ac:dyDescent="0.25">
      <c r="A7500" t="str">
        <f>"9374"</f>
        <v>9374</v>
      </c>
      <c r="B7500" t="str">
        <f t="shared" si="493"/>
        <v>1</v>
      </c>
      <c r="C7500" t="str">
        <f t="shared" si="492"/>
        <v>404</v>
      </c>
      <c r="D7500" t="str">
        <f>"5"</f>
        <v>5</v>
      </c>
      <c r="E7500" t="str">
        <f>"1-404-5"</f>
        <v>1-404-5</v>
      </c>
      <c r="F7500" t="s">
        <v>15</v>
      </c>
      <c r="G7500" t="s">
        <v>18</v>
      </c>
      <c r="H7500" t="s">
        <v>19</v>
      </c>
      <c r="I7500">
        <v>1</v>
      </c>
      <c r="J7500">
        <v>0</v>
      </c>
      <c r="K7500">
        <v>0</v>
      </c>
    </row>
    <row r="7501" spans="1:11" x14ac:dyDescent="0.25">
      <c r="A7501" t="str">
        <f>"9375"</f>
        <v>9375</v>
      </c>
      <c r="B7501" t="str">
        <f t="shared" si="493"/>
        <v>1</v>
      </c>
      <c r="C7501" t="str">
        <f t="shared" si="492"/>
        <v>404</v>
      </c>
      <c r="D7501" t="str">
        <f>"21"</f>
        <v>21</v>
      </c>
      <c r="E7501" t="str">
        <f>"1-404-21"</f>
        <v>1-404-21</v>
      </c>
      <c r="F7501" t="s">
        <v>15</v>
      </c>
      <c r="G7501" t="s">
        <v>18</v>
      </c>
      <c r="H7501" t="s">
        <v>19</v>
      </c>
      <c r="I7501">
        <v>1</v>
      </c>
      <c r="J7501">
        <v>0</v>
      </c>
      <c r="K7501">
        <v>0</v>
      </c>
    </row>
    <row r="7502" spans="1:11" x14ac:dyDescent="0.25">
      <c r="A7502" t="str">
        <f>"9376"</f>
        <v>9376</v>
      </c>
      <c r="B7502" t="str">
        <f t="shared" si="493"/>
        <v>1</v>
      </c>
      <c r="C7502" t="str">
        <f t="shared" si="492"/>
        <v>404</v>
      </c>
      <c r="D7502" t="str">
        <f>"13"</f>
        <v>13</v>
      </c>
      <c r="E7502" t="str">
        <f>"1-404-13"</f>
        <v>1-404-13</v>
      </c>
      <c r="F7502" t="s">
        <v>15</v>
      </c>
      <c r="G7502" t="s">
        <v>16</v>
      </c>
      <c r="H7502" t="s">
        <v>17</v>
      </c>
      <c r="I7502">
        <v>0</v>
      </c>
      <c r="J7502">
        <v>0</v>
      </c>
      <c r="K7502">
        <v>1</v>
      </c>
    </row>
    <row r="7503" spans="1:11" x14ac:dyDescent="0.25">
      <c r="A7503" t="str">
        <f>"9377"</f>
        <v>9377</v>
      </c>
      <c r="B7503" t="str">
        <f t="shared" si="493"/>
        <v>1</v>
      </c>
      <c r="C7503" t="str">
        <f t="shared" si="492"/>
        <v>404</v>
      </c>
      <c r="D7503" t="str">
        <f>"22"</f>
        <v>22</v>
      </c>
      <c r="E7503" t="str">
        <f>"1-404-22"</f>
        <v>1-404-22</v>
      </c>
      <c r="F7503" t="s">
        <v>15</v>
      </c>
      <c r="G7503" t="s">
        <v>18</v>
      </c>
      <c r="H7503" t="s">
        <v>19</v>
      </c>
      <c r="I7503">
        <v>0</v>
      </c>
      <c r="J7503">
        <v>0</v>
      </c>
      <c r="K7503">
        <v>1</v>
      </c>
    </row>
    <row r="7504" spans="1:11" x14ac:dyDescent="0.25">
      <c r="A7504" t="str">
        <f>"9379"</f>
        <v>9379</v>
      </c>
      <c r="B7504" t="str">
        <f t="shared" si="493"/>
        <v>1</v>
      </c>
      <c r="C7504" t="str">
        <f t="shared" si="492"/>
        <v>404</v>
      </c>
      <c r="D7504" t="str">
        <f>"14"</f>
        <v>14</v>
      </c>
      <c r="E7504" t="str">
        <f>"1-404-14"</f>
        <v>1-404-14</v>
      </c>
      <c r="F7504" t="s">
        <v>15</v>
      </c>
      <c r="G7504" t="s">
        <v>18</v>
      </c>
      <c r="H7504" t="s">
        <v>19</v>
      </c>
      <c r="I7504">
        <v>1</v>
      </c>
      <c r="J7504">
        <v>0</v>
      </c>
      <c r="K7504">
        <v>0</v>
      </c>
    </row>
    <row r="7505" spans="1:11" x14ac:dyDescent="0.25">
      <c r="A7505" t="str">
        <f>"9380"</f>
        <v>9380</v>
      </c>
      <c r="B7505" t="str">
        <f t="shared" si="493"/>
        <v>1</v>
      </c>
      <c r="C7505" t="str">
        <f t="shared" si="492"/>
        <v>404</v>
      </c>
      <c r="D7505" t="str">
        <f>"24"</f>
        <v>24</v>
      </c>
      <c r="E7505" t="str">
        <f>"1-404-24"</f>
        <v>1-404-24</v>
      </c>
      <c r="F7505" t="s">
        <v>15</v>
      </c>
      <c r="G7505" t="s">
        <v>18</v>
      </c>
      <c r="H7505" t="s">
        <v>19</v>
      </c>
      <c r="I7505">
        <v>1</v>
      </c>
      <c r="J7505">
        <v>0</v>
      </c>
      <c r="K7505">
        <v>0</v>
      </c>
    </row>
    <row r="7506" spans="1:11" x14ac:dyDescent="0.25">
      <c r="A7506" t="str">
        <f>"9381"</f>
        <v>9381</v>
      </c>
      <c r="B7506" t="str">
        <f t="shared" si="493"/>
        <v>1</v>
      </c>
      <c r="C7506" t="str">
        <f t="shared" si="492"/>
        <v>404</v>
      </c>
      <c r="D7506" t="str">
        <f>"9"</f>
        <v>9</v>
      </c>
      <c r="E7506" t="str">
        <f>"1-404-9"</f>
        <v>1-404-9</v>
      </c>
      <c r="F7506" t="s">
        <v>15</v>
      </c>
      <c r="G7506" t="s">
        <v>18</v>
      </c>
      <c r="H7506" t="s">
        <v>19</v>
      </c>
      <c r="I7506">
        <v>0</v>
      </c>
      <c r="J7506">
        <v>0</v>
      </c>
      <c r="K7506">
        <v>1</v>
      </c>
    </row>
    <row r="7507" spans="1:11" x14ac:dyDescent="0.25">
      <c r="A7507" t="str">
        <f>"9382"</f>
        <v>9382</v>
      </c>
      <c r="B7507" t="str">
        <f t="shared" si="493"/>
        <v>1</v>
      </c>
      <c r="C7507" t="str">
        <f t="shared" si="492"/>
        <v>404</v>
      </c>
      <c r="D7507" t="str">
        <f>"1"</f>
        <v>1</v>
      </c>
      <c r="E7507" t="str">
        <f>"1-404-1"</f>
        <v>1-404-1</v>
      </c>
      <c r="F7507" t="s">
        <v>15</v>
      </c>
      <c r="G7507" t="s">
        <v>18</v>
      </c>
      <c r="H7507" t="s">
        <v>19</v>
      </c>
      <c r="I7507">
        <v>0</v>
      </c>
      <c r="J7507">
        <v>0</v>
      </c>
      <c r="K7507">
        <v>1</v>
      </c>
    </row>
    <row r="7508" spans="1:11" x14ac:dyDescent="0.25">
      <c r="A7508" t="str">
        <f>"9383"</f>
        <v>9383</v>
      </c>
      <c r="B7508" t="str">
        <f t="shared" si="493"/>
        <v>1</v>
      </c>
      <c r="C7508" t="str">
        <f t="shared" si="492"/>
        <v>404</v>
      </c>
      <c r="D7508" t="str">
        <f>"12"</f>
        <v>12</v>
      </c>
      <c r="E7508" t="str">
        <f>"1-404-12"</f>
        <v>1-404-12</v>
      </c>
      <c r="F7508" t="s">
        <v>15</v>
      </c>
      <c r="G7508" t="s">
        <v>18</v>
      </c>
      <c r="H7508" t="s">
        <v>19</v>
      </c>
      <c r="I7508">
        <v>1</v>
      </c>
      <c r="J7508">
        <v>0</v>
      </c>
      <c r="K7508">
        <v>0</v>
      </c>
    </row>
    <row r="7509" spans="1:11" x14ac:dyDescent="0.25">
      <c r="A7509" t="str">
        <f>"9384"</f>
        <v>9384</v>
      </c>
      <c r="B7509" t="str">
        <f t="shared" si="493"/>
        <v>1</v>
      </c>
      <c r="C7509" t="str">
        <f t="shared" si="492"/>
        <v>404</v>
      </c>
      <c r="D7509" t="str">
        <f>"10"</f>
        <v>10</v>
      </c>
      <c r="E7509" t="str">
        <f>"1-404-10"</f>
        <v>1-404-10</v>
      </c>
      <c r="F7509" t="s">
        <v>15</v>
      </c>
      <c r="G7509" t="s">
        <v>18</v>
      </c>
      <c r="H7509" t="s">
        <v>19</v>
      </c>
      <c r="I7509">
        <v>0</v>
      </c>
      <c r="J7509">
        <v>0</v>
      </c>
      <c r="K7509">
        <v>0</v>
      </c>
    </row>
    <row r="7510" spans="1:11" x14ac:dyDescent="0.25">
      <c r="A7510" t="str">
        <f>"9385"</f>
        <v>9385</v>
      </c>
      <c r="B7510" t="str">
        <f t="shared" si="493"/>
        <v>1</v>
      </c>
      <c r="C7510" t="str">
        <f t="shared" si="492"/>
        <v>404</v>
      </c>
      <c r="D7510" t="str">
        <f>"8"</f>
        <v>8</v>
      </c>
      <c r="E7510" t="str">
        <f>"1-404-8"</f>
        <v>1-404-8</v>
      </c>
      <c r="F7510" t="s">
        <v>15</v>
      </c>
      <c r="G7510" t="s">
        <v>16</v>
      </c>
      <c r="H7510" t="s">
        <v>17</v>
      </c>
      <c r="I7510">
        <v>0</v>
      </c>
      <c r="J7510">
        <v>1</v>
      </c>
      <c r="K7510">
        <v>0</v>
      </c>
    </row>
    <row r="7511" spans="1:11" x14ac:dyDescent="0.25">
      <c r="A7511" t="str">
        <f>"9386"</f>
        <v>9386</v>
      </c>
      <c r="B7511" t="str">
        <f t="shared" si="493"/>
        <v>1</v>
      </c>
      <c r="C7511" t="str">
        <f t="shared" si="492"/>
        <v>404</v>
      </c>
      <c r="D7511" t="str">
        <f>"6"</f>
        <v>6</v>
      </c>
      <c r="E7511" t="str">
        <f>"1-404-6"</f>
        <v>1-404-6</v>
      </c>
      <c r="F7511" t="s">
        <v>15</v>
      </c>
      <c r="G7511" t="s">
        <v>18</v>
      </c>
      <c r="H7511" t="s">
        <v>19</v>
      </c>
      <c r="I7511">
        <v>0</v>
      </c>
      <c r="J7511">
        <v>0</v>
      </c>
      <c r="K7511">
        <v>0</v>
      </c>
    </row>
    <row r="7512" spans="1:11" x14ac:dyDescent="0.25">
      <c r="A7512" t="str">
        <f>"9387"</f>
        <v>9387</v>
      </c>
      <c r="B7512" t="str">
        <f t="shared" si="493"/>
        <v>1</v>
      </c>
      <c r="C7512" t="str">
        <f t="shared" si="492"/>
        <v>404</v>
      </c>
      <c r="D7512" t="str">
        <f>"25"</f>
        <v>25</v>
      </c>
      <c r="E7512" t="str">
        <f>"1-404-25"</f>
        <v>1-404-25</v>
      </c>
      <c r="F7512" t="s">
        <v>15</v>
      </c>
      <c r="G7512" t="s">
        <v>18</v>
      </c>
      <c r="H7512" t="s">
        <v>19</v>
      </c>
      <c r="I7512">
        <v>0</v>
      </c>
      <c r="J7512">
        <v>0</v>
      </c>
      <c r="K7512">
        <v>1</v>
      </c>
    </row>
    <row r="7513" spans="1:11" x14ac:dyDescent="0.25">
      <c r="A7513" t="str">
        <f>"9388"</f>
        <v>9388</v>
      </c>
      <c r="B7513" t="str">
        <f t="shared" si="493"/>
        <v>1</v>
      </c>
      <c r="C7513" t="str">
        <f t="shared" ref="C7513:C7532" si="494">"405"</f>
        <v>405</v>
      </c>
      <c r="D7513" t="str">
        <f>"15"</f>
        <v>15</v>
      </c>
      <c r="E7513" t="str">
        <f>"1-405-15"</f>
        <v>1-405-15</v>
      </c>
      <c r="F7513" t="s">
        <v>15</v>
      </c>
      <c r="G7513" t="s">
        <v>16</v>
      </c>
      <c r="H7513" t="s">
        <v>17</v>
      </c>
      <c r="I7513">
        <v>1</v>
      </c>
      <c r="J7513">
        <v>0</v>
      </c>
      <c r="K7513">
        <v>0</v>
      </c>
    </row>
    <row r="7514" spans="1:11" x14ac:dyDescent="0.25">
      <c r="A7514" t="str">
        <f>"9389"</f>
        <v>9389</v>
      </c>
      <c r="B7514" t="str">
        <f t="shared" si="493"/>
        <v>1</v>
      </c>
      <c r="C7514" t="str">
        <f t="shared" si="494"/>
        <v>405</v>
      </c>
      <c r="D7514" t="str">
        <f>"5"</f>
        <v>5</v>
      </c>
      <c r="E7514" t="str">
        <f>"1-405-5"</f>
        <v>1-405-5</v>
      </c>
      <c r="F7514" t="s">
        <v>15</v>
      </c>
      <c r="G7514" t="s">
        <v>16</v>
      </c>
      <c r="H7514" t="s">
        <v>17</v>
      </c>
      <c r="I7514">
        <v>0</v>
      </c>
      <c r="J7514">
        <v>1</v>
      </c>
      <c r="K7514">
        <v>0</v>
      </c>
    </row>
    <row r="7515" spans="1:11" x14ac:dyDescent="0.25">
      <c r="A7515" t="str">
        <f>"9390"</f>
        <v>9390</v>
      </c>
      <c r="B7515" t="str">
        <f t="shared" si="493"/>
        <v>1</v>
      </c>
      <c r="C7515" t="str">
        <f t="shared" si="494"/>
        <v>405</v>
      </c>
      <c r="D7515" t="str">
        <f>"16"</f>
        <v>16</v>
      </c>
      <c r="E7515" t="str">
        <f>"1-405-16"</f>
        <v>1-405-16</v>
      </c>
      <c r="F7515" t="s">
        <v>15</v>
      </c>
      <c r="G7515" t="s">
        <v>16</v>
      </c>
      <c r="H7515" t="s">
        <v>17</v>
      </c>
      <c r="I7515">
        <v>0</v>
      </c>
      <c r="J7515">
        <v>1</v>
      </c>
      <c r="K7515">
        <v>0</v>
      </c>
    </row>
    <row r="7516" spans="1:11" x14ac:dyDescent="0.25">
      <c r="A7516" t="str">
        <f>"9391"</f>
        <v>9391</v>
      </c>
      <c r="B7516" t="str">
        <f t="shared" si="493"/>
        <v>1</v>
      </c>
      <c r="C7516" t="str">
        <f t="shared" si="494"/>
        <v>405</v>
      </c>
      <c r="D7516" t="str">
        <f>"2"</f>
        <v>2</v>
      </c>
      <c r="E7516" t="str">
        <f>"1-405-2"</f>
        <v>1-405-2</v>
      </c>
      <c r="F7516" t="s">
        <v>15</v>
      </c>
      <c r="G7516" t="s">
        <v>16</v>
      </c>
      <c r="H7516" t="s">
        <v>17</v>
      </c>
      <c r="I7516">
        <v>0</v>
      </c>
      <c r="J7516">
        <v>0</v>
      </c>
      <c r="K7516">
        <v>1</v>
      </c>
    </row>
    <row r="7517" spans="1:11" x14ac:dyDescent="0.25">
      <c r="A7517" t="str">
        <f>"9392"</f>
        <v>9392</v>
      </c>
      <c r="B7517" t="str">
        <f t="shared" si="493"/>
        <v>1</v>
      </c>
      <c r="C7517" t="str">
        <f t="shared" si="494"/>
        <v>405</v>
      </c>
      <c r="D7517" t="str">
        <f>"17"</f>
        <v>17</v>
      </c>
      <c r="E7517" t="str">
        <f>"1-405-17"</f>
        <v>1-405-17</v>
      </c>
      <c r="F7517" t="s">
        <v>15</v>
      </c>
      <c r="G7517" t="s">
        <v>16</v>
      </c>
      <c r="H7517" t="s">
        <v>17</v>
      </c>
      <c r="I7517">
        <v>0</v>
      </c>
      <c r="J7517">
        <v>1</v>
      </c>
      <c r="K7517">
        <v>0</v>
      </c>
    </row>
    <row r="7518" spans="1:11" x14ac:dyDescent="0.25">
      <c r="A7518" t="str">
        <f>"9393"</f>
        <v>9393</v>
      </c>
      <c r="B7518" t="str">
        <f t="shared" si="493"/>
        <v>1</v>
      </c>
      <c r="C7518" t="str">
        <f t="shared" si="494"/>
        <v>405</v>
      </c>
      <c r="D7518" t="str">
        <f>"18"</f>
        <v>18</v>
      </c>
      <c r="E7518" t="str">
        <f>"1-405-18"</f>
        <v>1-405-18</v>
      </c>
      <c r="F7518" t="s">
        <v>15</v>
      </c>
      <c r="G7518" t="s">
        <v>18</v>
      </c>
      <c r="H7518" t="s">
        <v>19</v>
      </c>
      <c r="I7518">
        <v>0</v>
      </c>
      <c r="J7518">
        <v>0</v>
      </c>
      <c r="K7518">
        <v>1</v>
      </c>
    </row>
    <row r="7519" spans="1:11" x14ac:dyDescent="0.25">
      <c r="A7519" t="str">
        <f>"9394"</f>
        <v>9394</v>
      </c>
      <c r="B7519" t="str">
        <f t="shared" si="493"/>
        <v>1</v>
      </c>
      <c r="C7519" t="str">
        <f t="shared" si="494"/>
        <v>405</v>
      </c>
      <c r="D7519" t="str">
        <f>"8"</f>
        <v>8</v>
      </c>
      <c r="E7519" t="str">
        <f>"1-405-8"</f>
        <v>1-405-8</v>
      </c>
      <c r="F7519" t="s">
        <v>15</v>
      </c>
      <c r="G7519" t="s">
        <v>16</v>
      </c>
      <c r="H7519" t="s">
        <v>17</v>
      </c>
      <c r="I7519">
        <v>0</v>
      </c>
      <c r="J7519">
        <v>0</v>
      </c>
      <c r="K7519">
        <v>1</v>
      </c>
    </row>
    <row r="7520" spans="1:11" x14ac:dyDescent="0.25">
      <c r="A7520" t="str">
        <f>"9395"</f>
        <v>9395</v>
      </c>
      <c r="B7520" t="str">
        <f t="shared" si="493"/>
        <v>1</v>
      </c>
      <c r="C7520" t="str">
        <f t="shared" si="494"/>
        <v>405</v>
      </c>
      <c r="D7520" t="str">
        <f>"19"</f>
        <v>19</v>
      </c>
      <c r="E7520" t="str">
        <f>"1-405-19"</f>
        <v>1-405-19</v>
      </c>
      <c r="F7520" t="s">
        <v>15</v>
      </c>
      <c r="G7520" t="s">
        <v>16</v>
      </c>
      <c r="H7520" t="s">
        <v>17</v>
      </c>
      <c r="I7520">
        <v>1</v>
      </c>
      <c r="J7520">
        <v>0</v>
      </c>
      <c r="K7520">
        <v>0</v>
      </c>
    </row>
    <row r="7521" spans="1:11" x14ac:dyDescent="0.25">
      <c r="A7521" t="str">
        <f>"9397"</f>
        <v>9397</v>
      </c>
      <c r="B7521" t="str">
        <f t="shared" si="493"/>
        <v>1</v>
      </c>
      <c r="C7521" t="str">
        <f t="shared" si="494"/>
        <v>405</v>
      </c>
      <c r="D7521" t="str">
        <f>"20"</f>
        <v>20</v>
      </c>
      <c r="E7521" t="str">
        <f>"1-405-20"</f>
        <v>1-405-20</v>
      </c>
      <c r="F7521" t="s">
        <v>15</v>
      </c>
      <c r="G7521" t="s">
        <v>16</v>
      </c>
      <c r="H7521" t="s">
        <v>17</v>
      </c>
      <c r="I7521">
        <v>0</v>
      </c>
      <c r="J7521">
        <v>1</v>
      </c>
      <c r="K7521">
        <v>0</v>
      </c>
    </row>
    <row r="7522" spans="1:11" x14ac:dyDescent="0.25">
      <c r="A7522" t="str">
        <f>"9398"</f>
        <v>9398</v>
      </c>
      <c r="B7522" t="str">
        <f t="shared" si="493"/>
        <v>1</v>
      </c>
      <c r="C7522" t="str">
        <f t="shared" si="494"/>
        <v>405</v>
      </c>
      <c r="D7522" t="str">
        <f>"21"</f>
        <v>21</v>
      </c>
      <c r="E7522" t="str">
        <f>"1-405-21"</f>
        <v>1-405-21</v>
      </c>
      <c r="F7522" t="s">
        <v>15</v>
      </c>
      <c r="G7522" t="s">
        <v>16</v>
      </c>
      <c r="H7522" t="s">
        <v>17</v>
      </c>
      <c r="I7522">
        <v>1</v>
      </c>
      <c r="J7522">
        <v>0</v>
      </c>
      <c r="K7522">
        <v>0</v>
      </c>
    </row>
    <row r="7523" spans="1:11" x14ac:dyDescent="0.25">
      <c r="A7523" t="str">
        <f>"9399"</f>
        <v>9399</v>
      </c>
      <c r="B7523" t="str">
        <f t="shared" si="493"/>
        <v>1</v>
      </c>
      <c r="C7523" t="str">
        <f t="shared" si="494"/>
        <v>405</v>
      </c>
      <c r="D7523" t="str">
        <f>"7"</f>
        <v>7</v>
      </c>
      <c r="E7523" t="str">
        <f>"1-405-7"</f>
        <v>1-405-7</v>
      </c>
      <c r="F7523" t="s">
        <v>15</v>
      </c>
      <c r="G7523" t="s">
        <v>16</v>
      </c>
      <c r="H7523" t="s">
        <v>17</v>
      </c>
      <c r="I7523">
        <v>0</v>
      </c>
      <c r="J7523">
        <v>0</v>
      </c>
      <c r="K7523">
        <v>1</v>
      </c>
    </row>
    <row r="7524" spans="1:11" x14ac:dyDescent="0.25">
      <c r="A7524" t="str">
        <f>"9400"</f>
        <v>9400</v>
      </c>
      <c r="B7524" t="str">
        <f t="shared" si="493"/>
        <v>1</v>
      </c>
      <c r="C7524" t="str">
        <f t="shared" si="494"/>
        <v>405</v>
      </c>
      <c r="D7524" t="str">
        <f>"12"</f>
        <v>12</v>
      </c>
      <c r="E7524" t="str">
        <f>"1-405-12"</f>
        <v>1-405-12</v>
      </c>
      <c r="F7524" t="s">
        <v>15</v>
      </c>
      <c r="G7524" t="s">
        <v>16</v>
      </c>
      <c r="H7524" t="s">
        <v>17</v>
      </c>
      <c r="I7524">
        <v>0</v>
      </c>
      <c r="J7524">
        <v>1</v>
      </c>
      <c r="K7524">
        <v>0</v>
      </c>
    </row>
    <row r="7525" spans="1:11" x14ac:dyDescent="0.25">
      <c r="A7525" t="str">
        <f>"9401"</f>
        <v>9401</v>
      </c>
      <c r="B7525" t="str">
        <f t="shared" si="493"/>
        <v>1</v>
      </c>
      <c r="C7525" t="str">
        <f t="shared" si="494"/>
        <v>405</v>
      </c>
      <c r="D7525" t="str">
        <f>"11"</f>
        <v>11</v>
      </c>
      <c r="E7525" t="str">
        <f>"1-405-11"</f>
        <v>1-405-11</v>
      </c>
      <c r="F7525" t="s">
        <v>15</v>
      </c>
      <c r="G7525" t="s">
        <v>16</v>
      </c>
      <c r="H7525" t="s">
        <v>17</v>
      </c>
      <c r="I7525">
        <v>0</v>
      </c>
      <c r="J7525">
        <v>0</v>
      </c>
      <c r="K7525">
        <v>1</v>
      </c>
    </row>
    <row r="7526" spans="1:11" x14ac:dyDescent="0.25">
      <c r="A7526" t="str">
        <f>"9402"</f>
        <v>9402</v>
      </c>
      <c r="B7526" t="str">
        <f t="shared" si="493"/>
        <v>1</v>
      </c>
      <c r="C7526" t="str">
        <f t="shared" si="494"/>
        <v>405</v>
      </c>
      <c r="D7526" t="str">
        <f>"9"</f>
        <v>9</v>
      </c>
      <c r="E7526" t="str">
        <f>"1-405-9"</f>
        <v>1-405-9</v>
      </c>
      <c r="F7526" t="s">
        <v>15</v>
      </c>
      <c r="G7526" t="s">
        <v>18</v>
      </c>
      <c r="H7526" t="s">
        <v>19</v>
      </c>
      <c r="I7526">
        <v>1</v>
      </c>
      <c r="J7526">
        <v>0</v>
      </c>
      <c r="K7526">
        <v>0</v>
      </c>
    </row>
    <row r="7527" spans="1:11" x14ac:dyDescent="0.25">
      <c r="A7527" t="str">
        <f>"9403"</f>
        <v>9403</v>
      </c>
      <c r="B7527" t="str">
        <f t="shared" si="493"/>
        <v>1</v>
      </c>
      <c r="C7527" t="str">
        <f t="shared" si="494"/>
        <v>405</v>
      </c>
      <c r="D7527" t="str">
        <f>"6"</f>
        <v>6</v>
      </c>
      <c r="E7527" t="str">
        <f>"1-405-6"</f>
        <v>1-405-6</v>
      </c>
      <c r="F7527" t="s">
        <v>15</v>
      </c>
      <c r="G7527" t="s">
        <v>16</v>
      </c>
      <c r="H7527" t="s">
        <v>17</v>
      </c>
      <c r="I7527">
        <v>0</v>
      </c>
      <c r="J7527">
        <v>1</v>
      </c>
      <c r="K7527">
        <v>0</v>
      </c>
    </row>
    <row r="7528" spans="1:11" x14ac:dyDescent="0.25">
      <c r="A7528" t="str">
        <f>"9404"</f>
        <v>9404</v>
      </c>
      <c r="B7528" t="str">
        <f t="shared" si="493"/>
        <v>1</v>
      </c>
      <c r="C7528" t="str">
        <f t="shared" si="494"/>
        <v>405</v>
      </c>
      <c r="D7528" t="str">
        <f>"10"</f>
        <v>10</v>
      </c>
      <c r="E7528" t="str">
        <f>"1-405-10"</f>
        <v>1-405-10</v>
      </c>
      <c r="F7528" t="s">
        <v>15</v>
      </c>
      <c r="G7528" t="s">
        <v>16</v>
      </c>
      <c r="H7528" t="s">
        <v>17</v>
      </c>
      <c r="I7528">
        <v>1</v>
      </c>
      <c r="J7528">
        <v>0</v>
      </c>
      <c r="K7528">
        <v>0</v>
      </c>
    </row>
    <row r="7529" spans="1:11" x14ac:dyDescent="0.25">
      <c r="A7529" t="str">
        <f>"9405"</f>
        <v>9405</v>
      </c>
      <c r="B7529" t="str">
        <f t="shared" si="493"/>
        <v>1</v>
      </c>
      <c r="C7529" t="str">
        <f t="shared" si="494"/>
        <v>405</v>
      </c>
      <c r="D7529" t="str">
        <f>"4"</f>
        <v>4</v>
      </c>
      <c r="E7529" t="str">
        <f>"1-405-4"</f>
        <v>1-405-4</v>
      </c>
      <c r="F7529" t="s">
        <v>15</v>
      </c>
      <c r="G7529" t="s">
        <v>20</v>
      </c>
      <c r="H7529" t="s">
        <v>21</v>
      </c>
      <c r="I7529">
        <v>1</v>
      </c>
      <c r="J7529">
        <v>0</v>
      </c>
      <c r="K7529">
        <v>0</v>
      </c>
    </row>
    <row r="7530" spans="1:11" x14ac:dyDescent="0.25">
      <c r="A7530" t="str">
        <f>"9406"</f>
        <v>9406</v>
      </c>
      <c r="B7530" t="str">
        <f t="shared" si="493"/>
        <v>1</v>
      </c>
      <c r="C7530" t="str">
        <f t="shared" si="494"/>
        <v>405</v>
      </c>
      <c r="D7530" t="str">
        <f>"13"</f>
        <v>13</v>
      </c>
      <c r="E7530" t="str">
        <f>"1-405-13"</f>
        <v>1-405-13</v>
      </c>
      <c r="F7530" t="s">
        <v>15</v>
      </c>
      <c r="G7530" t="s">
        <v>18</v>
      </c>
      <c r="H7530" t="s">
        <v>19</v>
      </c>
      <c r="I7530">
        <v>0</v>
      </c>
      <c r="J7530">
        <v>1</v>
      </c>
      <c r="K7530">
        <v>0</v>
      </c>
    </row>
    <row r="7531" spans="1:11" x14ac:dyDescent="0.25">
      <c r="A7531" t="str">
        <f>"9407"</f>
        <v>9407</v>
      </c>
      <c r="B7531" t="str">
        <f t="shared" si="493"/>
        <v>1</v>
      </c>
      <c r="C7531" t="str">
        <f t="shared" si="494"/>
        <v>405</v>
      </c>
      <c r="D7531" t="str">
        <f>"1"</f>
        <v>1</v>
      </c>
      <c r="E7531" t="str">
        <f>"1-405-1"</f>
        <v>1-405-1</v>
      </c>
      <c r="F7531" t="s">
        <v>15</v>
      </c>
      <c r="G7531" t="s">
        <v>20</v>
      </c>
      <c r="H7531" t="s">
        <v>21</v>
      </c>
      <c r="I7531">
        <v>0</v>
      </c>
      <c r="J7531">
        <v>0</v>
      </c>
      <c r="K7531">
        <v>0</v>
      </c>
    </row>
    <row r="7532" spans="1:11" x14ac:dyDescent="0.25">
      <c r="A7532" t="str">
        <f>"9408"</f>
        <v>9408</v>
      </c>
      <c r="B7532" t="str">
        <f t="shared" si="493"/>
        <v>1</v>
      </c>
      <c r="C7532" t="str">
        <f t="shared" si="494"/>
        <v>405</v>
      </c>
      <c r="D7532" t="str">
        <f>"14"</f>
        <v>14</v>
      </c>
      <c r="E7532" t="str">
        <f>"1-405-14"</f>
        <v>1-405-14</v>
      </c>
      <c r="F7532" t="s">
        <v>15</v>
      </c>
      <c r="G7532" t="s">
        <v>16</v>
      </c>
      <c r="H7532" t="s">
        <v>17</v>
      </c>
      <c r="I7532">
        <v>0</v>
      </c>
      <c r="J7532">
        <v>0</v>
      </c>
      <c r="K7532">
        <v>0</v>
      </c>
    </row>
    <row r="7533" spans="1:11" x14ac:dyDescent="0.25">
      <c r="A7533" t="str">
        <f>"9410"</f>
        <v>9410</v>
      </c>
      <c r="B7533" t="str">
        <f t="shared" si="493"/>
        <v>1</v>
      </c>
      <c r="C7533" t="str">
        <f t="shared" ref="C7533:C7545" si="495">"406"</f>
        <v>406</v>
      </c>
      <c r="D7533" t="str">
        <f>"1"</f>
        <v>1</v>
      </c>
      <c r="E7533" t="str">
        <f>"1-406-1"</f>
        <v>1-406-1</v>
      </c>
      <c r="F7533" t="s">
        <v>15</v>
      </c>
      <c r="G7533" t="s">
        <v>16</v>
      </c>
      <c r="H7533" t="s">
        <v>17</v>
      </c>
      <c r="I7533">
        <v>1</v>
      </c>
      <c r="J7533">
        <v>0</v>
      </c>
      <c r="K7533">
        <v>0</v>
      </c>
    </row>
    <row r="7534" spans="1:11" x14ac:dyDescent="0.25">
      <c r="A7534" t="str">
        <f>"9411"</f>
        <v>9411</v>
      </c>
      <c r="B7534" t="str">
        <f t="shared" si="493"/>
        <v>1</v>
      </c>
      <c r="C7534" t="str">
        <f t="shared" si="495"/>
        <v>406</v>
      </c>
      <c r="D7534" t="str">
        <f>"7"</f>
        <v>7</v>
      </c>
      <c r="E7534" t="str">
        <f>"1-406-7"</f>
        <v>1-406-7</v>
      </c>
      <c r="F7534" t="s">
        <v>15</v>
      </c>
      <c r="G7534" t="s">
        <v>16</v>
      </c>
      <c r="H7534" t="s">
        <v>17</v>
      </c>
      <c r="I7534">
        <v>0</v>
      </c>
      <c r="J7534">
        <v>1</v>
      </c>
      <c r="K7534">
        <v>0</v>
      </c>
    </row>
    <row r="7535" spans="1:11" x14ac:dyDescent="0.25">
      <c r="A7535" t="str">
        <f>"9413"</f>
        <v>9413</v>
      </c>
      <c r="B7535" t="str">
        <f t="shared" si="493"/>
        <v>1</v>
      </c>
      <c r="C7535" t="str">
        <f t="shared" si="495"/>
        <v>406</v>
      </c>
      <c r="D7535" t="str">
        <f>"6"</f>
        <v>6</v>
      </c>
      <c r="E7535" t="str">
        <f>"1-406-6"</f>
        <v>1-406-6</v>
      </c>
      <c r="F7535" t="s">
        <v>15</v>
      </c>
      <c r="G7535" t="s">
        <v>16</v>
      </c>
      <c r="H7535" t="s">
        <v>17</v>
      </c>
      <c r="I7535">
        <v>0</v>
      </c>
      <c r="J7535">
        <v>1</v>
      </c>
      <c r="K7535">
        <v>0</v>
      </c>
    </row>
    <row r="7536" spans="1:11" x14ac:dyDescent="0.25">
      <c r="A7536" t="str">
        <f>"9414"</f>
        <v>9414</v>
      </c>
      <c r="B7536" t="str">
        <f t="shared" si="493"/>
        <v>1</v>
      </c>
      <c r="C7536" t="str">
        <f t="shared" si="495"/>
        <v>406</v>
      </c>
      <c r="D7536" t="str">
        <f>"10"</f>
        <v>10</v>
      </c>
      <c r="E7536" t="str">
        <f>"1-406-10"</f>
        <v>1-406-10</v>
      </c>
      <c r="F7536" t="s">
        <v>15</v>
      </c>
      <c r="G7536" t="s">
        <v>16</v>
      </c>
      <c r="H7536" t="s">
        <v>17</v>
      </c>
      <c r="I7536">
        <v>1</v>
      </c>
      <c r="J7536">
        <v>0</v>
      </c>
      <c r="K7536">
        <v>0</v>
      </c>
    </row>
    <row r="7537" spans="1:11" x14ac:dyDescent="0.25">
      <c r="A7537" t="str">
        <f>"9415"</f>
        <v>9415</v>
      </c>
      <c r="B7537" t="str">
        <f t="shared" si="493"/>
        <v>1</v>
      </c>
      <c r="C7537" t="str">
        <f t="shared" si="495"/>
        <v>406</v>
      </c>
      <c r="D7537" t="str">
        <f>"4"</f>
        <v>4</v>
      </c>
      <c r="E7537" t="str">
        <f>"1-406-4"</f>
        <v>1-406-4</v>
      </c>
      <c r="F7537" t="s">
        <v>15</v>
      </c>
      <c r="G7537" t="s">
        <v>16</v>
      </c>
      <c r="H7537" t="s">
        <v>17</v>
      </c>
      <c r="I7537">
        <v>0</v>
      </c>
      <c r="J7537">
        <v>0</v>
      </c>
      <c r="K7537">
        <v>1</v>
      </c>
    </row>
    <row r="7538" spans="1:11" x14ac:dyDescent="0.25">
      <c r="A7538" t="str">
        <f>"9416"</f>
        <v>9416</v>
      </c>
      <c r="B7538" t="str">
        <f t="shared" si="493"/>
        <v>1</v>
      </c>
      <c r="C7538" t="str">
        <f t="shared" si="495"/>
        <v>406</v>
      </c>
      <c r="D7538" t="str">
        <f>"11"</f>
        <v>11</v>
      </c>
      <c r="E7538" t="str">
        <f>"1-406-11"</f>
        <v>1-406-11</v>
      </c>
      <c r="F7538" t="s">
        <v>15</v>
      </c>
      <c r="G7538" t="s">
        <v>16</v>
      </c>
      <c r="H7538" t="s">
        <v>17</v>
      </c>
      <c r="I7538">
        <v>1</v>
      </c>
      <c r="J7538">
        <v>0</v>
      </c>
      <c r="K7538">
        <v>0</v>
      </c>
    </row>
    <row r="7539" spans="1:11" x14ac:dyDescent="0.25">
      <c r="A7539" t="str">
        <f>"9417"</f>
        <v>9417</v>
      </c>
      <c r="B7539" t="str">
        <f t="shared" si="493"/>
        <v>1</v>
      </c>
      <c r="C7539" t="str">
        <f t="shared" si="495"/>
        <v>406</v>
      </c>
      <c r="D7539" t="str">
        <f>"13"</f>
        <v>13</v>
      </c>
      <c r="E7539" t="str">
        <f>"1-406-13"</f>
        <v>1-406-13</v>
      </c>
      <c r="F7539" t="s">
        <v>15</v>
      </c>
      <c r="G7539" t="s">
        <v>16</v>
      </c>
      <c r="H7539" t="s">
        <v>17</v>
      </c>
      <c r="I7539">
        <v>0</v>
      </c>
      <c r="J7539">
        <v>1</v>
      </c>
      <c r="K7539">
        <v>0</v>
      </c>
    </row>
    <row r="7540" spans="1:11" x14ac:dyDescent="0.25">
      <c r="A7540" t="str">
        <f>"9418"</f>
        <v>9418</v>
      </c>
      <c r="B7540" t="str">
        <f t="shared" si="493"/>
        <v>1</v>
      </c>
      <c r="C7540" t="str">
        <f t="shared" si="495"/>
        <v>406</v>
      </c>
      <c r="D7540" t="str">
        <f>"8"</f>
        <v>8</v>
      </c>
      <c r="E7540" t="str">
        <f>"1-406-8"</f>
        <v>1-406-8</v>
      </c>
      <c r="F7540" t="s">
        <v>15</v>
      </c>
      <c r="G7540" t="s">
        <v>16</v>
      </c>
      <c r="H7540" t="s">
        <v>17</v>
      </c>
      <c r="I7540">
        <v>0</v>
      </c>
      <c r="J7540">
        <v>1</v>
      </c>
      <c r="K7540">
        <v>0</v>
      </c>
    </row>
    <row r="7541" spans="1:11" x14ac:dyDescent="0.25">
      <c r="A7541" t="str">
        <f>"9419"</f>
        <v>9419</v>
      </c>
      <c r="B7541" t="str">
        <f t="shared" si="493"/>
        <v>1</v>
      </c>
      <c r="C7541" t="str">
        <f t="shared" si="495"/>
        <v>406</v>
      </c>
      <c r="D7541" t="str">
        <f>"2"</f>
        <v>2</v>
      </c>
      <c r="E7541" t="str">
        <f>"1-406-2"</f>
        <v>1-406-2</v>
      </c>
      <c r="F7541" t="s">
        <v>15</v>
      </c>
      <c r="G7541" t="s">
        <v>16</v>
      </c>
      <c r="H7541" t="s">
        <v>17</v>
      </c>
      <c r="I7541">
        <v>1</v>
      </c>
      <c r="J7541">
        <v>0</v>
      </c>
      <c r="K7541">
        <v>0</v>
      </c>
    </row>
    <row r="7542" spans="1:11" x14ac:dyDescent="0.25">
      <c r="A7542" t="str">
        <f>"9420"</f>
        <v>9420</v>
      </c>
      <c r="B7542" t="str">
        <f t="shared" si="493"/>
        <v>1</v>
      </c>
      <c r="C7542" t="str">
        <f t="shared" si="495"/>
        <v>406</v>
      </c>
      <c r="D7542" t="str">
        <f>"9"</f>
        <v>9</v>
      </c>
      <c r="E7542" t="str">
        <f>"1-406-9"</f>
        <v>1-406-9</v>
      </c>
      <c r="F7542" t="s">
        <v>15</v>
      </c>
      <c r="G7542" t="s">
        <v>16</v>
      </c>
      <c r="H7542" t="s">
        <v>17</v>
      </c>
      <c r="I7542">
        <v>1</v>
      </c>
      <c r="J7542">
        <v>0</v>
      </c>
      <c r="K7542">
        <v>0</v>
      </c>
    </row>
    <row r="7543" spans="1:11" x14ac:dyDescent="0.25">
      <c r="A7543" t="str">
        <f>"9421"</f>
        <v>9421</v>
      </c>
      <c r="B7543" t="str">
        <f t="shared" si="493"/>
        <v>1</v>
      </c>
      <c r="C7543" t="str">
        <f t="shared" si="495"/>
        <v>406</v>
      </c>
      <c r="D7543" t="str">
        <f>"12"</f>
        <v>12</v>
      </c>
      <c r="E7543" t="str">
        <f>"1-406-12"</f>
        <v>1-406-12</v>
      </c>
      <c r="F7543" t="s">
        <v>15</v>
      </c>
      <c r="G7543" t="s">
        <v>16</v>
      </c>
      <c r="H7543" t="s">
        <v>17</v>
      </c>
      <c r="I7543">
        <v>1</v>
      </c>
      <c r="J7543">
        <v>0</v>
      </c>
      <c r="K7543">
        <v>0</v>
      </c>
    </row>
    <row r="7544" spans="1:11" x14ac:dyDescent="0.25">
      <c r="A7544" t="str">
        <f>"9422"</f>
        <v>9422</v>
      </c>
      <c r="B7544" t="str">
        <f t="shared" si="493"/>
        <v>1</v>
      </c>
      <c r="C7544" t="str">
        <f t="shared" si="495"/>
        <v>406</v>
      </c>
      <c r="D7544" t="str">
        <f>"3"</f>
        <v>3</v>
      </c>
      <c r="E7544" t="str">
        <f>"1-406-3"</f>
        <v>1-406-3</v>
      </c>
      <c r="F7544" t="s">
        <v>15</v>
      </c>
      <c r="G7544" t="s">
        <v>16</v>
      </c>
      <c r="H7544" t="s">
        <v>17</v>
      </c>
      <c r="I7544">
        <v>0</v>
      </c>
      <c r="J7544">
        <v>0</v>
      </c>
      <c r="K7544">
        <v>0</v>
      </c>
    </row>
    <row r="7545" spans="1:11" x14ac:dyDescent="0.25">
      <c r="A7545" t="str">
        <f>"9423"</f>
        <v>9423</v>
      </c>
      <c r="B7545" t="str">
        <f t="shared" si="493"/>
        <v>1</v>
      </c>
      <c r="C7545" t="str">
        <f t="shared" si="495"/>
        <v>406</v>
      </c>
      <c r="D7545" t="str">
        <f>"5"</f>
        <v>5</v>
      </c>
      <c r="E7545" t="str">
        <f>"1-406-5"</f>
        <v>1-406-5</v>
      </c>
      <c r="F7545" t="s">
        <v>15</v>
      </c>
      <c r="G7545" t="s">
        <v>16</v>
      </c>
      <c r="H7545" t="s">
        <v>17</v>
      </c>
      <c r="I7545">
        <v>0</v>
      </c>
      <c r="J7545">
        <v>0</v>
      </c>
      <c r="K7545">
        <v>0</v>
      </c>
    </row>
    <row r="7546" spans="1:11" x14ac:dyDescent="0.25">
      <c r="A7546" t="str">
        <f>"9425"</f>
        <v>9425</v>
      </c>
      <c r="B7546" t="str">
        <f t="shared" si="493"/>
        <v>1</v>
      </c>
      <c r="C7546" t="str">
        <f t="shared" ref="C7546:C7569" si="496">"407"</f>
        <v>407</v>
      </c>
      <c r="D7546" t="str">
        <f>"21"</f>
        <v>21</v>
      </c>
      <c r="E7546" t="str">
        <f>"1-407-21"</f>
        <v>1-407-21</v>
      </c>
      <c r="F7546" t="s">
        <v>15</v>
      </c>
      <c r="G7546" t="s">
        <v>16</v>
      </c>
      <c r="H7546" t="s">
        <v>17</v>
      </c>
      <c r="I7546">
        <v>1</v>
      </c>
      <c r="J7546">
        <v>0</v>
      </c>
      <c r="K7546">
        <v>0</v>
      </c>
    </row>
    <row r="7547" spans="1:11" x14ac:dyDescent="0.25">
      <c r="A7547" t="str">
        <f>"9426"</f>
        <v>9426</v>
      </c>
      <c r="B7547" t="str">
        <f t="shared" si="493"/>
        <v>1</v>
      </c>
      <c r="C7547" t="str">
        <f t="shared" si="496"/>
        <v>407</v>
      </c>
      <c r="D7547" t="str">
        <f>"15"</f>
        <v>15</v>
      </c>
      <c r="E7547" t="str">
        <f>"1-407-15"</f>
        <v>1-407-15</v>
      </c>
      <c r="F7547" t="s">
        <v>15</v>
      </c>
      <c r="G7547" t="s">
        <v>16</v>
      </c>
      <c r="H7547" t="s">
        <v>17</v>
      </c>
      <c r="I7547">
        <v>0</v>
      </c>
      <c r="J7547">
        <v>0</v>
      </c>
      <c r="K7547">
        <v>1</v>
      </c>
    </row>
    <row r="7548" spans="1:11" x14ac:dyDescent="0.25">
      <c r="A7548" t="str">
        <f>"9427"</f>
        <v>9427</v>
      </c>
      <c r="B7548" t="str">
        <f t="shared" si="493"/>
        <v>1</v>
      </c>
      <c r="C7548" t="str">
        <f t="shared" si="496"/>
        <v>407</v>
      </c>
      <c r="D7548" t="str">
        <f>"1"</f>
        <v>1</v>
      </c>
      <c r="E7548" t="str">
        <f>"1-407-1"</f>
        <v>1-407-1</v>
      </c>
      <c r="F7548" t="s">
        <v>15</v>
      </c>
      <c r="G7548" t="s">
        <v>16</v>
      </c>
      <c r="H7548" t="s">
        <v>17</v>
      </c>
      <c r="I7548">
        <v>1</v>
      </c>
      <c r="J7548">
        <v>0</v>
      </c>
      <c r="K7548">
        <v>0</v>
      </c>
    </row>
    <row r="7549" spans="1:11" x14ac:dyDescent="0.25">
      <c r="A7549" t="str">
        <f>"9428"</f>
        <v>9428</v>
      </c>
      <c r="B7549" t="str">
        <f t="shared" si="493"/>
        <v>1</v>
      </c>
      <c r="C7549" t="str">
        <f t="shared" si="496"/>
        <v>407</v>
      </c>
      <c r="D7549" t="str">
        <f>"23"</f>
        <v>23</v>
      </c>
      <c r="E7549" t="str">
        <f>"1-407-23"</f>
        <v>1-407-23</v>
      </c>
      <c r="F7549" t="s">
        <v>15</v>
      </c>
      <c r="G7549" t="s">
        <v>16</v>
      </c>
      <c r="H7549" t="s">
        <v>17</v>
      </c>
      <c r="I7549">
        <v>0</v>
      </c>
      <c r="J7549">
        <v>0</v>
      </c>
      <c r="K7549">
        <v>1</v>
      </c>
    </row>
    <row r="7550" spans="1:11" x14ac:dyDescent="0.25">
      <c r="A7550" t="str">
        <f>"9429"</f>
        <v>9429</v>
      </c>
      <c r="B7550" t="str">
        <f t="shared" si="493"/>
        <v>1</v>
      </c>
      <c r="C7550" t="str">
        <f t="shared" si="496"/>
        <v>407</v>
      </c>
      <c r="D7550" t="str">
        <f>"16"</f>
        <v>16</v>
      </c>
      <c r="E7550" t="str">
        <f>"1-407-16"</f>
        <v>1-407-16</v>
      </c>
      <c r="F7550" t="s">
        <v>15</v>
      </c>
      <c r="G7550" t="s">
        <v>16</v>
      </c>
      <c r="H7550" t="s">
        <v>17</v>
      </c>
      <c r="I7550">
        <v>1</v>
      </c>
      <c r="J7550">
        <v>0</v>
      </c>
      <c r="K7550">
        <v>0</v>
      </c>
    </row>
    <row r="7551" spans="1:11" x14ac:dyDescent="0.25">
      <c r="A7551" t="str">
        <f>"9430"</f>
        <v>9430</v>
      </c>
      <c r="B7551" t="str">
        <f t="shared" si="493"/>
        <v>1</v>
      </c>
      <c r="C7551" t="str">
        <f t="shared" si="496"/>
        <v>407</v>
      </c>
      <c r="D7551" t="str">
        <f>"6"</f>
        <v>6</v>
      </c>
      <c r="E7551" t="str">
        <f>"1-407-6"</f>
        <v>1-407-6</v>
      </c>
      <c r="F7551" t="s">
        <v>15</v>
      </c>
      <c r="G7551" t="s">
        <v>16</v>
      </c>
      <c r="H7551" t="s">
        <v>17</v>
      </c>
      <c r="I7551">
        <v>0</v>
      </c>
      <c r="J7551">
        <v>0</v>
      </c>
      <c r="K7551">
        <v>1</v>
      </c>
    </row>
    <row r="7552" spans="1:11" x14ac:dyDescent="0.25">
      <c r="A7552" t="str">
        <f>"9432"</f>
        <v>9432</v>
      </c>
      <c r="B7552" t="str">
        <f t="shared" si="493"/>
        <v>1</v>
      </c>
      <c r="C7552" t="str">
        <f t="shared" si="496"/>
        <v>407</v>
      </c>
      <c r="D7552" t="str">
        <f>"17"</f>
        <v>17</v>
      </c>
      <c r="E7552" t="str">
        <f>"1-407-17"</f>
        <v>1-407-17</v>
      </c>
      <c r="F7552" t="s">
        <v>15</v>
      </c>
      <c r="G7552" t="s">
        <v>16</v>
      </c>
      <c r="H7552" t="s">
        <v>17</v>
      </c>
      <c r="I7552">
        <v>1</v>
      </c>
      <c r="J7552">
        <v>0</v>
      </c>
      <c r="K7552">
        <v>0</v>
      </c>
    </row>
    <row r="7553" spans="1:11" x14ac:dyDescent="0.25">
      <c r="A7553" t="str">
        <f>"9433"</f>
        <v>9433</v>
      </c>
      <c r="B7553" t="str">
        <f t="shared" si="493"/>
        <v>1</v>
      </c>
      <c r="C7553" t="str">
        <f t="shared" si="496"/>
        <v>407</v>
      </c>
      <c r="D7553" t="str">
        <f>"2"</f>
        <v>2</v>
      </c>
      <c r="E7553" t="str">
        <f>"1-407-2"</f>
        <v>1-407-2</v>
      </c>
      <c r="F7553" t="s">
        <v>15</v>
      </c>
      <c r="G7553" t="s">
        <v>16</v>
      </c>
      <c r="H7553" t="s">
        <v>17</v>
      </c>
      <c r="I7553">
        <v>0</v>
      </c>
      <c r="J7553">
        <v>0</v>
      </c>
      <c r="K7553">
        <v>1</v>
      </c>
    </row>
    <row r="7554" spans="1:11" x14ac:dyDescent="0.25">
      <c r="A7554" t="str">
        <f>"9435"</f>
        <v>9435</v>
      </c>
      <c r="B7554" t="str">
        <f t="shared" ref="B7554:B7586" si="497">"1"</f>
        <v>1</v>
      </c>
      <c r="C7554" t="str">
        <f t="shared" si="496"/>
        <v>407</v>
      </c>
      <c r="D7554" t="str">
        <f>"18"</f>
        <v>18</v>
      </c>
      <c r="E7554" t="str">
        <f>"1-407-18"</f>
        <v>1-407-18</v>
      </c>
      <c r="F7554" t="s">
        <v>15</v>
      </c>
      <c r="G7554" t="s">
        <v>16</v>
      </c>
      <c r="H7554" t="s">
        <v>17</v>
      </c>
      <c r="I7554">
        <v>1</v>
      </c>
      <c r="J7554">
        <v>0</v>
      </c>
      <c r="K7554">
        <v>0</v>
      </c>
    </row>
    <row r="7555" spans="1:11" x14ac:dyDescent="0.25">
      <c r="A7555" t="str">
        <f>"9436"</f>
        <v>9436</v>
      </c>
      <c r="B7555" t="str">
        <f t="shared" si="497"/>
        <v>1</v>
      </c>
      <c r="C7555" t="str">
        <f t="shared" si="496"/>
        <v>407</v>
      </c>
      <c r="D7555" t="str">
        <f>"12"</f>
        <v>12</v>
      </c>
      <c r="E7555" t="str">
        <f>"1-407-12"</f>
        <v>1-407-12</v>
      </c>
      <c r="F7555" t="s">
        <v>15</v>
      </c>
      <c r="G7555" t="s">
        <v>16</v>
      </c>
      <c r="H7555" t="s">
        <v>17</v>
      </c>
      <c r="I7555">
        <v>1</v>
      </c>
      <c r="J7555">
        <v>0</v>
      </c>
      <c r="K7555">
        <v>0</v>
      </c>
    </row>
    <row r="7556" spans="1:11" x14ac:dyDescent="0.25">
      <c r="A7556" t="str">
        <f>"9437"</f>
        <v>9437</v>
      </c>
      <c r="B7556" t="str">
        <f t="shared" si="497"/>
        <v>1</v>
      </c>
      <c r="C7556" t="str">
        <f t="shared" si="496"/>
        <v>407</v>
      </c>
      <c r="D7556" t="str">
        <f>"19"</f>
        <v>19</v>
      </c>
      <c r="E7556" t="str">
        <f>"1-407-19"</f>
        <v>1-407-19</v>
      </c>
      <c r="F7556" t="s">
        <v>15</v>
      </c>
      <c r="G7556" t="s">
        <v>16</v>
      </c>
      <c r="H7556" t="s">
        <v>17</v>
      </c>
      <c r="I7556">
        <v>1</v>
      </c>
      <c r="J7556">
        <v>0</v>
      </c>
      <c r="K7556">
        <v>0</v>
      </c>
    </row>
    <row r="7557" spans="1:11" x14ac:dyDescent="0.25">
      <c r="A7557" t="str">
        <f>"9438"</f>
        <v>9438</v>
      </c>
      <c r="B7557" t="str">
        <f t="shared" si="497"/>
        <v>1</v>
      </c>
      <c r="C7557" t="str">
        <f t="shared" si="496"/>
        <v>407</v>
      </c>
      <c r="D7557" t="str">
        <f>"14"</f>
        <v>14</v>
      </c>
      <c r="E7557" t="str">
        <f>"1-407-14"</f>
        <v>1-407-14</v>
      </c>
      <c r="F7557" t="s">
        <v>15</v>
      </c>
      <c r="G7557" t="s">
        <v>16</v>
      </c>
      <c r="H7557" t="s">
        <v>17</v>
      </c>
      <c r="I7557">
        <v>0</v>
      </c>
      <c r="J7557">
        <v>0</v>
      </c>
      <c r="K7557">
        <v>1</v>
      </c>
    </row>
    <row r="7558" spans="1:11" x14ac:dyDescent="0.25">
      <c r="A7558" t="str">
        <f>"9439"</f>
        <v>9439</v>
      </c>
      <c r="B7558" t="str">
        <f t="shared" si="497"/>
        <v>1</v>
      </c>
      <c r="C7558" t="str">
        <f t="shared" si="496"/>
        <v>407</v>
      </c>
      <c r="D7558" t="str">
        <f>"20"</f>
        <v>20</v>
      </c>
      <c r="E7558" t="str">
        <f>"1-407-20"</f>
        <v>1-407-20</v>
      </c>
      <c r="F7558" t="s">
        <v>15</v>
      </c>
      <c r="G7558" t="s">
        <v>16</v>
      </c>
      <c r="H7558" t="s">
        <v>17</v>
      </c>
      <c r="I7558">
        <v>1</v>
      </c>
      <c r="J7558">
        <v>0</v>
      </c>
      <c r="K7558">
        <v>0</v>
      </c>
    </row>
    <row r="7559" spans="1:11" x14ac:dyDescent="0.25">
      <c r="A7559" t="str">
        <f>"9440"</f>
        <v>9440</v>
      </c>
      <c r="B7559" t="str">
        <f t="shared" si="497"/>
        <v>1</v>
      </c>
      <c r="C7559" t="str">
        <f t="shared" si="496"/>
        <v>407</v>
      </c>
      <c r="D7559" t="str">
        <f>"9"</f>
        <v>9</v>
      </c>
      <c r="E7559" t="str">
        <f>"1-407-9"</f>
        <v>1-407-9</v>
      </c>
      <c r="F7559" t="s">
        <v>15</v>
      </c>
      <c r="G7559" t="s">
        <v>16</v>
      </c>
      <c r="H7559" t="s">
        <v>17</v>
      </c>
      <c r="I7559">
        <v>1</v>
      </c>
      <c r="J7559">
        <v>0</v>
      </c>
      <c r="K7559">
        <v>0</v>
      </c>
    </row>
    <row r="7560" spans="1:11" x14ac:dyDescent="0.25">
      <c r="A7560" t="str">
        <f>"9441"</f>
        <v>9441</v>
      </c>
      <c r="B7560" t="str">
        <f t="shared" si="497"/>
        <v>1</v>
      </c>
      <c r="C7560" t="str">
        <f t="shared" si="496"/>
        <v>407</v>
      </c>
      <c r="D7560" t="str">
        <f>"22"</f>
        <v>22</v>
      </c>
      <c r="E7560" t="str">
        <f>"1-407-22"</f>
        <v>1-407-22</v>
      </c>
      <c r="F7560" t="s">
        <v>15</v>
      </c>
      <c r="G7560" t="s">
        <v>16</v>
      </c>
      <c r="H7560" t="s">
        <v>17</v>
      </c>
      <c r="I7560">
        <v>1</v>
      </c>
      <c r="J7560">
        <v>0</v>
      </c>
      <c r="K7560">
        <v>0</v>
      </c>
    </row>
    <row r="7561" spans="1:11" x14ac:dyDescent="0.25">
      <c r="A7561" t="str">
        <f>"9442"</f>
        <v>9442</v>
      </c>
      <c r="B7561" t="str">
        <f t="shared" si="497"/>
        <v>1</v>
      </c>
      <c r="C7561" t="str">
        <f t="shared" si="496"/>
        <v>407</v>
      </c>
      <c r="D7561" t="str">
        <f>"10"</f>
        <v>10</v>
      </c>
      <c r="E7561" t="str">
        <f>"1-407-10"</f>
        <v>1-407-10</v>
      </c>
      <c r="F7561" t="s">
        <v>15</v>
      </c>
      <c r="G7561" t="s">
        <v>16</v>
      </c>
      <c r="H7561" t="s">
        <v>17</v>
      </c>
      <c r="I7561">
        <v>0</v>
      </c>
      <c r="J7561">
        <v>0</v>
      </c>
      <c r="K7561">
        <v>1</v>
      </c>
    </row>
    <row r="7562" spans="1:11" x14ac:dyDescent="0.25">
      <c r="A7562" t="str">
        <f>"9443"</f>
        <v>9443</v>
      </c>
      <c r="B7562" t="str">
        <f t="shared" si="497"/>
        <v>1</v>
      </c>
      <c r="C7562" t="str">
        <f t="shared" si="496"/>
        <v>407</v>
      </c>
      <c r="D7562" t="str">
        <f>"24"</f>
        <v>24</v>
      </c>
      <c r="E7562" t="str">
        <f>"1-407-24"</f>
        <v>1-407-24</v>
      </c>
      <c r="F7562" t="s">
        <v>15</v>
      </c>
      <c r="G7562" t="s">
        <v>16</v>
      </c>
      <c r="H7562" t="s">
        <v>17</v>
      </c>
      <c r="I7562">
        <v>0</v>
      </c>
      <c r="J7562">
        <v>0</v>
      </c>
      <c r="K7562">
        <v>1</v>
      </c>
    </row>
    <row r="7563" spans="1:11" x14ac:dyDescent="0.25">
      <c r="A7563" t="str">
        <f>"9444"</f>
        <v>9444</v>
      </c>
      <c r="B7563" t="str">
        <f t="shared" si="497"/>
        <v>1</v>
      </c>
      <c r="C7563" t="str">
        <f t="shared" si="496"/>
        <v>407</v>
      </c>
      <c r="D7563" t="str">
        <f>"11"</f>
        <v>11</v>
      </c>
      <c r="E7563" t="str">
        <f>"1-407-11"</f>
        <v>1-407-11</v>
      </c>
      <c r="F7563" t="s">
        <v>15</v>
      </c>
      <c r="G7563" t="s">
        <v>16</v>
      </c>
      <c r="H7563" t="s">
        <v>17</v>
      </c>
      <c r="I7563">
        <v>0</v>
      </c>
      <c r="J7563">
        <v>0</v>
      </c>
      <c r="K7563">
        <v>1</v>
      </c>
    </row>
    <row r="7564" spans="1:11" x14ac:dyDescent="0.25">
      <c r="A7564" t="str">
        <f>"9446"</f>
        <v>9446</v>
      </c>
      <c r="B7564" t="str">
        <f t="shared" si="497"/>
        <v>1</v>
      </c>
      <c r="C7564" t="str">
        <f t="shared" si="496"/>
        <v>407</v>
      </c>
      <c r="D7564" t="str">
        <f>"4"</f>
        <v>4</v>
      </c>
      <c r="E7564" t="str">
        <f>"1-407-4"</f>
        <v>1-407-4</v>
      </c>
      <c r="F7564" t="s">
        <v>15</v>
      </c>
      <c r="G7564" t="s">
        <v>16</v>
      </c>
      <c r="H7564" t="s">
        <v>17</v>
      </c>
      <c r="I7564">
        <v>0</v>
      </c>
      <c r="J7564">
        <v>1</v>
      </c>
      <c r="K7564">
        <v>0</v>
      </c>
    </row>
    <row r="7565" spans="1:11" x14ac:dyDescent="0.25">
      <c r="A7565" t="str">
        <f>"9448"</f>
        <v>9448</v>
      </c>
      <c r="B7565" t="str">
        <f t="shared" si="497"/>
        <v>1</v>
      </c>
      <c r="C7565" t="str">
        <f t="shared" si="496"/>
        <v>407</v>
      </c>
      <c r="D7565" t="str">
        <f>"3"</f>
        <v>3</v>
      </c>
      <c r="E7565" t="str">
        <f>"1-407-3"</f>
        <v>1-407-3</v>
      </c>
      <c r="F7565" t="s">
        <v>15</v>
      </c>
      <c r="G7565" t="s">
        <v>16</v>
      </c>
      <c r="H7565" t="s">
        <v>17</v>
      </c>
      <c r="I7565">
        <v>1</v>
      </c>
      <c r="J7565">
        <v>0</v>
      </c>
      <c r="K7565">
        <v>0</v>
      </c>
    </row>
    <row r="7566" spans="1:11" x14ac:dyDescent="0.25">
      <c r="A7566" t="str">
        <f>"9450"</f>
        <v>9450</v>
      </c>
      <c r="B7566" t="str">
        <f t="shared" si="497"/>
        <v>1</v>
      </c>
      <c r="C7566" t="str">
        <f t="shared" si="496"/>
        <v>407</v>
      </c>
      <c r="D7566" t="str">
        <f>"13"</f>
        <v>13</v>
      </c>
      <c r="E7566" t="str">
        <f>"1-407-13"</f>
        <v>1-407-13</v>
      </c>
      <c r="F7566" t="s">
        <v>15</v>
      </c>
      <c r="G7566" t="s">
        <v>16</v>
      </c>
      <c r="H7566" t="s">
        <v>17</v>
      </c>
      <c r="I7566">
        <v>1</v>
      </c>
      <c r="J7566">
        <v>0</v>
      </c>
      <c r="K7566">
        <v>0</v>
      </c>
    </row>
    <row r="7567" spans="1:11" x14ac:dyDescent="0.25">
      <c r="A7567" t="str">
        <f>"9452"</f>
        <v>9452</v>
      </c>
      <c r="B7567" t="str">
        <f t="shared" si="497"/>
        <v>1</v>
      </c>
      <c r="C7567" t="str">
        <f t="shared" si="496"/>
        <v>407</v>
      </c>
      <c r="D7567" t="str">
        <f>"7"</f>
        <v>7</v>
      </c>
      <c r="E7567" t="str">
        <f>"1-407-7"</f>
        <v>1-407-7</v>
      </c>
      <c r="F7567" t="s">
        <v>15</v>
      </c>
      <c r="G7567" t="s">
        <v>16</v>
      </c>
      <c r="H7567" t="s">
        <v>17</v>
      </c>
      <c r="I7567">
        <v>1</v>
      </c>
      <c r="J7567">
        <v>0</v>
      </c>
      <c r="K7567">
        <v>0</v>
      </c>
    </row>
    <row r="7568" spans="1:11" x14ac:dyDescent="0.25">
      <c r="A7568" t="str">
        <f>"9454"</f>
        <v>9454</v>
      </c>
      <c r="B7568" t="str">
        <f t="shared" si="497"/>
        <v>1</v>
      </c>
      <c r="C7568" t="str">
        <f t="shared" si="496"/>
        <v>407</v>
      </c>
      <c r="D7568" t="str">
        <f>"5"</f>
        <v>5</v>
      </c>
      <c r="E7568" t="str">
        <f>"1-407-5"</f>
        <v>1-407-5</v>
      </c>
      <c r="F7568" t="s">
        <v>15</v>
      </c>
      <c r="G7568" t="s">
        <v>16</v>
      </c>
      <c r="H7568" t="s">
        <v>17</v>
      </c>
      <c r="I7568">
        <v>0</v>
      </c>
      <c r="J7568">
        <v>0</v>
      </c>
      <c r="K7568">
        <v>1</v>
      </c>
    </row>
    <row r="7569" spans="1:11" x14ac:dyDescent="0.25">
      <c r="A7569" t="str">
        <f>"9456"</f>
        <v>9456</v>
      </c>
      <c r="B7569" t="str">
        <f t="shared" si="497"/>
        <v>1</v>
      </c>
      <c r="C7569" t="str">
        <f t="shared" si="496"/>
        <v>407</v>
      </c>
      <c r="D7569" t="str">
        <f>"8"</f>
        <v>8</v>
      </c>
      <c r="E7569" t="str">
        <f>"1-407-8"</f>
        <v>1-407-8</v>
      </c>
      <c r="F7569" t="s">
        <v>15</v>
      </c>
      <c r="G7569" t="s">
        <v>16</v>
      </c>
      <c r="H7569" t="s">
        <v>17</v>
      </c>
      <c r="I7569">
        <v>1</v>
      </c>
      <c r="J7569">
        <v>0</v>
      </c>
      <c r="K7569">
        <v>0</v>
      </c>
    </row>
    <row r="7570" spans="1:11" x14ac:dyDescent="0.25">
      <c r="A7570" t="str">
        <f>"9476"</f>
        <v>9476</v>
      </c>
      <c r="B7570" t="str">
        <f t="shared" si="497"/>
        <v>1</v>
      </c>
      <c r="C7570" t="str">
        <f t="shared" ref="C7570:C7597" si="498">"409"</f>
        <v>409</v>
      </c>
      <c r="D7570" t="str">
        <f>"33"</f>
        <v>33</v>
      </c>
      <c r="E7570" t="str">
        <f>"1-409-33"</f>
        <v>1-409-33</v>
      </c>
      <c r="F7570" t="s">
        <v>15</v>
      </c>
      <c r="G7570" t="s">
        <v>20</v>
      </c>
      <c r="H7570" t="s">
        <v>21</v>
      </c>
      <c r="I7570">
        <v>0</v>
      </c>
      <c r="J7570">
        <v>1</v>
      </c>
      <c r="K7570">
        <v>0</v>
      </c>
    </row>
    <row r="7571" spans="1:11" x14ac:dyDescent="0.25">
      <c r="A7571" t="str">
        <f>"9477"</f>
        <v>9477</v>
      </c>
      <c r="B7571" t="str">
        <f t="shared" si="497"/>
        <v>1</v>
      </c>
      <c r="C7571" t="str">
        <f t="shared" si="498"/>
        <v>409</v>
      </c>
      <c r="D7571" t="str">
        <f>"15"</f>
        <v>15</v>
      </c>
      <c r="E7571" t="str">
        <f>"1-409-15"</f>
        <v>1-409-15</v>
      </c>
      <c r="F7571" t="s">
        <v>15</v>
      </c>
      <c r="G7571" t="s">
        <v>18</v>
      </c>
      <c r="H7571" t="s">
        <v>19</v>
      </c>
      <c r="I7571">
        <v>1</v>
      </c>
      <c r="J7571">
        <v>0</v>
      </c>
      <c r="K7571">
        <v>0</v>
      </c>
    </row>
    <row r="7572" spans="1:11" x14ac:dyDescent="0.25">
      <c r="A7572" t="str">
        <f>"9478"</f>
        <v>9478</v>
      </c>
      <c r="B7572" t="str">
        <f t="shared" si="497"/>
        <v>1</v>
      </c>
      <c r="C7572" t="str">
        <f t="shared" si="498"/>
        <v>409</v>
      </c>
      <c r="D7572" t="str">
        <f>"2"</f>
        <v>2</v>
      </c>
      <c r="E7572" t="str">
        <f>"1-409-2"</f>
        <v>1-409-2</v>
      </c>
      <c r="F7572" t="s">
        <v>15</v>
      </c>
      <c r="G7572" t="s">
        <v>16</v>
      </c>
      <c r="H7572" t="s">
        <v>17</v>
      </c>
      <c r="I7572">
        <v>1</v>
      </c>
      <c r="J7572">
        <v>0</v>
      </c>
      <c r="K7572">
        <v>0</v>
      </c>
    </row>
    <row r="7573" spans="1:11" x14ac:dyDescent="0.25">
      <c r="A7573" t="str">
        <f>"9479"</f>
        <v>9479</v>
      </c>
      <c r="B7573" t="str">
        <f t="shared" si="497"/>
        <v>1</v>
      </c>
      <c r="C7573" t="str">
        <f t="shared" si="498"/>
        <v>409</v>
      </c>
      <c r="D7573" t="str">
        <f>"30"</f>
        <v>30</v>
      </c>
      <c r="E7573" t="str">
        <f>"1-409-30"</f>
        <v>1-409-30</v>
      </c>
      <c r="F7573" t="s">
        <v>15</v>
      </c>
      <c r="G7573" t="s">
        <v>20</v>
      </c>
      <c r="H7573" t="s">
        <v>21</v>
      </c>
      <c r="I7573">
        <v>0</v>
      </c>
      <c r="J7573">
        <v>0</v>
      </c>
      <c r="K7573">
        <v>1</v>
      </c>
    </row>
    <row r="7574" spans="1:11" x14ac:dyDescent="0.25">
      <c r="A7574" t="str">
        <f>"9480"</f>
        <v>9480</v>
      </c>
      <c r="B7574" t="str">
        <f t="shared" si="497"/>
        <v>1</v>
      </c>
      <c r="C7574" t="str">
        <f t="shared" si="498"/>
        <v>409</v>
      </c>
      <c r="D7574" t="str">
        <f>"16"</f>
        <v>16</v>
      </c>
      <c r="E7574" t="str">
        <f>"1-409-16"</f>
        <v>1-409-16</v>
      </c>
      <c r="F7574" t="s">
        <v>15</v>
      </c>
      <c r="G7574" t="s">
        <v>18</v>
      </c>
      <c r="H7574" t="s">
        <v>19</v>
      </c>
      <c r="I7574">
        <v>0</v>
      </c>
      <c r="J7574">
        <v>1</v>
      </c>
      <c r="K7574">
        <v>0</v>
      </c>
    </row>
    <row r="7575" spans="1:11" x14ac:dyDescent="0.25">
      <c r="A7575" t="str">
        <f>"9481"</f>
        <v>9481</v>
      </c>
      <c r="B7575" t="str">
        <f t="shared" si="497"/>
        <v>1</v>
      </c>
      <c r="C7575" t="str">
        <f t="shared" si="498"/>
        <v>409</v>
      </c>
      <c r="D7575" t="str">
        <f>"10"</f>
        <v>10</v>
      </c>
      <c r="E7575" t="str">
        <f>"1-409-10"</f>
        <v>1-409-10</v>
      </c>
      <c r="F7575" t="s">
        <v>15</v>
      </c>
      <c r="G7575" t="s">
        <v>16</v>
      </c>
      <c r="H7575" t="s">
        <v>17</v>
      </c>
      <c r="I7575">
        <v>0</v>
      </c>
      <c r="J7575">
        <v>0</v>
      </c>
      <c r="K7575">
        <v>1</v>
      </c>
    </row>
    <row r="7576" spans="1:11" x14ac:dyDescent="0.25">
      <c r="A7576" t="str">
        <f>"9482"</f>
        <v>9482</v>
      </c>
      <c r="B7576" t="str">
        <f t="shared" si="497"/>
        <v>1</v>
      </c>
      <c r="C7576" t="str">
        <f t="shared" si="498"/>
        <v>409</v>
      </c>
      <c r="D7576" t="str">
        <f>"17"</f>
        <v>17</v>
      </c>
      <c r="E7576" t="str">
        <f>"1-409-17"</f>
        <v>1-409-17</v>
      </c>
      <c r="F7576" t="s">
        <v>15</v>
      </c>
      <c r="G7576" t="s">
        <v>18</v>
      </c>
      <c r="H7576" t="s">
        <v>19</v>
      </c>
      <c r="I7576">
        <v>0</v>
      </c>
      <c r="J7576">
        <v>0</v>
      </c>
      <c r="K7576">
        <v>1</v>
      </c>
    </row>
    <row r="7577" spans="1:11" x14ac:dyDescent="0.25">
      <c r="A7577" t="str">
        <f>"9483"</f>
        <v>9483</v>
      </c>
      <c r="B7577" t="str">
        <f t="shared" si="497"/>
        <v>1</v>
      </c>
      <c r="C7577" t="str">
        <f t="shared" si="498"/>
        <v>409</v>
      </c>
      <c r="D7577" t="str">
        <f>"5"</f>
        <v>5</v>
      </c>
      <c r="E7577" t="str">
        <f>"1-409-5"</f>
        <v>1-409-5</v>
      </c>
      <c r="F7577" t="s">
        <v>15</v>
      </c>
      <c r="G7577" t="s">
        <v>16</v>
      </c>
      <c r="H7577" t="s">
        <v>17</v>
      </c>
      <c r="I7577">
        <v>1</v>
      </c>
      <c r="J7577">
        <v>0</v>
      </c>
      <c r="K7577">
        <v>0</v>
      </c>
    </row>
    <row r="7578" spans="1:11" x14ac:dyDescent="0.25">
      <c r="A7578" t="str">
        <f>"9484"</f>
        <v>9484</v>
      </c>
      <c r="B7578" t="str">
        <f t="shared" si="497"/>
        <v>1</v>
      </c>
      <c r="C7578" t="str">
        <f t="shared" si="498"/>
        <v>409</v>
      </c>
      <c r="D7578" t="str">
        <f>"32"</f>
        <v>32</v>
      </c>
      <c r="E7578" t="str">
        <f>"1-409-32"</f>
        <v>1-409-32</v>
      </c>
      <c r="F7578" t="s">
        <v>15</v>
      </c>
      <c r="G7578" t="s">
        <v>20</v>
      </c>
      <c r="H7578" t="s">
        <v>21</v>
      </c>
      <c r="I7578">
        <v>0</v>
      </c>
      <c r="J7578">
        <v>0</v>
      </c>
      <c r="K7578">
        <v>1</v>
      </c>
    </row>
    <row r="7579" spans="1:11" x14ac:dyDescent="0.25">
      <c r="A7579" t="str">
        <f>"9486"</f>
        <v>9486</v>
      </c>
      <c r="B7579" t="str">
        <f t="shared" si="497"/>
        <v>1</v>
      </c>
      <c r="C7579" t="str">
        <f t="shared" si="498"/>
        <v>409</v>
      </c>
      <c r="D7579" t="str">
        <f>"4"</f>
        <v>4</v>
      </c>
      <c r="E7579" t="str">
        <f>"1-409-4"</f>
        <v>1-409-4</v>
      </c>
      <c r="F7579" t="s">
        <v>15</v>
      </c>
      <c r="G7579" t="s">
        <v>16</v>
      </c>
      <c r="H7579" t="s">
        <v>17</v>
      </c>
      <c r="I7579">
        <v>1</v>
      </c>
      <c r="J7579">
        <v>0</v>
      </c>
      <c r="K7579">
        <v>0</v>
      </c>
    </row>
    <row r="7580" spans="1:11" x14ac:dyDescent="0.25">
      <c r="A7580" t="str">
        <f>"9488"</f>
        <v>9488</v>
      </c>
      <c r="B7580" t="str">
        <f t="shared" si="497"/>
        <v>1</v>
      </c>
      <c r="C7580" t="str">
        <f t="shared" si="498"/>
        <v>409</v>
      </c>
      <c r="D7580" t="str">
        <f>"13"</f>
        <v>13</v>
      </c>
      <c r="E7580" t="str">
        <f>"1-409-13"</f>
        <v>1-409-13</v>
      </c>
      <c r="F7580" t="s">
        <v>15</v>
      </c>
      <c r="G7580" t="s">
        <v>18</v>
      </c>
      <c r="H7580" t="s">
        <v>19</v>
      </c>
      <c r="I7580">
        <v>0</v>
      </c>
      <c r="J7580">
        <v>0</v>
      </c>
      <c r="K7580">
        <v>1</v>
      </c>
    </row>
    <row r="7581" spans="1:11" x14ac:dyDescent="0.25">
      <c r="A7581" t="str">
        <f>"9489"</f>
        <v>9489</v>
      </c>
      <c r="B7581" t="str">
        <f t="shared" si="497"/>
        <v>1</v>
      </c>
      <c r="C7581" t="str">
        <f t="shared" si="498"/>
        <v>409</v>
      </c>
      <c r="D7581" t="str">
        <f>"34"</f>
        <v>34</v>
      </c>
      <c r="E7581" t="str">
        <f>"1-409-34"</f>
        <v>1-409-34</v>
      </c>
      <c r="F7581" t="s">
        <v>15</v>
      </c>
      <c r="G7581" t="s">
        <v>20</v>
      </c>
      <c r="H7581" t="s">
        <v>21</v>
      </c>
      <c r="I7581">
        <v>0</v>
      </c>
      <c r="J7581">
        <v>0</v>
      </c>
      <c r="K7581">
        <v>1</v>
      </c>
    </row>
    <row r="7582" spans="1:11" x14ac:dyDescent="0.25">
      <c r="A7582" t="str">
        <f>"9492"</f>
        <v>9492</v>
      </c>
      <c r="B7582" t="str">
        <f t="shared" si="497"/>
        <v>1</v>
      </c>
      <c r="C7582" t="str">
        <f t="shared" si="498"/>
        <v>409</v>
      </c>
      <c r="D7582" t="str">
        <f>"22"</f>
        <v>22</v>
      </c>
      <c r="E7582" t="str">
        <f>"1-409-22"</f>
        <v>1-409-22</v>
      </c>
      <c r="F7582" t="s">
        <v>15</v>
      </c>
      <c r="G7582" t="s">
        <v>16</v>
      </c>
      <c r="H7582" t="s">
        <v>17</v>
      </c>
      <c r="I7582">
        <v>0</v>
      </c>
      <c r="J7582">
        <v>1</v>
      </c>
      <c r="K7582">
        <v>0</v>
      </c>
    </row>
    <row r="7583" spans="1:11" x14ac:dyDescent="0.25">
      <c r="A7583" t="str">
        <f>"9494"</f>
        <v>9494</v>
      </c>
      <c r="B7583" t="str">
        <f t="shared" si="497"/>
        <v>1</v>
      </c>
      <c r="C7583" t="str">
        <f t="shared" si="498"/>
        <v>409</v>
      </c>
      <c r="D7583" t="str">
        <f>"23"</f>
        <v>23</v>
      </c>
      <c r="E7583" t="str">
        <f>"1-409-23"</f>
        <v>1-409-23</v>
      </c>
      <c r="F7583" t="s">
        <v>15</v>
      </c>
      <c r="G7583" t="s">
        <v>20</v>
      </c>
      <c r="H7583" t="s">
        <v>21</v>
      </c>
      <c r="I7583">
        <v>1</v>
      </c>
      <c r="J7583">
        <v>0</v>
      </c>
      <c r="K7583">
        <v>0</v>
      </c>
    </row>
    <row r="7584" spans="1:11" x14ac:dyDescent="0.25">
      <c r="A7584" t="str">
        <f>"9495"</f>
        <v>9495</v>
      </c>
      <c r="B7584" t="str">
        <f t="shared" si="497"/>
        <v>1</v>
      </c>
      <c r="C7584" t="str">
        <f t="shared" si="498"/>
        <v>409</v>
      </c>
      <c r="D7584" t="str">
        <f>"24"</f>
        <v>24</v>
      </c>
      <c r="E7584" t="str">
        <f>"1-409-24"</f>
        <v>1-409-24</v>
      </c>
      <c r="F7584" t="s">
        <v>15</v>
      </c>
      <c r="G7584" t="s">
        <v>20</v>
      </c>
      <c r="H7584" t="s">
        <v>21</v>
      </c>
      <c r="I7584">
        <v>0</v>
      </c>
      <c r="J7584">
        <v>1</v>
      </c>
      <c r="K7584">
        <v>0</v>
      </c>
    </row>
    <row r="7585" spans="1:11" x14ac:dyDescent="0.25">
      <c r="A7585" t="str">
        <f>"9496"</f>
        <v>9496</v>
      </c>
      <c r="B7585" t="str">
        <f t="shared" si="497"/>
        <v>1</v>
      </c>
      <c r="C7585" t="str">
        <f t="shared" si="498"/>
        <v>409</v>
      </c>
      <c r="D7585" t="str">
        <f>"1"</f>
        <v>1</v>
      </c>
      <c r="E7585" t="str">
        <f>"1-409-1"</f>
        <v>1-409-1</v>
      </c>
      <c r="F7585" t="s">
        <v>15</v>
      </c>
      <c r="G7585" t="s">
        <v>16</v>
      </c>
      <c r="H7585" t="s">
        <v>17</v>
      </c>
      <c r="I7585">
        <v>0</v>
      </c>
      <c r="J7585">
        <v>0</v>
      </c>
      <c r="K7585">
        <v>1</v>
      </c>
    </row>
    <row r="7586" spans="1:11" x14ac:dyDescent="0.25">
      <c r="A7586" t="str">
        <f>"9497"</f>
        <v>9497</v>
      </c>
      <c r="B7586" t="str">
        <f t="shared" si="497"/>
        <v>1</v>
      </c>
      <c r="C7586" t="str">
        <f t="shared" si="498"/>
        <v>409</v>
      </c>
      <c r="D7586" t="str">
        <f>"25"</f>
        <v>25</v>
      </c>
      <c r="E7586" t="str">
        <f>"1-409-25"</f>
        <v>1-409-25</v>
      </c>
      <c r="F7586" t="s">
        <v>15</v>
      </c>
      <c r="G7586" t="s">
        <v>20</v>
      </c>
      <c r="H7586" t="s">
        <v>21</v>
      </c>
      <c r="I7586">
        <v>0</v>
      </c>
      <c r="J7586">
        <v>0</v>
      </c>
      <c r="K7586">
        <v>1</v>
      </c>
    </row>
    <row r="7587" spans="1:11" x14ac:dyDescent="0.25">
      <c r="A7587" t="str">
        <f>"9498"</f>
        <v>9498</v>
      </c>
      <c r="B7587" t="str">
        <f t="shared" ref="B7587:B7641" si="499">"1"</f>
        <v>1</v>
      </c>
      <c r="C7587" t="str">
        <f t="shared" si="498"/>
        <v>409</v>
      </c>
      <c r="D7587" t="str">
        <f>"7"</f>
        <v>7</v>
      </c>
      <c r="E7587" t="str">
        <f>"1-409-7"</f>
        <v>1-409-7</v>
      </c>
      <c r="F7587" t="s">
        <v>15</v>
      </c>
      <c r="G7587" t="s">
        <v>16</v>
      </c>
      <c r="H7587" t="s">
        <v>17</v>
      </c>
      <c r="I7587">
        <v>0</v>
      </c>
      <c r="J7587">
        <v>0</v>
      </c>
      <c r="K7587">
        <v>1</v>
      </c>
    </row>
    <row r="7588" spans="1:11" x14ac:dyDescent="0.25">
      <c r="A7588" t="str">
        <f>"9499"</f>
        <v>9499</v>
      </c>
      <c r="B7588" t="str">
        <f t="shared" si="499"/>
        <v>1</v>
      </c>
      <c r="C7588" t="str">
        <f t="shared" si="498"/>
        <v>409</v>
      </c>
      <c r="D7588" t="str">
        <f>"11"</f>
        <v>11</v>
      </c>
      <c r="E7588" t="str">
        <f>"1-409-11"</f>
        <v>1-409-11</v>
      </c>
      <c r="F7588" t="s">
        <v>15</v>
      </c>
      <c r="G7588" t="s">
        <v>16</v>
      </c>
      <c r="H7588" t="s">
        <v>17</v>
      </c>
      <c r="I7588">
        <v>0</v>
      </c>
      <c r="J7588">
        <v>0</v>
      </c>
      <c r="K7588">
        <v>1</v>
      </c>
    </row>
    <row r="7589" spans="1:11" x14ac:dyDescent="0.25">
      <c r="A7589" t="str">
        <f>"9500"</f>
        <v>9500</v>
      </c>
      <c r="B7589" t="str">
        <f t="shared" si="499"/>
        <v>1</v>
      </c>
      <c r="C7589" t="str">
        <f t="shared" si="498"/>
        <v>409</v>
      </c>
      <c r="D7589" t="str">
        <f>"27"</f>
        <v>27</v>
      </c>
      <c r="E7589" t="str">
        <f>"1-409-27"</f>
        <v>1-409-27</v>
      </c>
      <c r="F7589" t="s">
        <v>15</v>
      </c>
      <c r="G7589" t="s">
        <v>20</v>
      </c>
      <c r="H7589" t="s">
        <v>21</v>
      </c>
      <c r="I7589">
        <v>1</v>
      </c>
      <c r="J7589">
        <v>0</v>
      </c>
      <c r="K7589">
        <v>0</v>
      </c>
    </row>
    <row r="7590" spans="1:11" x14ac:dyDescent="0.25">
      <c r="A7590" t="str">
        <f>"9501"</f>
        <v>9501</v>
      </c>
      <c r="B7590" t="str">
        <f t="shared" si="499"/>
        <v>1</v>
      </c>
      <c r="C7590" t="str">
        <f t="shared" si="498"/>
        <v>409</v>
      </c>
      <c r="D7590" t="str">
        <f>"14"</f>
        <v>14</v>
      </c>
      <c r="E7590" t="str">
        <f>"1-409-14"</f>
        <v>1-409-14</v>
      </c>
      <c r="F7590" t="s">
        <v>15</v>
      </c>
      <c r="G7590" t="s">
        <v>18</v>
      </c>
      <c r="H7590" t="s">
        <v>19</v>
      </c>
      <c r="I7590">
        <v>1</v>
      </c>
      <c r="J7590">
        <v>0</v>
      </c>
      <c r="K7590">
        <v>0</v>
      </c>
    </row>
    <row r="7591" spans="1:11" x14ac:dyDescent="0.25">
      <c r="A7591" t="str">
        <f>"9503"</f>
        <v>9503</v>
      </c>
      <c r="B7591" t="str">
        <f t="shared" si="499"/>
        <v>1</v>
      </c>
      <c r="C7591" t="str">
        <f t="shared" si="498"/>
        <v>409</v>
      </c>
      <c r="D7591" t="str">
        <f>"3"</f>
        <v>3</v>
      </c>
      <c r="E7591" t="str">
        <f>"1-409-3"</f>
        <v>1-409-3</v>
      </c>
      <c r="F7591" t="s">
        <v>15</v>
      </c>
      <c r="G7591" t="s">
        <v>16</v>
      </c>
      <c r="H7591" t="s">
        <v>17</v>
      </c>
      <c r="I7591">
        <v>0</v>
      </c>
      <c r="J7591">
        <v>0</v>
      </c>
      <c r="K7591">
        <v>1</v>
      </c>
    </row>
    <row r="7592" spans="1:11" x14ac:dyDescent="0.25">
      <c r="A7592" t="str">
        <f>"9504"</f>
        <v>9504</v>
      </c>
      <c r="B7592" t="str">
        <f t="shared" si="499"/>
        <v>1</v>
      </c>
      <c r="C7592" t="str">
        <f t="shared" si="498"/>
        <v>409</v>
      </c>
      <c r="D7592" t="str">
        <f>"6"</f>
        <v>6</v>
      </c>
      <c r="E7592" t="str">
        <f>"1-409-6"</f>
        <v>1-409-6</v>
      </c>
      <c r="F7592" t="s">
        <v>15</v>
      </c>
      <c r="G7592" t="s">
        <v>16</v>
      </c>
      <c r="H7592" t="s">
        <v>17</v>
      </c>
      <c r="I7592">
        <v>0</v>
      </c>
      <c r="J7592">
        <v>0</v>
      </c>
      <c r="K7592">
        <v>0</v>
      </c>
    </row>
    <row r="7593" spans="1:11" x14ac:dyDescent="0.25">
      <c r="A7593" t="str">
        <f>"9505"</f>
        <v>9505</v>
      </c>
      <c r="B7593" t="str">
        <f t="shared" si="499"/>
        <v>1</v>
      </c>
      <c r="C7593" t="str">
        <f t="shared" si="498"/>
        <v>409</v>
      </c>
      <c r="D7593" t="str">
        <f>"29"</f>
        <v>29</v>
      </c>
      <c r="E7593" t="str">
        <f>"1-409-29"</f>
        <v>1-409-29</v>
      </c>
      <c r="F7593" t="s">
        <v>15</v>
      </c>
      <c r="G7593" t="s">
        <v>20</v>
      </c>
      <c r="H7593" t="s">
        <v>21</v>
      </c>
      <c r="I7593">
        <v>0</v>
      </c>
      <c r="J7593">
        <v>0</v>
      </c>
      <c r="K7593">
        <v>0</v>
      </c>
    </row>
    <row r="7594" spans="1:11" x14ac:dyDescent="0.25">
      <c r="A7594" t="str">
        <f>"9506"</f>
        <v>9506</v>
      </c>
      <c r="B7594" t="str">
        <f t="shared" si="499"/>
        <v>1</v>
      </c>
      <c r="C7594" t="str">
        <f t="shared" si="498"/>
        <v>409</v>
      </c>
      <c r="D7594" t="str">
        <f>"18"</f>
        <v>18</v>
      </c>
      <c r="E7594" t="str">
        <f>"1-409-18"</f>
        <v>1-409-18</v>
      </c>
      <c r="F7594" t="s">
        <v>15</v>
      </c>
      <c r="G7594" t="s">
        <v>16</v>
      </c>
      <c r="H7594" t="s">
        <v>17</v>
      </c>
      <c r="I7594">
        <v>0</v>
      </c>
      <c r="J7594">
        <v>0</v>
      </c>
      <c r="K7594">
        <v>0</v>
      </c>
    </row>
    <row r="7595" spans="1:11" x14ac:dyDescent="0.25">
      <c r="A7595" t="str">
        <f>"9507"</f>
        <v>9507</v>
      </c>
      <c r="B7595" t="str">
        <f t="shared" si="499"/>
        <v>1</v>
      </c>
      <c r="C7595" t="str">
        <f t="shared" si="498"/>
        <v>409</v>
      </c>
      <c r="D7595" t="str">
        <f>"31"</f>
        <v>31</v>
      </c>
      <c r="E7595" t="str">
        <f>"1-409-31"</f>
        <v>1-409-31</v>
      </c>
      <c r="F7595" t="s">
        <v>15</v>
      </c>
      <c r="G7595" t="s">
        <v>20</v>
      </c>
      <c r="H7595" t="s">
        <v>21</v>
      </c>
      <c r="I7595">
        <v>0</v>
      </c>
      <c r="J7595">
        <v>0</v>
      </c>
      <c r="K7595">
        <v>1</v>
      </c>
    </row>
    <row r="7596" spans="1:11" x14ac:dyDescent="0.25">
      <c r="A7596" t="str">
        <f>"9508"</f>
        <v>9508</v>
      </c>
      <c r="B7596" t="str">
        <f t="shared" si="499"/>
        <v>1</v>
      </c>
      <c r="C7596" t="str">
        <f t="shared" si="498"/>
        <v>409</v>
      </c>
      <c r="D7596" t="str">
        <f>"19"</f>
        <v>19</v>
      </c>
      <c r="E7596" t="str">
        <f>"1-409-19"</f>
        <v>1-409-19</v>
      </c>
      <c r="F7596" t="s">
        <v>15</v>
      </c>
      <c r="G7596" t="s">
        <v>16</v>
      </c>
      <c r="H7596" t="s">
        <v>17</v>
      </c>
      <c r="I7596">
        <v>0</v>
      </c>
      <c r="J7596">
        <v>0</v>
      </c>
      <c r="K7596">
        <v>0</v>
      </c>
    </row>
    <row r="7597" spans="1:11" x14ac:dyDescent="0.25">
      <c r="A7597" t="str">
        <f>"9509"</f>
        <v>9509</v>
      </c>
      <c r="B7597" t="str">
        <f t="shared" si="499"/>
        <v>1</v>
      </c>
      <c r="C7597" t="str">
        <f t="shared" si="498"/>
        <v>409</v>
      </c>
      <c r="D7597" t="str">
        <f>"26"</f>
        <v>26</v>
      </c>
      <c r="E7597" t="str">
        <f>"1-409-26"</f>
        <v>1-409-26</v>
      </c>
      <c r="F7597" t="s">
        <v>15</v>
      </c>
      <c r="G7597" t="s">
        <v>20</v>
      </c>
      <c r="H7597" t="s">
        <v>21</v>
      </c>
      <c r="I7597">
        <v>0</v>
      </c>
      <c r="J7597">
        <v>0</v>
      </c>
      <c r="K7597">
        <v>0</v>
      </c>
    </row>
    <row r="7598" spans="1:11" x14ac:dyDescent="0.25">
      <c r="A7598" t="str">
        <f>"9510"</f>
        <v>9510</v>
      </c>
      <c r="B7598" t="str">
        <f t="shared" si="499"/>
        <v>1</v>
      </c>
      <c r="C7598" t="str">
        <f t="shared" ref="C7598:C7622" si="500">"410"</f>
        <v>410</v>
      </c>
      <c r="D7598" t="str">
        <f>"20"</f>
        <v>20</v>
      </c>
      <c r="E7598" t="str">
        <f>"1-410-20"</f>
        <v>1-410-20</v>
      </c>
      <c r="F7598" t="s">
        <v>15</v>
      </c>
      <c r="G7598" t="s">
        <v>16</v>
      </c>
      <c r="H7598" t="s">
        <v>17</v>
      </c>
      <c r="I7598">
        <v>0</v>
      </c>
      <c r="J7598">
        <v>1</v>
      </c>
      <c r="K7598">
        <v>0</v>
      </c>
    </row>
    <row r="7599" spans="1:11" x14ac:dyDescent="0.25">
      <c r="A7599" t="str">
        <f>"9511"</f>
        <v>9511</v>
      </c>
      <c r="B7599" t="str">
        <f t="shared" si="499"/>
        <v>1</v>
      </c>
      <c r="C7599" t="str">
        <f t="shared" si="500"/>
        <v>410</v>
      </c>
      <c r="D7599" t="str">
        <f>"19"</f>
        <v>19</v>
      </c>
      <c r="E7599" t="str">
        <f>"1-410-19"</f>
        <v>1-410-19</v>
      </c>
      <c r="F7599" t="s">
        <v>15</v>
      </c>
      <c r="G7599" t="s">
        <v>16</v>
      </c>
      <c r="H7599" t="s">
        <v>17</v>
      </c>
      <c r="I7599">
        <v>0</v>
      </c>
      <c r="J7599">
        <v>1</v>
      </c>
      <c r="K7599">
        <v>0</v>
      </c>
    </row>
    <row r="7600" spans="1:11" x14ac:dyDescent="0.25">
      <c r="A7600" t="str">
        <f>"9512"</f>
        <v>9512</v>
      </c>
      <c r="B7600" t="str">
        <f t="shared" si="499"/>
        <v>1</v>
      </c>
      <c r="C7600" t="str">
        <f t="shared" si="500"/>
        <v>410</v>
      </c>
      <c r="D7600" t="str">
        <f>"17"</f>
        <v>17</v>
      </c>
      <c r="E7600" t="str">
        <f>"1-410-17"</f>
        <v>1-410-17</v>
      </c>
      <c r="F7600" t="s">
        <v>15</v>
      </c>
      <c r="G7600" t="s">
        <v>16</v>
      </c>
      <c r="H7600" t="s">
        <v>17</v>
      </c>
      <c r="I7600">
        <v>1</v>
      </c>
      <c r="J7600">
        <v>0</v>
      </c>
      <c r="K7600">
        <v>0</v>
      </c>
    </row>
    <row r="7601" spans="1:11" x14ac:dyDescent="0.25">
      <c r="A7601" t="str">
        <f>"9513"</f>
        <v>9513</v>
      </c>
      <c r="B7601" t="str">
        <f t="shared" si="499"/>
        <v>1</v>
      </c>
      <c r="C7601" t="str">
        <f t="shared" si="500"/>
        <v>410</v>
      </c>
      <c r="D7601" t="str">
        <f>"15"</f>
        <v>15</v>
      </c>
      <c r="E7601" t="str">
        <f>"1-410-15"</f>
        <v>1-410-15</v>
      </c>
      <c r="F7601" t="s">
        <v>15</v>
      </c>
      <c r="G7601" t="s">
        <v>16</v>
      </c>
      <c r="H7601" t="s">
        <v>17</v>
      </c>
      <c r="I7601">
        <v>1</v>
      </c>
      <c r="J7601">
        <v>0</v>
      </c>
      <c r="K7601">
        <v>0</v>
      </c>
    </row>
    <row r="7602" spans="1:11" x14ac:dyDescent="0.25">
      <c r="A7602" t="str">
        <f>"9514"</f>
        <v>9514</v>
      </c>
      <c r="B7602" t="str">
        <f t="shared" si="499"/>
        <v>1</v>
      </c>
      <c r="C7602" t="str">
        <f t="shared" si="500"/>
        <v>410</v>
      </c>
      <c r="D7602" t="str">
        <f>"1"</f>
        <v>1</v>
      </c>
      <c r="E7602" t="str">
        <f>"1-410-1"</f>
        <v>1-410-1</v>
      </c>
      <c r="F7602" t="s">
        <v>15</v>
      </c>
      <c r="G7602" t="s">
        <v>16</v>
      </c>
      <c r="H7602" t="s">
        <v>17</v>
      </c>
      <c r="I7602">
        <v>1</v>
      </c>
      <c r="J7602">
        <v>0</v>
      </c>
      <c r="K7602">
        <v>0</v>
      </c>
    </row>
    <row r="7603" spans="1:11" x14ac:dyDescent="0.25">
      <c r="A7603" t="str">
        <f>"9516"</f>
        <v>9516</v>
      </c>
      <c r="B7603" t="str">
        <f t="shared" si="499"/>
        <v>1</v>
      </c>
      <c r="C7603" t="str">
        <f t="shared" si="500"/>
        <v>410</v>
      </c>
      <c r="D7603" t="str">
        <f>"16"</f>
        <v>16</v>
      </c>
      <c r="E7603" t="str">
        <f>"1-410-16"</f>
        <v>1-410-16</v>
      </c>
      <c r="F7603" t="s">
        <v>15</v>
      </c>
      <c r="G7603" t="s">
        <v>16</v>
      </c>
      <c r="H7603" t="s">
        <v>17</v>
      </c>
      <c r="I7603">
        <v>1</v>
      </c>
      <c r="J7603">
        <v>0</v>
      </c>
      <c r="K7603">
        <v>0</v>
      </c>
    </row>
    <row r="7604" spans="1:11" x14ac:dyDescent="0.25">
      <c r="A7604" t="str">
        <f>"9517"</f>
        <v>9517</v>
      </c>
      <c r="B7604" t="str">
        <f t="shared" si="499"/>
        <v>1</v>
      </c>
      <c r="C7604" t="str">
        <f t="shared" si="500"/>
        <v>410</v>
      </c>
      <c r="D7604" t="str">
        <f>"4"</f>
        <v>4</v>
      </c>
      <c r="E7604" t="str">
        <f>"1-410-4"</f>
        <v>1-410-4</v>
      </c>
      <c r="F7604" t="s">
        <v>15</v>
      </c>
      <c r="G7604" t="s">
        <v>18</v>
      </c>
      <c r="H7604" t="s">
        <v>19</v>
      </c>
      <c r="I7604">
        <v>0</v>
      </c>
      <c r="J7604">
        <v>1</v>
      </c>
      <c r="K7604">
        <v>0</v>
      </c>
    </row>
    <row r="7605" spans="1:11" x14ac:dyDescent="0.25">
      <c r="A7605" t="str">
        <f>"9518"</f>
        <v>9518</v>
      </c>
      <c r="B7605" t="str">
        <f t="shared" si="499"/>
        <v>1</v>
      </c>
      <c r="C7605" t="str">
        <f t="shared" si="500"/>
        <v>410</v>
      </c>
      <c r="D7605" t="str">
        <f>"18"</f>
        <v>18</v>
      </c>
      <c r="E7605" t="str">
        <f>"1-410-18"</f>
        <v>1-410-18</v>
      </c>
      <c r="F7605" t="s">
        <v>15</v>
      </c>
      <c r="G7605" t="s">
        <v>16</v>
      </c>
      <c r="H7605" t="s">
        <v>17</v>
      </c>
      <c r="I7605">
        <v>1</v>
      </c>
      <c r="J7605">
        <v>0</v>
      </c>
      <c r="K7605">
        <v>0</v>
      </c>
    </row>
    <row r="7606" spans="1:11" x14ac:dyDescent="0.25">
      <c r="A7606" t="str">
        <f>"9519"</f>
        <v>9519</v>
      </c>
      <c r="B7606" t="str">
        <f t="shared" si="499"/>
        <v>1</v>
      </c>
      <c r="C7606" t="str">
        <f t="shared" si="500"/>
        <v>410</v>
      </c>
      <c r="D7606" t="str">
        <f>"10"</f>
        <v>10</v>
      </c>
      <c r="E7606" t="str">
        <f>"1-410-10"</f>
        <v>1-410-10</v>
      </c>
      <c r="F7606" t="s">
        <v>15</v>
      </c>
      <c r="G7606" t="s">
        <v>18</v>
      </c>
      <c r="H7606" t="s">
        <v>19</v>
      </c>
      <c r="I7606">
        <v>0</v>
      </c>
      <c r="J7606">
        <v>1</v>
      </c>
      <c r="K7606">
        <v>0</v>
      </c>
    </row>
    <row r="7607" spans="1:11" x14ac:dyDescent="0.25">
      <c r="A7607" t="str">
        <f>"9521"</f>
        <v>9521</v>
      </c>
      <c r="B7607" t="str">
        <f t="shared" si="499"/>
        <v>1</v>
      </c>
      <c r="C7607" t="str">
        <f t="shared" si="500"/>
        <v>410</v>
      </c>
      <c r="D7607" t="str">
        <f>"14"</f>
        <v>14</v>
      </c>
      <c r="E7607" t="str">
        <f>"1-410-14"</f>
        <v>1-410-14</v>
      </c>
      <c r="F7607" t="s">
        <v>15</v>
      </c>
      <c r="G7607" t="s">
        <v>16</v>
      </c>
      <c r="H7607" t="s">
        <v>17</v>
      </c>
      <c r="I7607">
        <v>0</v>
      </c>
      <c r="J7607">
        <v>1</v>
      </c>
      <c r="K7607">
        <v>0</v>
      </c>
    </row>
    <row r="7608" spans="1:11" x14ac:dyDescent="0.25">
      <c r="A7608" t="str">
        <f>"9523"</f>
        <v>9523</v>
      </c>
      <c r="B7608" t="str">
        <f t="shared" si="499"/>
        <v>1</v>
      </c>
      <c r="C7608" t="str">
        <f t="shared" si="500"/>
        <v>410</v>
      </c>
      <c r="D7608" t="str">
        <f>"5"</f>
        <v>5</v>
      </c>
      <c r="E7608" t="str">
        <f>"1-410-5"</f>
        <v>1-410-5</v>
      </c>
      <c r="F7608" t="s">
        <v>15</v>
      </c>
      <c r="G7608" t="s">
        <v>18</v>
      </c>
      <c r="H7608" t="s">
        <v>19</v>
      </c>
      <c r="I7608">
        <v>0</v>
      </c>
      <c r="J7608">
        <v>1</v>
      </c>
      <c r="K7608">
        <v>0</v>
      </c>
    </row>
    <row r="7609" spans="1:11" x14ac:dyDescent="0.25">
      <c r="A7609" t="str">
        <f>"9525"</f>
        <v>9525</v>
      </c>
      <c r="B7609" t="str">
        <f t="shared" si="499"/>
        <v>1</v>
      </c>
      <c r="C7609" t="str">
        <f t="shared" si="500"/>
        <v>410</v>
      </c>
      <c r="D7609" t="str">
        <f>"11"</f>
        <v>11</v>
      </c>
      <c r="E7609" t="str">
        <f>"1-410-11"</f>
        <v>1-410-11</v>
      </c>
      <c r="F7609" t="s">
        <v>15</v>
      </c>
      <c r="G7609" t="s">
        <v>18</v>
      </c>
      <c r="H7609" t="s">
        <v>19</v>
      </c>
      <c r="I7609">
        <v>0</v>
      </c>
      <c r="J7609">
        <v>1</v>
      </c>
      <c r="K7609">
        <v>0</v>
      </c>
    </row>
    <row r="7610" spans="1:11" x14ac:dyDescent="0.25">
      <c r="A7610" t="str">
        <f>"9527"</f>
        <v>9527</v>
      </c>
      <c r="B7610" t="str">
        <f t="shared" si="499"/>
        <v>1</v>
      </c>
      <c r="C7610" t="str">
        <f t="shared" si="500"/>
        <v>410</v>
      </c>
      <c r="D7610" t="str">
        <f>"3"</f>
        <v>3</v>
      </c>
      <c r="E7610" t="str">
        <f>"1-410-3"</f>
        <v>1-410-3</v>
      </c>
      <c r="F7610" t="s">
        <v>15</v>
      </c>
      <c r="G7610" t="s">
        <v>18</v>
      </c>
      <c r="H7610" t="s">
        <v>19</v>
      </c>
      <c r="I7610">
        <v>0</v>
      </c>
      <c r="J7610">
        <v>0</v>
      </c>
      <c r="K7610">
        <v>1</v>
      </c>
    </row>
    <row r="7611" spans="1:11" x14ac:dyDescent="0.25">
      <c r="A7611" t="str">
        <f>"9528"</f>
        <v>9528</v>
      </c>
      <c r="B7611" t="str">
        <f t="shared" si="499"/>
        <v>1</v>
      </c>
      <c r="C7611" t="str">
        <f t="shared" si="500"/>
        <v>410</v>
      </c>
      <c r="D7611" t="str">
        <f>"26"</f>
        <v>26</v>
      </c>
      <c r="E7611" t="str">
        <f>"1-410-26"</f>
        <v>1-410-26</v>
      </c>
      <c r="F7611" t="s">
        <v>15</v>
      </c>
      <c r="G7611" t="s">
        <v>20</v>
      </c>
      <c r="H7611" t="s">
        <v>21</v>
      </c>
      <c r="I7611">
        <v>1</v>
      </c>
      <c r="J7611">
        <v>0</v>
      </c>
      <c r="K7611">
        <v>0</v>
      </c>
    </row>
    <row r="7612" spans="1:11" x14ac:dyDescent="0.25">
      <c r="A7612" t="str">
        <f>"9529"</f>
        <v>9529</v>
      </c>
      <c r="B7612" t="str">
        <f t="shared" si="499"/>
        <v>1</v>
      </c>
      <c r="C7612" t="str">
        <f t="shared" si="500"/>
        <v>410</v>
      </c>
      <c r="D7612" t="str">
        <f>"7"</f>
        <v>7</v>
      </c>
      <c r="E7612" t="str">
        <f>"1-410-7"</f>
        <v>1-410-7</v>
      </c>
      <c r="F7612" t="s">
        <v>15</v>
      </c>
      <c r="G7612" t="s">
        <v>18</v>
      </c>
      <c r="H7612" t="s">
        <v>19</v>
      </c>
      <c r="I7612">
        <v>0</v>
      </c>
      <c r="J7612">
        <v>0</v>
      </c>
      <c r="K7612">
        <v>1</v>
      </c>
    </row>
    <row r="7613" spans="1:11" x14ac:dyDescent="0.25">
      <c r="A7613" t="str">
        <f>"9530"</f>
        <v>9530</v>
      </c>
      <c r="B7613" t="str">
        <f t="shared" si="499"/>
        <v>1</v>
      </c>
      <c r="C7613" t="str">
        <f t="shared" si="500"/>
        <v>410</v>
      </c>
      <c r="D7613" t="str">
        <f>"27"</f>
        <v>27</v>
      </c>
      <c r="E7613" t="str">
        <f>"1-410-27"</f>
        <v>1-410-27</v>
      </c>
      <c r="F7613" t="s">
        <v>15</v>
      </c>
      <c r="G7613" t="s">
        <v>20</v>
      </c>
      <c r="H7613" t="s">
        <v>21</v>
      </c>
      <c r="I7613">
        <v>1</v>
      </c>
      <c r="J7613">
        <v>0</v>
      </c>
      <c r="K7613">
        <v>0</v>
      </c>
    </row>
    <row r="7614" spans="1:11" x14ac:dyDescent="0.25">
      <c r="A7614" t="str">
        <f>"9531"</f>
        <v>9531</v>
      </c>
      <c r="B7614" t="str">
        <f t="shared" si="499"/>
        <v>1</v>
      </c>
      <c r="C7614" t="str">
        <f t="shared" si="500"/>
        <v>410</v>
      </c>
      <c r="D7614" t="str">
        <f>"12"</f>
        <v>12</v>
      </c>
      <c r="E7614" t="str">
        <f>"1-410-12"</f>
        <v>1-410-12</v>
      </c>
      <c r="F7614" t="s">
        <v>15</v>
      </c>
      <c r="G7614" t="s">
        <v>16</v>
      </c>
      <c r="H7614" t="s">
        <v>17</v>
      </c>
      <c r="I7614">
        <v>1</v>
      </c>
      <c r="J7614">
        <v>0</v>
      </c>
      <c r="K7614">
        <v>0</v>
      </c>
    </row>
    <row r="7615" spans="1:11" x14ac:dyDescent="0.25">
      <c r="A7615" t="str">
        <f>"9532"</f>
        <v>9532</v>
      </c>
      <c r="B7615" t="str">
        <f t="shared" si="499"/>
        <v>1</v>
      </c>
      <c r="C7615" t="str">
        <f t="shared" si="500"/>
        <v>410</v>
      </c>
      <c r="D7615" t="str">
        <f>"28"</f>
        <v>28</v>
      </c>
      <c r="E7615" t="str">
        <f>"1-410-28"</f>
        <v>1-410-28</v>
      </c>
      <c r="F7615" t="s">
        <v>15</v>
      </c>
      <c r="G7615" t="s">
        <v>20</v>
      </c>
      <c r="H7615" t="s">
        <v>21</v>
      </c>
      <c r="I7615">
        <v>0</v>
      </c>
      <c r="J7615">
        <v>0</v>
      </c>
      <c r="K7615">
        <v>1</v>
      </c>
    </row>
    <row r="7616" spans="1:11" x14ac:dyDescent="0.25">
      <c r="A7616" t="str">
        <f>"9533"</f>
        <v>9533</v>
      </c>
      <c r="B7616" t="str">
        <f t="shared" si="499"/>
        <v>1</v>
      </c>
      <c r="C7616" t="str">
        <f t="shared" si="500"/>
        <v>410</v>
      </c>
      <c r="D7616" t="str">
        <f>"6"</f>
        <v>6</v>
      </c>
      <c r="E7616" t="str">
        <f>"1-410-6"</f>
        <v>1-410-6</v>
      </c>
      <c r="F7616" t="s">
        <v>15</v>
      </c>
      <c r="G7616" t="s">
        <v>18</v>
      </c>
      <c r="H7616" t="s">
        <v>19</v>
      </c>
      <c r="I7616">
        <v>0</v>
      </c>
      <c r="J7616">
        <v>1</v>
      </c>
      <c r="K7616">
        <v>0</v>
      </c>
    </row>
    <row r="7617" spans="1:11" x14ac:dyDescent="0.25">
      <c r="A7617" t="str">
        <f>"9534"</f>
        <v>9534</v>
      </c>
      <c r="B7617" t="str">
        <f t="shared" si="499"/>
        <v>1</v>
      </c>
      <c r="C7617" t="str">
        <f t="shared" si="500"/>
        <v>410</v>
      </c>
      <c r="D7617" t="str">
        <f>"29"</f>
        <v>29</v>
      </c>
      <c r="E7617" t="str">
        <f>"1-410-29"</f>
        <v>1-410-29</v>
      </c>
      <c r="F7617" t="s">
        <v>15</v>
      </c>
      <c r="G7617" t="s">
        <v>20</v>
      </c>
      <c r="H7617" t="s">
        <v>21</v>
      </c>
      <c r="I7617">
        <v>0</v>
      </c>
      <c r="J7617">
        <v>0</v>
      </c>
      <c r="K7617">
        <v>1</v>
      </c>
    </row>
    <row r="7618" spans="1:11" x14ac:dyDescent="0.25">
      <c r="A7618" t="str">
        <f>"9535"</f>
        <v>9535</v>
      </c>
      <c r="B7618" t="str">
        <f t="shared" si="499"/>
        <v>1</v>
      </c>
      <c r="C7618" t="str">
        <f t="shared" si="500"/>
        <v>410</v>
      </c>
      <c r="D7618" t="str">
        <f>"9"</f>
        <v>9</v>
      </c>
      <c r="E7618" t="str">
        <f>"1-410-9"</f>
        <v>1-410-9</v>
      </c>
      <c r="F7618" t="s">
        <v>15</v>
      </c>
      <c r="G7618" t="s">
        <v>18</v>
      </c>
      <c r="H7618" t="s">
        <v>19</v>
      </c>
      <c r="I7618">
        <v>0</v>
      </c>
      <c r="J7618">
        <v>1</v>
      </c>
      <c r="K7618">
        <v>0</v>
      </c>
    </row>
    <row r="7619" spans="1:11" x14ac:dyDescent="0.25">
      <c r="A7619" t="str">
        <f>"9536"</f>
        <v>9536</v>
      </c>
      <c r="B7619" t="str">
        <f t="shared" si="499"/>
        <v>1</v>
      </c>
      <c r="C7619" t="str">
        <f t="shared" si="500"/>
        <v>410</v>
      </c>
      <c r="D7619" t="str">
        <f>"30"</f>
        <v>30</v>
      </c>
      <c r="E7619" t="str">
        <f>"1-410-30"</f>
        <v>1-410-30</v>
      </c>
      <c r="F7619" t="s">
        <v>15</v>
      </c>
      <c r="G7619" t="s">
        <v>20</v>
      </c>
      <c r="H7619" t="s">
        <v>21</v>
      </c>
      <c r="I7619">
        <v>0</v>
      </c>
      <c r="J7619">
        <v>0</v>
      </c>
      <c r="K7619">
        <v>1</v>
      </c>
    </row>
    <row r="7620" spans="1:11" x14ac:dyDescent="0.25">
      <c r="A7620" t="str">
        <f>"9537"</f>
        <v>9537</v>
      </c>
      <c r="B7620" t="str">
        <f t="shared" si="499"/>
        <v>1</v>
      </c>
      <c r="C7620" t="str">
        <f t="shared" si="500"/>
        <v>410</v>
      </c>
      <c r="D7620" t="str">
        <f>"13"</f>
        <v>13</v>
      </c>
      <c r="E7620" t="str">
        <f>"1-410-13"</f>
        <v>1-410-13</v>
      </c>
      <c r="F7620" t="s">
        <v>15</v>
      </c>
      <c r="G7620" t="s">
        <v>18</v>
      </c>
      <c r="H7620" t="s">
        <v>19</v>
      </c>
      <c r="I7620">
        <v>1</v>
      </c>
      <c r="J7620">
        <v>0</v>
      </c>
      <c r="K7620">
        <v>0</v>
      </c>
    </row>
    <row r="7621" spans="1:11" x14ac:dyDescent="0.25">
      <c r="A7621" t="str">
        <f>"9538"</f>
        <v>9538</v>
      </c>
      <c r="B7621" t="str">
        <f t="shared" si="499"/>
        <v>1</v>
      </c>
      <c r="C7621" t="str">
        <f t="shared" si="500"/>
        <v>410</v>
      </c>
      <c r="D7621" t="str">
        <f>"2"</f>
        <v>2</v>
      </c>
      <c r="E7621" t="str">
        <f>"1-410-2"</f>
        <v>1-410-2</v>
      </c>
      <c r="F7621" t="s">
        <v>15</v>
      </c>
      <c r="G7621" t="s">
        <v>18</v>
      </c>
      <c r="H7621" t="s">
        <v>19</v>
      </c>
      <c r="I7621">
        <v>0</v>
      </c>
      <c r="J7621">
        <v>0</v>
      </c>
      <c r="K7621">
        <v>1</v>
      </c>
    </row>
    <row r="7622" spans="1:11" x14ac:dyDescent="0.25">
      <c r="A7622" t="str">
        <f>"9539"</f>
        <v>9539</v>
      </c>
      <c r="B7622" t="str">
        <f t="shared" si="499"/>
        <v>1</v>
      </c>
      <c r="C7622" t="str">
        <f t="shared" si="500"/>
        <v>410</v>
      </c>
      <c r="D7622" t="str">
        <f>"8"</f>
        <v>8</v>
      </c>
      <c r="E7622" t="str">
        <f>"1-410-8"</f>
        <v>1-410-8</v>
      </c>
      <c r="F7622" t="s">
        <v>15</v>
      </c>
      <c r="G7622" t="s">
        <v>18</v>
      </c>
      <c r="H7622" t="s">
        <v>19</v>
      </c>
      <c r="I7622">
        <v>0</v>
      </c>
      <c r="J7622">
        <v>0</v>
      </c>
      <c r="K7622">
        <v>0</v>
      </c>
    </row>
    <row r="7623" spans="1:11" x14ac:dyDescent="0.25">
      <c r="A7623" t="str">
        <f>"9541"</f>
        <v>9541</v>
      </c>
      <c r="B7623" t="str">
        <f t="shared" si="499"/>
        <v>1</v>
      </c>
      <c r="C7623" t="str">
        <f t="shared" ref="C7623:C7635" si="501">"411"</f>
        <v>411</v>
      </c>
      <c r="D7623" t="str">
        <f>"3"</f>
        <v>3</v>
      </c>
      <c r="E7623" t="str">
        <f>"1-411-3"</f>
        <v>1-411-3</v>
      </c>
      <c r="F7623" t="s">
        <v>15</v>
      </c>
      <c r="G7623" t="s">
        <v>16</v>
      </c>
      <c r="H7623" t="s">
        <v>17</v>
      </c>
      <c r="I7623">
        <v>1</v>
      </c>
      <c r="J7623">
        <v>0</v>
      </c>
      <c r="K7623">
        <v>0</v>
      </c>
    </row>
    <row r="7624" spans="1:11" x14ac:dyDescent="0.25">
      <c r="A7624" t="str">
        <f>"9542"</f>
        <v>9542</v>
      </c>
      <c r="B7624" t="str">
        <f t="shared" si="499"/>
        <v>1</v>
      </c>
      <c r="C7624" t="str">
        <f t="shared" si="501"/>
        <v>411</v>
      </c>
      <c r="D7624" t="str">
        <f>"16"</f>
        <v>16</v>
      </c>
      <c r="E7624" t="str">
        <f>"1-411-16"</f>
        <v>1-411-16</v>
      </c>
      <c r="F7624" t="s">
        <v>15</v>
      </c>
      <c r="G7624" t="s">
        <v>16</v>
      </c>
      <c r="H7624" t="s">
        <v>17</v>
      </c>
      <c r="I7624">
        <v>1</v>
      </c>
      <c r="J7624">
        <v>0</v>
      </c>
      <c r="K7624">
        <v>0</v>
      </c>
    </row>
    <row r="7625" spans="1:11" x14ac:dyDescent="0.25">
      <c r="A7625" t="str">
        <f>"9543"</f>
        <v>9543</v>
      </c>
      <c r="B7625" t="str">
        <f t="shared" si="499"/>
        <v>1</v>
      </c>
      <c r="C7625" t="str">
        <f t="shared" si="501"/>
        <v>411</v>
      </c>
      <c r="D7625" t="str">
        <f>"2"</f>
        <v>2</v>
      </c>
      <c r="E7625" t="str">
        <f>"1-411-2"</f>
        <v>1-411-2</v>
      </c>
      <c r="F7625" t="s">
        <v>15</v>
      </c>
      <c r="G7625" t="s">
        <v>16</v>
      </c>
      <c r="H7625" t="s">
        <v>17</v>
      </c>
      <c r="I7625">
        <v>1</v>
      </c>
      <c r="J7625">
        <v>0</v>
      </c>
      <c r="K7625">
        <v>0</v>
      </c>
    </row>
    <row r="7626" spans="1:11" x14ac:dyDescent="0.25">
      <c r="A7626" t="str">
        <f>"9544"</f>
        <v>9544</v>
      </c>
      <c r="B7626" t="str">
        <f t="shared" si="499"/>
        <v>1</v>
      </c>
      <c r="C7626" t="str">
        <f t="shared" si="501"/>
        <v>411</v>
      </c>
      <c r="D7626" t="str">
        <f>"1"</f>
        <v>1</v>
      </c>
      <c r="E7626" t="str">
        <f>"1-411-1"</f>
        <v>1-411-1</v>
      </c>
      <c r="F7626" t="s">
        <v>15</v>
      </c>
      <c r="G7626" t="s">
        <v>16</v>
      </c>
      <c r="H7626" t="s">
        <v>17</v>
      </c>
      <c r="I7626">
        <v>0</v>
      </c>
      <c r="J7626">
        <v>1</v>
      </c>
      <c r="K7626">
        <v>0</v>
      </c>
    </row>
    <row r="7627" spans="1:11" x14ac:dyDescent="0.25">
      <c r="A7627" t="str">
        <f>"9545"</f>
        <v>9545</v>
      </c>
      <c r="B7627" t="str">
        <f t="shared" si="499"/>
        <v>1</v>
      </c>
      <c r="C7627" t="str">
        <f t="shared" si="501"/>
        <v>411</v>
      </c>
      <c r="D7627" t="str">
        <f>"10"</f>
        <v>10</v>
      </c>
      <c r="E7627" t="str">
        <f>"1-411-10"</f>
        <v>1-411-10</v>
      </c>
      <c r="F7627" t="s">
        <v>15</v>
      </c>
      <c r="G7627" t="s">
        <v>16</v>
      </c>
      <c r="H7627" t="s">
        <v>17</v>
      </c>
      <c r="I7627">
        <v>1</v>
      </c>
      <c r="J7627">
        <v>0</v>
      </c>
      <c r="K7627">
        <v>0</v>
      </c>
    </row>
    <row r="7628" spans="1:11" x14ac:dyDescent="0.25">
      <c r="A7628" t="str">
        <f>"9548"</f>
        <v>9548</v>
      </c>
      <c r="B7628" t="str">
        <f t="shared" si="499"/>
        <v>1</v>
      </c>
      <c r="C7628" t="str">
        <f t="shared" si="501"/>
        <v>411</v>
      </c>
      <c r="D7628" t="str">
        <f>"6"</f>
        <v>6</v>
      </c>
      <c r="E7628" t="str">
        <f>"1-411-6"</f>
        <v>1-411-6</v>
      </c>
      <c r="F7628" t="s">
        <v>15</v>
      </c>
      <c r="G7628" t="s">
        <v>18</v>
      </c>
      <c r="H7628" t="s">
        <v>19</v>
      </c>
      <c r="I7628">
        <v>0</v>
      </c>
      <c r="J7628">
        <v>0</v>
      </c>
      <c r="K7628">
        <v>1</v>
      </c>
    </row>
    <row r="7629" spans="1:11" x14ac:dyDescent="0.25">
      <c r="A7629" t="str">
        <f>"9549"</f>
        <v>9549</v>
      </c>
      <c r="B7629" t="str">
        <f t="shared" si="499"/>
        <v>1</v>
      </c>
      <c r="C7629" t="str">
        <f t="shared" si="501"/>
        <v>411</v>
      </c>
      <c r="D7629" t="str">
        <f>"5"</f>
        <v>5</v>
      </c>
      <c r="E7629" t="str">
        <f>"1-411-5"</f>
        <v>1-411-5</v>
      </c>
      <c r="F7629" t="s">
        <v>15</v>
      </c>
      <c r="G7629" t="s">
        <v>16</v>
      </c>
      <c r="H7629" t="s">
        <v>17</v>
      </c>
      <c r="I7629">
        <v>1</v>
      </c>
      <c r="J7629">
        <v>0</v>
      </c>
      <c r="K7629">
        <v>0</v>
      </c>
    </row>
    <row r="7630" spans="1:11" x14ac:dyDescent="0.25">
      <c r="A7630" t="str">
        <f>"9550"</f>
        <v>9550</v>
      </c>
      <c r="B7630" t="str">
        <f t="shared" si="499"/>
        <v>1</v>
      </c>
      <c r="C7630" t="str">
        <f t="shared" si="501"/>
        <v>411</v>
      </c>
      <c r="D7630" t="str">
        <f>"4"</f>
        <v>4</v>
      </c>
      <c r="E7630" t="str">
        <f>"1-411-4"</f>
        <v>1-411-4</v>
      </c>
      <c r="F7630" t="s">
        <v>15</v>
      </c>
      <c r="G7630" t="s">
        <v>16</v>
      </c>
      <c r="H7630" t="s">
        <v>17</v>
      </c>
      <c r="I7630">
        <v>0</v>
      </c>
      <c r="J7630">
        <v>0</v>
      </c>
      <c r="K7630">
        <v>1</v>
      </c>
    </row>
    <row r="7631" spans="1:11" x14ac:dyDescent="0.25">
      <c r="A7631" t="str">
        <f>"9551"</f>
        <v>9551</v>
      </c>
      <c r="B7631" t="str">
        <f t="shared" si="499"/>
        <v>1</v>
      </c>
      <c r="C7631" t="str">
        <f t="shared" si="501"/>
        <v>411</v>
      </c>
      <c r="D7631" t="str">
        <f>"12"</f>
        <v>12</v>
      </c>
      <c r="E7631" t="str">
        <f>"1-411-12"</f>
        <v>1-411-12</v>
      </c>
      <c r="F7631" t="s">
        <v>15</v>
      </c>
      <c r="G7631" t="s">
        <v>16</v>
      </c>
      <c r="H7631" t="s">
        <v>17</v>
      </c>
      <c r="I7631">
        <v>1</v>
      </c>
      <c r="J7631">
        <v>0</v>
      </c>
      <c r="K7631">
        <v>0</v>
      </c>
    </row>
    <row r="7632" spans="1:11" x14ac:dyDescent="0.25">
      <c r="A7632" t="str">
        <f>"9552"</f>
        <v>9552</v>
      </c>
      <c r="B7632" t="str">
        <f t="shared" si="499"/>
        <v>1</v>
      </c>
      <c r="C7632" t="str">
        <f t="shared" si="501"/>
        <v>411</v>
      </c>
      <c r="D7632" t="str">
        <f>"8"</f>
        <v>8</v>
      </c>
      <c r="E7632" t="str">
        <f>"1-411-8"</f>
        <v>1-411-8</v>
      </c>
      <c r="F7632" t="s">
        <v>15</v>
      </c>
      <c r="G7632" t="s">
        <v>16</v>
      </c>
      <c r="H7632" t="s">
        <v>17</v>
      </c>
      <c r="I7632">
        <v>0</v>
      </c>
      <c r="J7632">
        <v>1</v>
      </c>
      <c r="K7632">
        <v>0</v>
      </c>
    </row>
    <row r="7633" spans="1:11" x14ac:dyDescent="0.25">
      <c r="A7633" t="str">
        <f>"9553"</f>
        <v>9553</v>
      </c>
      <c r="B7633" t="str">
        <f t="shared" si="499"/>
        <v>1</v>
      </c>
      <c r="C7633" t="str">
        <f t="shared" si="501"/>
        <v>411</v>
      </c>
      <c r="D7633" t="str">
        <f>"13"</f>
        <v>13</v>
      </c>
      <c r="E7633" t="str">
        <f>"1-411-13"</f>
        <v>1-411-13</v>
      </c>
      <c r="F7633" t="s">
        <v>15</v>
      </c>
      <c r="G7633" t="s">
        <v>16</v>
      </c>
      <c r="H7633" t="s">
        <v>17</v>
      </c>
      <c r="I7633">
        <v>1</v>
      </c>
      <c r="J7633">
        <v>0</v>
      </c>
      <c r="K7633">
        <v>0</v>
      </c>
    </row>
    <row r="7634" spans="1:11" x14ac:dyDescent="0.25">
      <c r="A7634" t="str">
        <f>"9554"</f>
        <v>9554</v>
      </c>
      <c r="B7634" t="str">
        <f t="shared" si="499"/>
        <v>1</v>
      </c>
      <c r="C7634" t="str">
        <f t="shared" si="501"/>
        <v>411</v>
      </c>
      <c r="D7634" t="str">
        <f>"7"</f>
        <v>7</v>
      </c>
      <c r="E7634" t="str">
        <f>"1-411-7"</f>
        <v>1-411-7</v>
      </c>
      <c r="F7634" t="s">
        <v>15</v>
      </c>
      <c r="G7634" t="s">
        <v>16</v>
      </c>
      <c r="H7634" t="s">
        <v>17</v>
      </c>
      <c r="I7634">
        <v>0</v>
      </c>
      <c r="J7634">
        <v>1</v>
      </c>
      <c r="K7634">
        <v>0</v>
      </c>
    </row>
    <row r="7635" spans="1:11" x14ac:dyDescent="0.25">
      <c r="A7635" t="str">
        <f>"9555"</f>
        <v>9555</v>
      </c>
      <c r="B7635" t="str">
        <f t="shared" si="499"/>
        <v>1</v>
      </c>
      <c r="C7635" t="str">
        <f t="shared" si="501"/>
        <v>411</v>
      </c>
      <c r="D7635" t="str">
        <f>"9"</f>
        <v>9</v>
      </c>
      <c r="E7635" t="str">
        <f>"1-411-9"</f>
        <v>1-411-9</v>
      </c>
      <c r="F7635" t="s">
        <v>15</v>
      </c>
      <c r="G7635" t="s">
        <v>16</v>
      </c>
      <c r="H7635" t="s">
        <v>17</v>
      </c>
      <c r="I7635">
        <v>0</v>
      </c>
      <c r="J7635">
        <v>0</v>
      </c>
      <c r="K7635">
        <v>1</v>
      </c>
    </row>
    <row r="7636" spans="1:11" x14ac:dyDescent="0.25">
      <c r="A7636" t="str">
        <f>"9556"</f>
        <v>9556</v>
      </c>
      <c r="B7636" t="str">
        <f t="shared" si="499"/>
        <v>1</v>
      </c>
      <c r="C7636" t="str">
        <f t="shared" ref="C7636:C7660" si="502">"412"</f>
        <v>412</v>
      </c>
      <c r="D7636" t="str">
        <f>"24"</f>
        <v>24</v>
      </c>
      <c r="E7636" t="str">
        <f>"1-412-24"</f>
        <v>1-412-24</v>
      </c>
      <c r="F7636" t="s">
        <v>15</v>
      </c>
      <c r="G7636" t="s">
        <v>18</v>
      </c>
      <c r="H7636" t="s">
        <v>19</v>
      </c>
      <c r="I7636">
        <v>1</v>
      </c>
      <c r="J7636">
        <v>0</v>
      </c>
      <c r="K7636">
        <v>0</v>
      </c>
    </row>
    <row r="7637" spans="1:11" x14ac:dyDescent="0.25">
      <c r="A7637" t="str">
        <f>"9557"</f>
        <v>9557</v>
      </c>
      <c r="B7637" t="str">
        <f t="shared" si="499"/>
        <v>1</v>
      </c>
      <c r="C7637" t="str">
        <f t="shared" si="502"/>
        <v>412</v>
      </c>
      <c r="D7637" t="str">
        <f>"15"</f>
        <v>15</v>
      </c>
      <c r="E7637" t="str">
        <f>"1-412-15"</f>
        <v>1-412-15</v>
      </c>
      <c r="F7637" t="s">
        <v>15</v>
      </c>
      <c r="G7637" t="s">
        <v>18</v>
      </c>
      <c r="H7637" t="s">
        <v>19</v>
      </c>
      <c r="I7637">
        <v>1</v>
      </c>
      <c r="J7637">
        <v>0</v>
      </c>
      <c r="K7637">
        <v>0</v>
      </c>
    </row>
    <row r="7638" spans="1:11" x14ac:dyDescent="0.25">
      <c r="A7638" t="str">
        <f>"9558"</f>
        <v>9558</v>
      </c>
      <c r="B7638" t="str">
        <f t="shared" si="499"/>
        <v>1</v>
      </c>
      <c r="C7638" t="str">
        <f t="shared" si="502"/>
        <v>412</v>
      </c>
      <c r="D7638" t="str">
        <f>"2"</f>
        <v>2</v>
      </c>
      <c r="E7638" t="str">
        <f>"1-412-2"</f>
        <v>1-412-2</v>
      </c>
      <c r="F7638" t="s">
        <v>15</v>
      </c>
      <c r="G7638" t="s">
        <v>18</v>
      </c>
      <c r="H7638" t="s">
        <v>19</v>
      </c>
      <c r="I7638">
        <v>1</v>
      </c>
      <c r="J7638">
        <v>0</v>
      </c>
      <c r="K7638">
        <v>0</v>
      </c>
    </row>
    <row r="7639" spans="1:11" x14ac:dyDescent="0.25">
      <c r="A7639" t="str">
        <f>"9559"</f>
        <v>9559</v>
      </c>
      <c r="B7639" t="str">
        <f t="shared" si="499"/>
        <v>1</v>
      </c>
      <c r="C7639" t="str">
        <f t="shared" si="502"/>
        <v>412</v>
      </c>
      <c r="D7639" t="str">
        <f>"10"</f>
        <v>10</v>
      </c>
      <c r="E7639" t="str">
        <f>"1-412-10"</f>
        <v>1-412-10</v>
      </c>
      <c r="F7639" t="s">
        <v>15</v>
      </c>
      <c r="G7639" t="s">
        <v>18</v>
      </c>
      <c r="H7639" t="s">
        <v>19</v>
      </c>
      <c r="I7639">
        <v>1</v>
      </c>
      <c r="J7639">
        <v>0</v>
      </c>
      <c r="K7639">
        <v>0</v>
      </c>
    </row>
    <row r="7640" spans="1:11" x14ac:dyDescent="0.25">
      <c r="A7640" t="str">
        <f>"9560"</f>
        <v>9560</v>
      </c>
      <c r="B7640" t="str">
        <f t="shared" si="499"/>
        <v>1</v>
      </c>
      <c r="C7640" t="str">
        <f t="shared" si="502"/>
        <v>412</v>
      </c>
      <c r="D7640" t="str">
        <f>"1"</f>
        <v>1</v>
      </c>
      <c r="E7640" t="str">
        <f>"1-412-1"</f>
        <v>1-412-1</v>
      </c>
      <c r="F7640" t="s">
        <v>15</v>
      </c>
      <c r="G7640" t="s">
        <v>18</v>
      </c>
      <c r="H7640" t="s">
        <v>19</v>
      </c>
      <c r="I7640">
        <v>1</v>
      </c>
      <c r="J7640">
        <v>0</v>
      </c>
      <c r="K7640">
        <v>0</v>
      </c>
    </row>
    <row r="7641" spans="1:11" x14ac:dyDescent="0.25">
      <c r="A7641" t="str">
        <f>"9561"</f>
        <v>9561</v>
      </c>
      <c r="B7641" t="str">
        <f t="shared" si="499"/>
        <v>1</v>
      </c>
      <c r="C7641" t="str">
        <f t="shared" si="502"/>
        <v>412</v>
      </c>
      <c r="D7641" t="str">
        <f>"18"</f>
        <v>18</v>
      </c>
      <c r="E7641" t="str">
        <f>"1-412-18"</f>
        <v>1-412-18</v>
      </c>
      <c r="F7641" t="s">
        <v>15</v>
      </c>
      <c r="G7641" t="s">
        <v>18</v>
      </c>
      <c r="H7641" t="s">
        <v>19</v>
      </c>
      <c r="I7641">
        <v>0</v>
      </c>
      <c r="J7641">
        <v>1</v>
      </c>
      <c r="K7641">
        <v>0</v>
      </c>
    </row>
    <row r="7642" spans="1:11" x14ac:dyDescent="0.25">
      <c r="A7642" t="str">
        <f>"9562"</f>
        <v>9562</v>
      </c>
      <c r="B7642" t="str">
        <f t="shared" ref="B7642:B7699" si="503">"1"</f>
        <v>1</v>
      </c>
      <c r="C7642" t="str">
        <f t="shared" si="502"/>
        <v>412</v>
      </c>
      <c r="D7642" t="str">
        <f>"19"</f>
        <v>19</v>
      </c>
      <c r="E7642" t="str">
        <f>"1-412-19"</f>
        <v>1-412-19</v>
      </c>
      <c r="F7642" t="s">
        <v>15</v>
      </c>
      <c r="G7642" t="s">
        <v>18</v>
      </c>
      <c r="H7642" t="s">
        <v>19</v>
      </c>
      <c r="I7642">
        <v>0</v>
      </c>
      <c r="J7642">
        <v>1</v>
      </c>
      <c r="K7642">
        <v>0</v>
      </c>
    </row>
    <row r="7643" spans="1:11" x14ac:dyDescent="0.25">
      <c r="A7643" t="str">
        <f>"9563"</f>
        <v>9563</v>
      </c>
      <c r="B7643" t="str">
        <f t="shared" si="503"/>
        <v>1</v>
      </c>
      <c r="C7643" t="str">
        <f t="shared" si="502"/>
        <v>412</v>
      </c>
      <c r="D7643" t="str">
        <f>"4"</f>
        <v>4</v>
      </c>
      <c r="E7643" t="str">
        <f>"1-412-4"</f>
        <v>1-412-4</v>
      </c>
      <c r="F7643" t="s">
        <v>15</v>
      </c>
      <c r="G7643" t="s">
        <v>16</v>
      </c>
      <c r="H7643" t="s">
        <v>17</v>
      </c>
      <c r="I7643">
        <v>1</v>
      </c>
      <c r="J7643">
        <v>0</v>
      </c>
      <c r="K7643">
        <v>0</v>
      </c>
    </row>
    <row r="7644" spans="1:11" x14ac:dyDescent="0.25">
      <c r="A7644" t="str">
        <f>"9564"</f>
        <v>9564</v>
      </c>
      <c r="B7644" t="str">
        <f t="shared" si="503"/>
        <v>1</v>
      </c>
      <c r="C7644" t="str">
        <f t="shared" si="502"/>
        <v>412</v>
      </c>
      <c r="D7644" t="str">
        <f>"20"</f>
        <v>20</v>
      </c>
      <c r="E7644" t="str">
        <f>"1-412-20"</f>
        <v>1-412-20</v>
      </c>
      <c r="F7644" t="s">
        <v>15</v>
      </c>
      <c r="G7644" t="s">
        <v>16</v>
      </c>
      <c r="H7644" t="s">
        <v>17</v>
      </c>
      <c r="I7644">
        <v>1</v>
      </c>
      <c r="J7644">
        <v>0</v>
      </c>
      <c r="K7644">
        <v>0</v>
      </c>
    </row>
    <row r="7645" spans="1:11" x14ac:dyDescent="0.25">
      <c r="A7645" t="str">
        <f>"9565"</f>
        <v>9565</v>
      </c>
      <c r="B7645" t="str">
        <f t="shared" si="503"/>
        <v>1</v>
      </c>
      <c r="C7645" t="str">
        <f t="shared" si="502"/>
        <v>412</v>
      </c>
      <c r="D7645" t="str">
        <f>"12"</f>
        <v>12</v>
      </c>
      <c r="E7645" t="str">
        <f>"1-412-12"</f>
        <v>1-412-12</v>
      </c>
      <c r="F7645" t="s">
        <v>15</v>
      </c>
      <c r="G7645" t="s">
        <v>18</v>
      </c>
      <c r="H7645" t="s">
        <v>19</v>
      </c>
      <c r="I7645">
        <v>0</v>
      </c>
      <c r="J7645">
        <v>0</v>
      </c>
      <c r="K7645">
        <v>1</v>
      </c>
    </row>
    <row r="7646" spans="1:11" x14ac:dyDescent="0.25">
      <c r="A7646" t="str">
        <f>"9566"</f>
        <v>9566</v>
      </c>
      <c r="B7646" t="str">
        <f t="shared" si="503"/>
        <v>1</v>
      </c>
      <c r="C7646" t="str">
        <f t="shared" si="502"/>
        <v>412</v>
      </c>
      <c r="D7646" t="str">
        <f>"21"</f>
        <v>21</v>
      </c>
      <c r="E7646" t="str">
        <f>"1-412-21"</f>
        <v>1-412-21</v>
      </c>
      <c r="F7646" t="s">
        <v>15</v>
      </c>
      <c r="G7646" t="s">
        <v>18</v>
      </c>
      <c r="H7646" t="s">
        <v>19</v>
      </c>
      <c r="I7646">
        <v>1</v>
      </c>
      <c r="J7646">
        <v>0</v>
      </c>
      <c r="K7646">
        <v>0</v>
      </c>
    </row>
    <row r="7647" spans="1:11" x14ac:dyDescent="0.25">
      <c r="A7647" t="str">
        <f>"9567"</f>
        <v>9567</v>
      </c>
      <c r="B7647" t="str">
        <f t="shared" si="503"/>
        <v>1</v>
      </c>
      <c r="C7647" t="str">
        <f t="shared" si="502"/>
        <v>412</v>
      </c>
      <c r="D7647" t="str">
        <f>"13"</f>
        <v>13</v>
      </c>
      <c r="E7647" t="str">
        <f>"1-412-13"</f>
        <v>1-412-13</v>
      </c>
      <c r="F7647" t="s">
        <v>15</v>
      </c>
      <c r="G7647" t="s">
        <v>18</v>
      </c>
      <c r="H7647" t="s">
        <v>19</v>
      </c>
      <c r="I7647">
        <v>0</v>
      </c>
      <c r="J7647">
        <v>0</v>
      </c>
      <c r="K7647">
        <v>1</v>
      </c>
    </row>
    <row r="7648" spans="1:11" x14ac:dyDescent="0.25">
      <c r="A7648" t="str">
        <f>"9568"</f>
        <v>9568</v>
      </c>
      <c r="B7648" t="str">
        <f t="shared" si="503"/>
        <v>1</v>
      </c>
      <c r="C7648" t="str">
        <f t="shared" si="502"/>
        <v>412</v>
      </c>
      <c r="D7648" t="str">
        <f>"22"</f>
        <v>22</v>
      </c>
      <c r="E7648" t="str">
        <f>"1-412-22"</f>
        <v>1-412-22</v>
      </c>
      <c r="F7648" t="s">
        <v>15</v>
      </c>
      <c r="G7648" t="s">
        <v>18</v>
      </c>
      <c r="H7648" t="s">
        <v>19</v>
      </c>
      <c r="I7648">
        <v>1</v>
      </c>
      <c r="J7648">
        <v>0</v>
      </c>
      <c r="K7648">
        <v>0</v>
      </c>
    </row>
    <row r="7649" spans="1:11" x14ac:dyDescent="0.25">
      <c r="A7649" t="str">
        <f>"9569"</f>
        <v>9569</v>
      </c>
      <c r="B7649" t="str">
        <f t="shared" si="503"/>
        <v>1</v>
      </c>
      <c r="C7649" t="str">
        <f t="shared" si="502"/>
        <v>412</v>
      </c>
      <c r="D7649" t="str">
        <f>"7"</f>
        <v>7</v>
      </c>
      <c r="E7649" t="str">
        <f>"1-412-7"</f>
        <v>1-412-7</v>
      </c>
      <c r="F7649" t="s">
        <v>15</v>
      </c>
      <c r="G7649" t="s">
        <v>18</v>
      </c>
      <c r="H7649" t="s">
        <v>19</v>
      </c>
      <c r="I7649">
        <v>0</v>
      </c>
      <c r="J7649">
        <v>1</v>
      </c>
      <c r="K7649">
        <v>0</v>
      </c>
    </row>
    <row r="7650" spans="1:11" x14ac:dyDescent="0.25">
      <c r="A7650" t="str">
        <f>"9570"</f>
        <v>9570</v>
      </c>
      <c r="B7650" t="str">
        <f t="shared" si="503"/>
        <v>1</v>
      </c>
      <c r="C7650" t="str">
        <f t="shared" si="502"/>
        <v>412</v>
      </c>
      <c r="D7650" t="str">
        <f>"3"</f>
        <v>3</v>
      </c>
      <c r="E7650" t="str">
        <f>"1-412-3"</f>
        <v>1-412-3</v>
      </c>
      <c r="F7650" t="s">
        <v>15</v>
      </c>
      <c r="G7650" t="s">
        <v>18</v>
      </c>
      <c r="H7650" t="s">
        <v>19</v>
      </c>
      <c r="I7650">
        <v>0</v>
      </c>
      <c r="J7650">
        <v>0</v>
      </c>
      <c r="K7650">
        <v>1</v>
      </c>
    </row>
    <row r="7651" spans="1:11" x14ac:dyDescent="0.25">
      <c r="A7651" t="str">
        <f>"9571"</f>
        <v>9571</v>
      </c>
      <c r="B7651" t="str">
        <f t="shared" si="503"/>
        <v>1</v>
      </c>
      <c r="C7651" t="str">
        <f t="shared" si="502"/>
        <v>412</v>
      </c>
      <c r="D7651" t="str">
        <f>"25"</f>
        <v>25</v>
      </c>
      <c r="E7651" t="str">
        <f>"1-412-25"</f>
        <v>1-412-25</v>
      </c>
      <c r="F7651" t="s">
        <v>15</v>
      </c>
      <c r="G7651" t="s">
        <v>18</v>
      </c>
      <c r="H7651" t="s">
        <v>19</v>
      </c>
      <c r="I7651">
        <v>1</v>
      </c>
      <c r="J7651">
        <v>0</v>
      </c>
      <c r="K7651">
        <v>0</v>
      </c>
    </row>
    <row r="7652" spans="1:11" x14ac:dyDescent="0.25">
      <c r="A7652" t="str">
        <f>"9572"</f>
        <v>9572</v>
      </c>
      <c r="B7652" t="str">
        <f t="shared" si="503"/>
        <v>1</v>
      </c>
      <c r="C7652" t="str">
        <f t="shared" si="502"/>
        <v>412</v>
      </c>
      <c r="D7652" t="str">
        <f>"8"</f>
        <v>8</v>
      </c>
      <c r="E7652" t="str">
        <f>"1-412-8"</f>
        <v>1-412-8</v>
      </c>
      <c r="F7652" t="s">
        <v>15</v>
      </c>
      <c r="G7652" t="s">
        <v>18</v>
      </c>
      <c r="H7652" t="s">
        <v>19</v>
      </c>
      <c r="I7652">
        <v>0</v>
      </c>
      <c r="J7652">
        <v>1</v>
      </c>
      <c r="K7652">
        <v>0</v>
      </c>
    </row>
    <row r="7653" spans="1:11" x14ac:dyDescent="0.25">
      <c r="A7653" t="str">
        <f>"9573"</f>
        <v>9573</v>
      </c>
      <c r="B7653" t="str">
        <f t="shared" si="503"/>
        <v>1</v>
      </c>
      <c r="C7653" t="str">
        <f t="shared" si="502"/>
        <v>412</v>
      </c>
      <c r="D7653" t="str">
        <f>"6"</f>
        <v>6</v>
      </c>
      <c r="E7653" t="str">
        <f>"1-412-6"</f>
        <v>1-412-6</v>
      </c>
      <c r="F7653" t="s">
        <v>15</v>
      </c>
      <c r="G7653" t="s">
        <v>18</v>
      </c>
      <c r="H7653" t="s">
        <v>19</v>
      </c>
      <c r="I7653">
        <v>0</v>
      </c>
      <c r="J7653">
        <v>0</v>
      </c>
      <c r="K7653">
        <v>1</v>
      </c>
    </row>
    <row r="7654" spans="1:11" x14ac:dyDescent="0.25">
      <c r="A7654" t="str">
        <f>"9574"</f>
        <v>9574</v>
      </c>
      <c r="B7654" t="str">
        <f t="shared" si="503"/>
        <v>1</v>
      </c>
      <c r="C7654" t="str">
        <f t="shared" si="502"/>
        <v>412</v>
      </c>
      <c r="D7654" t="str">
        <f>"14"</f>
        <v>14</v>
      </c>
      <c r="E7654" t="str">
        <f>"1-412-14"</f>
        <v>1-412-14</v>
      </c>
      <c r="F7654" t="s">
        <v>15</v>
      </c>
      <c r="G7654" t="s">
        <v>18</v>
      </c>
      <c r="H7654" t="s">
        <v>19</v>
      </c>
      <c r="I7654">
        <v>1</v>
      </c>
      <c r="J7654">
        <v>0</v>
      </c>
      <c r="K7654">
        <v>0</v>
      </c>
    </row>
    <row r="7655" spans="1:11" x14ac:dyDescent="0.25">
      <c r="A7655" t="str">
        <f>"9575"</f>
        <v>9575</v>
      </c>
      <c r="B7655" t="str">
        <f t="shared" si="503"/>
        <v>1</v>
      </c>
      <c r="C7655" t="str">
        <f t="shared" si="502"/>
        <v>412</v>
      </c>
      <c r="D7655" t="str">
        <f>"11"</f>
        <v>11</v>
      </c>
      <c r="E7655" t="str">
        <f>"1-412-11"</f>
        <v>1-412-11</v>
      </c>
      <c r="F7655" t="s">
        <v>15</v>
      </c>
      <c r="G7655" t="s">
        <v>18</v>
      </c>
      <c r="H7655" t="s">
        <v>19</v>
      </c>
      <c r="I7655">
        <v>1</v>
      </c>
      <c r="J7655">
        <v>0</v>
      </c>
      <c r="K7655">
        <v>0</v>
      </c>
    </row>
    <row r="7656" spans="1:11" x14ac:dyDescent="0.25">
      <c r="A7656" t="str">
        <f>"9576"</f>
        <v>9576</v>
      </c>
      <c r="B7656" t="str">
        <f t="shared" si="503"/>
        <v>1</v>
      </c>
      <c r="C7656" t="str">
        <f t="shared" si="502"/>
        <v>412</v>
      </c>
      <c r="D7656" t="str">
        <f>"5"</f>
        <v>5</v>
      </c>
      <c r="E7656" t="str">
        <f>"1-412-5"</f>
        <v>1-412-5</v>
      </c>
      <c r="F7656" t="s">
        <v>15</v>
      </c>
      <c r="G7656" t="s">
        <v>18</v>
      </c>
      <c r="H7656" t="s">
        <v>19</v>
      </c>
      <c r="I7656">
        <v>0</v>
      </c>
      <c r="J7656">
        <v>0</v>
      </c>
      <c r="K7656">
        <v>0</v>
      </c>
    </row>
    <row r="7657" spans="1:11" x14ac:dyDescent="0.25">
      <c r="A7657" t="str">
        <f>"9577"</f>
        <v>9577</v>
      </c>
      <c r="B7657" t="str">
        <f t="shared" si="503"/>
        <v>1</v>
      </c>
      <c r="C7657" t="str">
        <f t="shared" si="502"/>
        <v>412</v>
      </c>
      <c r="D7657" t="str">
        <f>"17"</f>
        <v>17</v>
      </c>
      <c r="E7657" t="str">
        <f>"1-412-17"</f>
        <v>1-412-17</v>
      </c>
      <c r="F7657" t="s">
        <v>15</v>
      </c>
      <c r="G7657" t="s">
        <v>18</v>
      </c>
      <c r="H7657" t="s">
        <v>19</v>
      </c>
      <c r="I7657">
        <v>0</v>
      </c>
      <c r="J7657">
        <v>0</v>
      </c>
      <c r="K7657">
        <v>0</v>
      </c>
    </row>
    <row r="7658" spans="1:11" x14ac:dyDescent="0.25">
      <c r="A7658" t="str">
        <f>"9578"</f>
        <v>9578</v>
      </c>
      <c r="B7658" t="str">
        <f t="shared" si="503"/>
        <v>1</v>
      </c>
      <c r="C7658" t="str">
        <f t="shared" si="502"/>
        <v>412</v>
      </c>
      <c r="D7658" t="str">
        <f>"16"</f>
        <v>16</v>
      </c>
      <c r="E7658" t="str">
        <f>"1-412-16"</f>
        <v>1-412-16</v>
      </c>
      <c r="F7658" t="s">
        <v>15</v>
      </c>
      <c r="G7658" t="s">
        <v>18</v>
      </c>
      <c r="H7658" t="s">
        <v>19</v>
      </c>
      <c r="I7658">
        <v>0</v>
      </c>
      <c r="J7658">
        <v>0</v>
      </c>
      <c r="K7658">
        <v>0</v>
      </c>
    </row>
    <row r="7659" spans="1:11" x14ac:dyDescent="0.25">
      <c r="A7659" t="str">
        <f>"9579"</f>
        <v>9579</v>
      </c>
      <c r="B7659" t="str">
        <f t="shared" si="503"/>
        <v>1</v>
      </c>
      <c r="C7659" t="str">
        <f t="shared" si="502"/>
        <v>412</v>
      </c>
      <c r="D7659" t="str">
        <f>"23"</f>
        <v>23</v>
      </c>
      <c r="E7659" t="str">
        <f>"1-412-23"</f>
        <v>1-412-23</v>
      </c>
      <c r="F7659" t="s">
        <v>15</v>
      </c>
      <c r="G7659" t="s">
        <v>18</v>
      </c>
      <c r="H7659" t="s">
        <v>19</v>
      </c>
      <c r="I7659">
        <v>0</v>
      </c>
      <c r="J7659">
        <v>0</v>
      </c>
      <c r="K7659">
        <v>0</v>
      </c>
    </row>
    <row r="7660" spans="1:11" x14ac:dyDescent="0.25">
      <c r="A7660" t="str">
        <f>"9580"</f>
        <v>9580</v>
      </c>
      <c r="B7660" t="str">
        <f t="shared" si="503"/>
        <v>1</v>
      </c>
      <c r="C7660" t="str">
        <f t="shared" si="502"/>
        <v>412</v>
      </c>
      <c r="D7660" t="str">
        <f>"9"</f>
        <v>9</v>
      </c>
      <c r="E7660" t="str">
        <f>"1-412-9"</f>
        <v>1-412-9</v>
      </c>
      <c r="F7660" t="s">
        <v>15</v>
      </c>
      <c r="G7660" t="s">
        <v>18</v>
      </c>
      <c r="H7660" t="s">
        <v>19</v>
      </c>
      <c r="I7660">
        <v>0</v>
      </c>
      <c r="J7660">
        <v>1</v>
      </c>
      <c r="K7660">
        <v>0</v>
      </c>
    </row>
    <row r="7661" spans="1:11" x14ac:dyDescent="0.25">
      <c r="A7661" t="str">
        <f>"9581"</f>
        <v>9581</v>
      </c>
      <c r="B7661" t="str">
        <f t="shared" si="503"/>
        <v>1</v>
      </c>
      <c r="C7661" t="str">
        <f t="shared" ref="C7661:C7679" si="504">"413"</f>
        <v>413</v>
      </c>
      <c r="D7661" t="str">
        <f>"15"</f>
        <v>15</v>
      </c>
      <c r="E7661" t="str">
        <f>"1-413-15"</f>
        <v>1-413-15</v>
      </c>
      <c r="F7661" t="s">
        <v>15</v>
      </c>
      <c r="G7661" t="s">
        <v>20</v>
      </c>
      <c r="H7661" t="s">
        <v>21</v>
      </c>
      <c r="I7661">
        <v>0</v>
      </c>
      <c r="J7661">
        <v>1</v>
      </c>
      <c r="K7661">
        <v>0</v>
      </c>
    </row>
    <row r="7662" spans="1:11" x14ac:dyDescent="0.25">
      <c r="A7662" t="str">
        <f>"9582"</f>
        <v>9582</v>
      </c>
      <c r="B7662" t="str">
        <f t="shared" si="503"/>
        <v>1</v>
      </c>
      <c r="C7662" t="str">
        <f t="shared" si="504"/>
        <v>413</v>
      </c>
      <c r="D7662" t="str">
        <f>"2"</f>
        <v>2</v>
      </c>
      <c r="E7662" t="str">
        <f>"1-413-2"</f>
        <v>1-413-2</v>
      </c>
      <c r="F7662" t="s">
        <v>15</v>
      </c>
      <c r="G7662" t="s">
        <v>20</v>
      </c>
      <c r="H7662" t="s">
        <v>21</v>
      </c>
      <c r="I7662">
        <v>1</v>
      </c>
      <c r="J7662">
        <v>0</v>
      </c>
      <c r="K7662">
        <v>0</v>
      </c>
    </row>
    <row r="7663" spans="1:11" x14ac:dyDescent="0.25">
      <c r="A7663" t="str">
        <f>"9584"</f>
        <v>9584</v>
      </c>
      <c r="B7663" t="str">
        <f t="shared" si="503"/>
        <v>1</v>
      </c>
      <c r="C7663" t="str">
        <f t="shared" si="504"/>
        <v>413</v>
      </c>
      <c r="D7663" t="str">
        <f>"4"</f>
        <v>4</v>
      </c>
      <c r="E7663" t="str">
        <f>"1-413-4"</f>
        <v>1-413-4</v>
      </c>
      <c r="F7663" t="s">
        <v>15</v>
      </c>
      <c r="G7663" t="s">
        <v>20</v>
      </c>
      <c r="H7663" t="s">
        <v>21</v>
      </c>
      <c r="I7663">
        <v>0</v>
      </c>
      <c r="J7663">
        <v>0</v>
      </c>
      <c r="K7663">
        <v>1</v>
      </c>
    </row>
    <row r="7664" spans="1:11" x14ac:dyDescent="0.25">
      <c r="A7664" t="str">
        <f>"9586"</f>
        <v>9586</v>
      </c>
      <c r="B7664" t="str">
        <f t="shared" si="503"/>
        <v>1</v>
      </c>
      <c r="C7664" t="str">
        <f t="shared" si="504"/>
        <v>413</v>
      </c>
      <c r="D7664" t="str">
        <f>"18"</f>
        <v>18</v>
      </c>
      <c r="E7664" t="str">
        <f>"1-413-18"</f>
        <v>1-413-18</v>
      </c>
      <c r="F7664" t="s">
        <v>15</v>
      </c>
      <c r="G7664" t="s">
        <v>20</v>
      </c>
      <c r="H7664" t="s">
        <v>21</v>
      </c>
      <c r="I7664">
        <v>1</v>
      </c>
      <c r="J7664">
        <v>0</v>
      </c>
      <c r="K7664">
        <v>0</v>
      </c>
    </row>
    <row r="7665" spans="1:11" x14ac:dyDescent="0.25">
      <c r="A7665" t="str">
        <f>"9587"</f>
        <v>9587</v>
      </c>
      <c r="B7665" t="str">
        <f t="shared" si="503"/>
        <v>1</v>
      </c>
      <c r="C7665" t="str">
        <f t="shared" si="504"/>
        <v>413</v>
      </c>
      <c r="D7665" t="str">
        <f>"7"</f>
        <v>7</v>
      </c>
      <c r="E7665" t="str">
        <f>"1-413-7"</f>
        <v>1-413-7</v>
      </c>
      <c r="F7665" t="s">
        <v>15</v>
      </c>
      <c r="G7665" t="s">
        <v>20</v>
      </c>
      <c r="H7665" t="s">
        <v>21</v>
      </c>
      <c r="I7665">
        <v>1</v>
      </c>
      <c r="J7665">
        <v>0</v>
      </c>
      <c r="K7665">
        <v>0</v>
      </c>
    </row>
    <row r="7666" spans="1:11" x14ac:dyDescent="0.25">
      <c r="A7666" t="str">
        <f>"9590"</f>
        <v>9590</v>
      </c>
      <c r="B7666" t="str">
        <f t="shared" si="503"/>
        <v>1</v>
      </c>
      <c r="C7666" t="str">
        <f t="shared" si="504"/>
        <v>413</v>
      </c>
      <c r="D7666" t="str">
        <f>"21"</f>
        <v>21</v>
      </c>
      <c r="E7666" t="str">
        <f>"1-413-21"</f>
        <v>1-413-21</v>
      </c>
      <c r="F7666" t="s">
        <v>15</v>
      </c>
      <c r="G7666" t="s">
        <v>20</v>
      </c>
      <c r="H7666" t="s">
        <v>21</v>
      </c>
      <c r="I7666">
        <v>0</v>
      </c>
      <c r="J7666">
        <v>0</v>
      </c>
      <c r="K7666">
        <v>1</v>
      </c>
    </row>
    <row r="7667" spans="1:11" x14ac:dyDescent="0.25">
      <c r="A7667" t="str">
        <f>"9592"</f>
        <v>9592</v>
      </c>
      <c r="B7667" t="str">
        <f t="shared" si="503"/>
        <v>1</v>
      </c>
      <c r="C7667" t="str">
        <f t="shared" si="504"/>
        <v>413</v>
      </c>
      <c r="D7667" t="str">
        <f>"22"</f>
        <v>22</v>
      </c>
      <c r="E7667" t="str">
        <f>"1-413-22"</f>
        <v>1-413-22</v>
      </c>
      <c r="F7667" t="s">
        <v>15</v>
      </c>
      <c r="G7667" t="s">
        <v>20</v>
      </c>
      <c r="H7667" t="s">
        <v>21</v>
      </c>
      <c r="I7667">
        <v>1</v>
      </c>
      <c r="J7667">
        <v>0</v>
      </c>
      <c r="K7667">
        <v>0</v>
      </c>
    </row>
    <row r="7668" spans="1:11" x14ac:dyDescent="0.25">
      <c r="A7668" t="str">
        <f>"9593"</f>
        <v>9593</v>
      </c>
      <c r="B7668" t="str">
        <f t="shared" si="503"/>
        <v>1</v>
      </c>
      <c r="C7668" t="str">
        <f t="shared" si="504"/>
        <v>413</v>
      </c>
      <c r="D7668" t="str">
        <f>"9"</f>
        <v>9</v>
      </c>
      <c r="E7668" t="str">
        <f>"1-413-9"</f>
        <v>1-413-9</v>
      </c>
      <c r="F7668" t="s">
        <v>15</v>
      </c>
      <c r="G7668" t="s">
        <v>20</v>
      </c>
      <c r="H7668" t="s">
        <v>21</v>
      </c>
      <c r="I7668">
        <v>1</v>
      </c>
      <c r="J7668">
        <v>0</v>
      </c>
      <c r="K7668">
        <v>0</v>
      </c>
    </row>
    <row r="7669" spans="1:11" x14ac:dyDescent="0.25">
      <c r="A7669" t="str">
        <f>"9594"</f>
        <v>9594</v>
      </c>
      <c r="B7669" t="str">
        <f t="shared" si="503"/>
        <v>1</v>
      </c>
      <c r="C7669" t="str">
        <f t="shared" si="504"/>
        <v>413</v>
      </c>
      <c r="D7669" t="str">
        <f>"23"</f>
        <v>23</v>
      </c>
      <c r="E7669" t="str">
        <f>"1-413-23"</f>
        <v>1-413-23</v>
      </c>
      <c r="F7669" t="s">
        <v>15</v>
      </c>
      <c r="G7669" t="s">
        <v>20</v>
      </c>
      <c r="H7669" t="s">
        <v>21</v>
      </c>
      <c r="I7669">
        <v>0</v>
      </c>
      <c r="J7669">
        <v>0</v>
      </c>
      <c r="K7669">
        <v>1</v>
      </c>
    </row>
    <row r="7670" spans="1:11" x14ac:dyDescent="0.25">
      <c r="A7670" t="str">
        <f>"9595"</f>
        <v>9595</v>
      </c>
      <c r="B7670" t="str">
        <f t="shared" si="503"/>
        <v>1</v>
      </c>
      <c r="C7670" t="str">
        <f t="shared" si="504"/>
        <v>413</v>
      </c>
      <c r="D7670" t="str">
        <f>"12"</f>
        <v>12</v>
      </c>
      <c r="E7670" t="str">
        <f>"1-413-12"</f>
        <v>1-413-12</v>
      </c>
      <c r="F7670" t="s">
        <v>15</v>
      </c>
      <c r="G7670" t="s">
        <v>20</v>
      </c>
      <c r="H7670" t="s">
        <v>21</v>
      </c>
      <c r="I7670">
        <v>0</v>
      </c>
      <c r="J7670">
        <v>1</v>
      </c>
      <c r="K7670">
        <v>0</v>
      </c>
    </row>
    <row r="7671" spans="1:11" x14ac:dyDescent="0.25">
      <c r="A7671" t="str">
        <f>"9597"</f>
        <v>9597</v>
      </c>
      <c r="B7671" t="str">
        <f t="shared" si="503"/>
        <v>1</v>
      </c>
      <c r="C7671" t="str">
        <f t="shared" si="504"/>
        <v>413</v>
      </c>
      <c r="D7671" t="str">
        <f>"11"</f>
        <v>11</v>
      </c>
      <c r="E7671" t="str">
        <f>"1-413-11"</f>
        <v>1-413-11</v>
      </c>
      <c r="F7671" t="s">
        <v>15</v>
      </c>
      <c r="G7671" t="s">
        <v>20</v>
      </c>
      <c r="H7671" t="s">
        <v>21</v>
      </c>
      <c r="I7671">
        <v>1</v>
      </c>
      <c r="J7671">
        <v>0</v>
      </c>
      <c r="K7671">
        <v>0</v>
      </c>
    </row>
    <row r="7672" spans="1:11" x14ac:dyDescent="0.25">
      <c r="A7672" t="str">
        <f>"9598"</f>
        <v>9598</v>
      </c>
      <c r="B7672" t="str">
        <f t="shared" si="503"/>
        <v>1</v>
      </c>
      <c r="C7672" t="str">
        <f t="shared" si="504"/>
        <v>413</v>
      </c>
      <c r="D7672" t="str">
        <f>"8"</f>
        <v>8</v>
      </c>
      <c r="E7672" t="str">
        <f>"1-413-8"</f>
        <v>1-413-8</v>
      </c>
      <c r="F7672" t="s">
        <v>15</v>
      </c>
      <c r="G7672" t="s">
        <v>20</v>
      </c>
      <c r="H7672" t="s">
        <v>21</v>
      </c>
      <c r="I7672">
        <v>1</v>
      </c>
      <c r="J7672">
        <v>0</v>
      </c>
      <c r="K7672">
        <v>0</v>
      </c>
    </row>
    <row r="7673" spans="1:11" x14ac:dyDescent="0.25">
      <c r="A7673" t="str">
        <f>"9599"</f>
        <v>9599</v>
      </c>
      <c r="B7673" t="str">
        <f t="shared" si="503"/>
        <v>1</v>
      </c>
      <c r="C7673" t="str">
        <f t="shared" si="504"/>
        <v>413</v>
      </c>
      <c r="D7673" t="str">
        <f>"6"</f>
        <v>6</v>
      </c>
      <c r="E7673" t="str">
        <f>"1-413-6"</f>
        <v>1-413-6</v>
      </c>
      <c r="F7673" t="s">
        <v>15</v>
      </c>
      <c r="G7673" t="s">
        <v>20</v>
      </c>
      <c r="H7673" t="s">
        <v>21</v>
      </c>
      <c r="I7673">
        <v>0</v>
      </c>
      <c r="J7673">
        <v>1</v>
      </c>
      <c r="K7673">
        <v>0</v>
      </c>
    </row>
    <row r="7674" spans="1:11" x14ac:dyDescent="0.25">
      <c r="A7674" t="str">
        <f>"9600"</f>
        <v>9600</v>
      </c>
      <c r="B7674" t="str">
        <f t="shared" si="503"/>
        <v>1</v>
      </c>
      <c r="C7674" t="str">
        <f t="shared" si="504"/>
        <v>413</v>
      </c>
      <c r="D7674" t="str">
        <f>"1"</f>
        <v>1</v>
      </c>
      <c r="E7674" t="str">
        <f>"1-413-1"</f>
        <v>1-413-1</v>
      </c>
      <c r="F7674" t="s">
        <v>15</v>
      </c>
      <c r="G7674" t="s">
        <v>20</v>
      </c>
      <c r="H7674" t="s">
        <v>21</v>
      </c>
      <c r="I7674">
        <v>0</v>
      </c>
      <c r="J7674">
        <v>0</v>
      </c>
      <c r="K7674">
        <v>0</v>
      </c>
    </row>
    <row r="7675" spans="1:11" x14ac:dyDescent="0.25">
      <c r="A7675" t="str">
        <f>"9601"</f>
        <v>9601</v>
      </c>
      <c r="B7675" t="str">
        <f t="shared" si="503"/>
        <v>1</v>
      </c>
      <c r="C7675" t="str">
        <f t="shared" si="504"/>
        <v>413</v>
      </c>
      <c r="D7675" t="str">
        <f>"13"</f>
        <v>13</v>
      </c>
      <c r="E7675" t="str">
        <f>"1-413-13"</f>
        <v>1-413-13</v>
      </c>
      <c r="F7675" t="s">
        <v>15</v>
      </c>
      <c r="G7675" t="s">
        <v>20</v>
      </c>
      <c r="H7675" t="s">
        <v>21</v>
      </c>
      <c r="I7675">
        <v>0</v>
      </c>
      <c r="J7675">
        <v>0</v>
      </c>
      <c r="K7675">
        <v>0</v>
      </c>
    </row>
    <row r="7676" spans="1:11" x14ac:dyDescent="0.25">
      <c r="A7676" t="str">
        <f>"9602"</f>
        <v>9602</v>
      </c>
      <c r="B7676" t="str">
        <f t="shared" si="503"/>
        <v>1</v>
      </c>
      <c r="C7676" t="str">
        <f t="shared" si="504"/>
        <v>413</v>
      </c>
      <c r="D7676" t="str">
        <f>"20"</f>
        <v>20</v>
      </c>
      <c r="E7676" t="str">
        <f>"1-413-20"</f>
        <v>1-413-20</v>
      </c>
      <c r="F7676" t="s">
        <v>15</v>
      </c>
      <c r="G7676" t="s">
        <v>20</v>
      </c>
      <c r="H7676" t="s">
        <v>21</v>
      </c>
      <c r="I7676">
        <v>0</v>
      </c>
      <c r="J7676">
        <v>0</v>
      </c>
      <c r="K7676">
        <v>0</v>
      </c>
    </row>
    <row r="7677" spans="1:11" x14ac:dyDescent="0.25">
      <c r="A7677" t="str">
        <f>"9603"</f>
        <v>9603</v>
      </c>
      <c r="B7677" t="str">
        <f t="shared" si="503"/>
        <v>1</v>
      </c>
      <c r="C7677" t="str">
        <f t="shared" si="504"/>
        <v>413</v>
      </c>
      <c r="D7677" t="str">
        <f>"24"</f>
        <v>24</v>
      </c>
      <c r="E7677" t="str">
        <f>"1-413-24"</f>
        <v>1-413-24</v>
      </c>
      <c r="F7677" t="s">
        <v>15</v>
      </c>
      <c r="G7677" t="s">
        <v>20</v>
      </c>
      <c r="H7677" t="s">
        <v>21</v>
      </c>
      <c r="I7677">
        <v>0</v>
      </c>
      <c r="J7677">
        <v>0</v>
      </c>
      <c r="K7677">
        <v>0</v>
      </c>
    </row>
    <row r="7678" spans="1:11" x14ac:dyDescent="0.25">
      <c r="A7678" t="str">
        <f>"9604"</f>
        <v>9604</v>
      </c>
      <c r="B7678" t="str">
        <f t="shared" si="503"/>
        <v>1</v>
      </c>
      <c r="C7678" t="str">
        <f t="shared" si="504"/>
        <v>413</v>
      </c>
      <c r="D7678" t="str">
        <f>"19"</f>
        <v>19</v>
      </c>
      <c r="E7678" t="str">
        <f>"1-413-19"</f>
        <v>1-413-19</v>
      </c>
      <c r="F7678" t="s">
        <v>15</v>
      </c>
      <c r="G7678" t="s">
        <v>20</v>
      </c>
      <c r="H7678" t="s">
        <v>21</v>
      </c>
      <c r="I7678">
        <v>0</v>
      </c>
      <c r="J7678">
        <v>0</v>
      </c>
      <c r="K7678">
        <v>0</v>
      </c>
    </row>
    <row r="7679" spans="1:11" x14ac:dyDescent="0.25">
      <c r="A7679" t="str">
        <f>"9605"</f>
        <v>9605</v>
      </c>
      <c r="B7679" t="str">
        <f t="shared" si="503"/>
        <v>1</v>
      </c>
      <c r="C7679" t="str">
        <f t="shared" si="504"/>
        <v>413</v>
      </c>
      <c r="D7679" t="str">
        <f>"10"</f>
        <v>10</v>
      </c>
      <c r="E7679" t="str">
        <f>"1-413-10"</f>
        <v>1-413-10</v>
      </c>
      <c r="F7679" t="s">
        <v>15</v>
      </c>
      <c r="G7679" t="s">
        <v>20</v>
      </c>
      <c r="H7679" t="s">
        <v>21</v>
      </c>
      <c r="I7679">
        <v>0</v>
      </c>
      <c r="J7679">
        <v>0</v>
      </c>
      <c r="K7679">
        <v>0</v>
      </c>
    </row>
    <row r="7680" spans="1:11" x14ac:dyDescent="0.25">
      <c r="A7680" t="str">
        <f>"9606"</f>
        <v>9606</v>
      </c>
      <c r="B7680" t="str">
        <f t="shared" si="503"/>
        <v>1</v>
      </c>
      <c r="C7680" t="str">
        <f t="shared" ref="C7680:C7705" si="505">"414"</f>
        <v>414</v>
      </c>
      <c r="D7680" t="str">
        <f>"15"</f>
        <v>15</v>
      </c>
      <c r="E7680" t="str">
        <f>"1-414-15"</f>
        <v>1-414-15</v>
      </c>
      <c r="F7680" t="s">
        <v>15</v>
      </c>
      <c r="G7680" t="s">
        <v>20</v>
      </c>
      <c r="H7680" t="s">
        <v>21</v>
      </c>
      <c r="I7680">
        <v>1</v>
      </c>
      <c r="J7680">
        <v>0</v>
      </c>
      <c r="K7680">
        <v>0</v>
      </c>
    </row>
    <row r="7681" spans="1:11" x14ac:dyDescent="0.25">
      <c r="A7681" t="str">
        <f>"9607"</f>
        <v>9607</v>
      </c>
      <c r="B7681" t="str">
        <f t="shared" si="503"/>
        <v>1</v>
      </c>
      <c r="C7681" t="str">
        <f t="shared" si="505"/>
        <v>414</v>
      </c>
      <c r="D7681" t="str">
        <f>"1"</f>
        <v>1</v>
      </c>
      <c r="E7681" t="str">
        <f>"1-414-1"</f>
        <v>1-414-1</v>
      </c>
      <c r="F7681" t="s">
        <v>15</v>
      </c>
      <c r="G7681" t="s">
        <v>20</v>
      </c>
      <c r="H7681" t="s">
        <v>21</v>
      </c>
      <c r="I7681">
        <v>1</v>
      </c>
      <c r="J7681">
        <v>0</v>
      </c>
      <c r="K7681">
        <v>0</v>
      </c>
    </row>
    <row r="7682" spans="1:11" x14ac:dyDescent="0.25">
      <c r="A7682" t="str">
        <f>"9608"</f>
        <v>9608</v>
      </c>
      <c r="B7682" t="str">
        <f t="shared" si="503"/>
        <v>1</v>
      </c>
      <c r="C7682" t="str">
        <f t="shared" si="505"/>
        <v>414</v>
      </c>
      <c r="D7682" t="str">
        <f>"16"</f>
        <v>16</v>
      </c>
      <c r="E7682" t="str">
        <f>"1-414-16"</f>
        <v>1-414-16</v>
      </c>
      <c r="F7682" t="s">
        <v>15</v>
      </c>
      <c r="G7682" t="s">
        <v>20</v>
      </c>
      <c r="H7682" t="s">
        <v>21</v>
      </c>
      <c r="I7682">
        <v>0</v>
      </c>
      <c r="J7682">
        <v>0</v>
      </c>
      <c r="K7682">
        <v>1</v>
      </c>
    </row>
    <row r="7683" spans="1:11" x14ac:dyDescent="0.25">
      <c r="A7683" t="str">
        <f>"9609"</f>
        <v>9609</v>
      </c>
      <c r="B7683" t="str">
        <f t="shared" si="503"/>
        <v>1</v>
      </c>
      <c r="C7683" t="str">
        <f t="shared" si="505"/>
        <v>414</v>
      </c>
      <c r="D7683" t="str">
        <f>"5"</f>
        <v>5</v>
      </c>
      <c r="E7683" t="str">
        <f>"1-414-5"</f>
        <v>1-414-5</v>
      </c>
      <c r="F7683" t="s">
        <v>15</v>
      </c>
      <c r="G7683" t="s">
        <v>20</v>
      </c>
      <c r="H7683" t="s">
        <v>21</v>
      </c>
      <c r="I7683">
        <v>1</v>
      </c>
      <c r="J7683">
        <v>0</v>
      </c>
      <c r="K7683">
        <v>0</v>
      </c>
    </row>
    <row r="7684" spans="1:11" x14ac:dyDescent="0.25">
      <c r="A7684" t="str">
        <f>"9610"</f>
        <v>9610</v>
      </c>
      <c r="B7684" t="str">
        <f t="shared" si="503"/>
        <v>1</v>
      </c>
      <c r="C7684" t="str">
        <f t="shared" si="505"/>
        <v>414</v>
      </c>
      <c r="D7684" t="str">
        <f>"17"</f>
        <v>17</v>
      </c>
      <c r="E7684" t="str">
        <f>"1-414-17"</f>
        <v>1-414-17</v>
      </c>
      <c r="F7684" t="s">
        <v>15</v>
      </c>
      <c r="G7684" t="s">
        <v>20</v>
      </c>
      <c r="H7684" t="s">
        <v>21</v>
      </c>
      <c r="I7684">
        <v>1</v>
      </c>
      <c r="J7684">
        <v>0</v>
      </c>
      <c r="K7684">
        <v>0</v>
      </c>
    </row>
    <row r="7685" spans="1:11" x14ac:dyDescent="0.25">
      <c r="A7685" t="str">
        <f>"9611"</f>
        <v>9611</v>
      </c>
      <c r="B7685" t="str">
        <f t="shared" si="503"/>
        <v>1</v>
      </c>
      <c r="C7685" t="str">
        <f t="shared" si="505"/>
        <v>414</v>
      </c>
      <c r="D7685" t="str">
        <f>"8"</f>
        <v>8</v>
      </c>
      <c r="E7685" t="str">
        <f>"1-414-8"</f>
        <v>1-414-8</v>
      </c>
      <c r="F7685" t="s">
        <v>15</v>
      </c>
      <c r="G7685" t="s">
        <v>20</v>
      </c>
      <c r="H7685" t="s">
        <v>21</v>
      </c>
      <c r="I7685">
        <v>0</v>
      </c>
      <c r="J7685">
        <v>0</v>
      </c>
      <c r="K7685">
        <v>1</v>
      </c>
    </row>
    <row r="7686" spans="1:11" x14ac:dyDescent="0.25">
      <c r="A7686" t="str">
        <f>"9612"</f>
        <v>9612</v>
      </c>
      <c r="B7686" t="str">
        <f t="shared" si="503"/>
        <v>1</v>
      </c>
      <c r="C7686" t="str">
        <f t="shared" si="505"/>
        <v>414</v>
      </c>
      <c r="D7686" t="str">
        <f>"18"</f>
        <v>18</v>
      </c>
      <c r="E7686" t="str">
        <f>"1-414-18"</f>
        <v>1-414-18</v>
      </c>
      <c r="F7686" t="s">
        <v>15</v>
      </c>
      <c r="G7686" t="s">
        <v>20</v>
      </c>
      <c r="H7686" t="s">
        <v>21</v>
      </c>
      <c r="I7686">
        <v>1</v>
      </c>
      <c r="J7686">
        <v>0</v>
      </c>
      <c r="K7686">
        <v>0</v>
      </c>
    </row>
    <row r="7687" spans="1:11" x14ac:dyDescent="0.25">
      <c r="A7687" t="str">
        <f>"9613"</f>
        <v>9613</v>
      </c>
      <c r="B7687" t="str">
        <f t="shared" si="503"/>
        <v>1</v>
      </c>
      <c r="C7687" t="str">
        <f t="shared" si="505"/>
        <v>414</v>
      </c>
      <c r="D7687" t="str">
        <f>"3"</f>
        <v>3</v>
      </c>
      <c r="E7687" t="str">
        <f>"1-414-3"</f>
        <v>1-414-3</v>
      </c>
      <c r="F7687" t="s">
        <v>15</v>
      </c>
      <c r="G7687" t="s">
        <v>20</v>
      </c>
      <c r="H7687" t="s">
        <v>21</v>
      </c>
      <c r="I7687">
        <v>1</v>
      </c>
      <c r="J7687">
        <v>0</v>
      </c>
      <c r="K7687">
        <v>0</v>
      </c>
    </row>
    <row r="7688" spans="1:11" x14ac:dyDescent="0.25">
      <c r="A7688" t="str">
        <f>"9614"</f>
        <v>9614</v>
      </c>
      <c r="B7688" t="str">
        <f t="shared" si="503"/>
        <v>1</v>
      </c>
      <c r="C7688" t="str">
        <f t="shared" si="505"/>
        <v>414</v>
      </c>
      <c r="D7688" t="str">
        <f>"19"</f>
        <v>19</v>
      </c>
      <c r="E7688" t="str">
        <f>"1-414-19"</f>
        <v>1-414-19</v>
      </c>
      <c r="F7688" t="s">
        <v>15</v>
      </c>
      <c r="G7688" t="s">
        <v>20</v>
      </c>
      <c r="H7688" t="s">
        <v>21</v>
      </c>
      <c r="I7688">
        <v>1</v>
      </c>
      <c r="J7688">
        <v>0</v>
      </c>
      <c r="K7688">
        <v>0</v>
      </c>
    </row>
    <row r="7689" spans="1:11" x14ac:dyDescent="0.25">
      <c r="A7689" t="str">
        <f>"9615"</f>
        <v>9615</v>
      </c>
      <c r="B7689" t="str">
        <f t="shared" si="503"/>
        <v>1</v>
      </c>
      <c r="C7689" t="str">
        <f t="shared" si="505"/>
        <v>414</v>
      </c>
      <c r="D7689" t="str">
        <f>"4"</f>
        <v>4</v>
      </c>
      <c r="E7689" t="str">
        <f>"1-414-4"</f>
        <v>1-414-4</v>
      </c>
      <c r="F7689" t="s">
        <v>15</v>
      </c>
      <c r="G7689" t="s">
        <v>20</v>
      </c>
      <c r="H7689" t="s">
        <v>21</v>
      </c>
      <c r="I7689">
        <v>1</v>
      </c>
      <c r="J7689">
        <v>0</v>
      </c>
      <c r="K7689">
        <v>0</v>
      </c>
    </row>
    <row r="7690" spans="1:11" x14ac:dyDescent="0.25">
      <c r="A7690" t="str">
        <f>"9616"</f>
        <v>9616</v>
      </c>
      <c r="B7690" t="str">
        <f t="shared" si="503"/>
        <v>1</v>
      </c>
      <c r="C7690" t="str">
        <f t="shared" si="505"/>
        <v>414</v>
      </c>
      <c r="D7690" t="str">
        <f>"20"</f>
        <v>20</v>
      </c>
      <c r="E7690" t="str">
        <f>"1-414-20"</f>
        <v>1-414-20</v>
      </c>
      <c r="F7690" t="s">
        <v>15</v>
      </c>
      <c r="G7690" t="s">
        <v>20</v>
      </c>
      <c r="H7690" t="s">
        <v>21</v>
      </c>
      <c r="I7690">
        <v>1</v>
      </c>
      <c r="J7690">
        <v>0</v>
      </c>
      <c r="K7690">
        <v>0</v>
      </c>
    </row>
    <row r="7691" spans="1:11" x14ac:dyDescent="0.25">
      <c r="A7691" t="str">
        <f>"9617"</f>
        <v>9617</v>
      </c>
      <c r="B7691" t="str">
        <f t="shared" si="503"/>
        <v>1</v>
      </c>
      <c r="C7691" t="str">
        <f t="shared" si="505"/>
        <v>414</v>
      </c>
      <c r="D7691" t="str">
        <f>"6"</f>
        <v>6</v>
      </c>
      <c r="E7691" t="str">
        <f>"1-414-6"</f>
        <v>1-414-6</v>
      </c>
      <c r="F7691" t="s">
        <v>15</v>
      </c>
      <c r="G7691" t="s">
        <v>20</v>
      </c>
      <c r="H7691" t="s">
        <v>21</v>
      </c>
      <c r="I7691">
        <v>1</v>
      </c>
      <c r="J7691">
        <v>0</v>
      </c>
      <c r="K7691">
        <v>0</v>
      </c>
    </row>
    <row r="7692" spans="1:11" x14ac:dyDescent="0.25">
      <c r="A7692" t="str">
        <f>"9618"</f>
        <v>9618</v>
      </c>
      <c r="B7692" t="str">
        <f t="shared" si="503"/>
        <v>1</v>
      </c>
      <c r="C7692" t="str">
        <f t="shared" si="505"/>
        <v>414</v>
      </c>
      <c r="D7692" t="str">
        <f>"21"</f>
        <v>21</v>
      </c>
      <c r="E7692" t="str">
        <f>"1-414-21"</f>
        <v>1-414-21</v>
      </c>
      <c r="F7692" t="s">
        <v>15</v>
      </c>
      <c r="G7692" t="s">
        <v>20</v>
      </c>
      <c r="H7692" t="s">
        <v>21</v>
      </c>
      <c r="I7692">
        <v>1</v>
      </c>
      <c r="J7692">
        <v>0</v>
      </c>
      <c r="K7692">
        <v>0</v>
      </c>
    </row>
    <row r="7693" spans="1:11" x14ac:dyDescent="0.25">
      <c r="A7693" t="str">
        <f>"9619"</f>
        <v>9619</v>
      </c>
      <c r="B7693" t="str">
        <f t="shared" si="503"/>
        <v>1</v>
      </c>
      <c r="C7693" t="str">
        <f t="shared" si="505"/>
        <v>414</v>
      </c>
      <c r="D7693" t="str">
        <f>"14"</f>
        <v>14</v>
      </c>
      <c r="E7693" t="str">
        <f>"1-414-14"</f>
        <v>1-414-14</v>
      </c>
      <c r="F7693" t="s">
        <v>15</v>
      </c>
      <c r="G7693" t="s">
        <v>20</v>
      </c>
      <c r="H7693" t="s">
        <v>21</v>
      </c>
      <c r="I7693">
        <v>1</v>
      </c>
      <c r="J7693">
        <v>0</v>
      </c>
      <c r="K7693">
        <v>0</v>
      </c>
    </row>
    <row r="7694" spans="1:11" x14ac:dyDescent="0.25">
      <c r="A7694" t="str">
        <f>"9620"</f>
        <v>9620</v>
      </c>
      <c r="B7694" t="str">
        <f t="shared" si="503"/>
        <v>1</v>
      </c>
      <c r="C7694" t="str">
        <f t="shared" si="505"/>
        <v>414</v>
      </c>
      <c r="D7694" t="str">
        <f>"2"</f>
        <v>2</v>
      </c>
      <c r="E7694" t="str">
        <f>"1-414-2"</f>
        <v>1-414-2</v>
      </c>
      <c r="F7694" t="s">
        <v>15</v>
      </c>
      <c r="G7694" t="s">
        <v>20</v>
      </c>
      <c r="H7694" t="s">
        <v>21</v>
      </c>
      <c r="I7694">
        <v>1</v>
      </c>
      <c r="J7694">
        <v>0</v>
      </c>
      <c r="K7694">
        <v>0</v>
      </c>
    </row>
    <row r="7695" spans="1:11" x14ac:dyDescent="0.25">
      <c r="A7695" t="str">
        <f>"9621"</f>
        <v>9621</v>
      </c>
      <c r="B7695" t="str">
        <f t="shared" si="503"/>
        <v>1</v>
      </c>
      <c r="C7695" t="str">
        <f t="shared" si="505"/>
        <v>414</v>
      </c>
      <c r="D7695" t="str">
        <f>"11"</f>
        <v>11</v>
      </c>
      <c r="E7695" t="str">
        <f>"1-414-11"</f>
        <v>1-414-11</v>
      </c>
      <c r="F7695" t="s">
        <v>15</v>
      </c>
      <c r="G7695" t="s">
        <v>20</v>
      </c>
      <c r="H7695" t="s">
        <v>21</v>
      </c>
      <c r="I7695">
        <v>0</v>
      </c>
      <c r="J7695">
        <v>0</v>
      </c>
      <c r="K7695">
        <v>1</v>
      </c>
    </row>
    <row r="7696" spans="1:11" x14ac:dyDescent="0.25">
      <c r="A7696" t="str">
        <f>"9622"</f>
        <v>9622</v>
      </c>
      <c r="B7696" t="str">
        <f t="shared" si="503"/>
        <v>1</v>
      </c>
      <c r="C7696" t="str">
        <f t="shared" si="505"/>
        <v>414</v>
      </c>
      <c r="D7696" t="str">
        <f>"24"</f>
        <v>24</v>
      </c>
      <c r="E7696" t="str">
        <f>"1-414-24"</f>
        <v>1-414-24</v>
      </c>
      <c r="F7696" t="s">
        <v>15</v>
      </c>
      <c r="G7696" t="s">
        <v>20</v>
      </c>
      <c r="H7696" t="s">
        <v>21</v>
      </c>
      <c r="I7696">
        <v>0</v>
      </c>
      <c r="J7696">
        <v>1</v>
      </c>
      <c r="K7696">
        <v>0</v>
      </c>
    </row>
    <row r="7697" spans="1:11" x14ac:dyDescent="0.25">
      <c r="A7697" t="str">
        <f>"9623"</f>
        <v>9623</v>
      </c>
      <c r="B7697" t="str">
        <f t="shared" si="503"/>
        <v>1</v>
      </c>
      <c r="C7697" t="str">
        <f t="shared" si="505"/>
        <v>414</v>
      </c>
      <c r="D7697" t="str">
        <f>"9"</f>
        <v>9</v>
      </c>
      <c r="E7697" t="str">
        <f>"1-414-9"</f>
        <v>1-414-9</v>
      </c>
      <c r="F7697" t="s">
        <v>15</v>
      </c>
      <c r="G7697" t="s">
        <v>20</v>
      </c>
      <c r="H7697" t="s">
        <v>21</v>
      </c>
      <c r="I7697">
        <v>0</v>
      </c>
      <c r="J7697">
        <v>0</v>
      </c>
      <c r="K7697">
        <v>1</v>
      </c>
    </row>
    <row r="7698" spans="1:11" x14ac:dyDescent="0.25">
      <c r="A7698" t="str">
        <f>"9624"</f>
        <v>9624</v>
      </c>
      <c r="B7698" t="str">
        <f t="shared" si="503"/>
        <v>1</v>
      </c>
      <c r="C7698" t="str">
        <f t="shared" si="505"/>
        <v>414</v>
      </c>
      <c r="D7698" t="str">
        <f>"25"</f>
        <v>25</v>
      </c>
      <c r="E7698" t="str">
        <f>"1-414-25"</f>
        <v>1-414-25</v>
      </c>
      <c r="F7698" t="s">
        <v>15</v>
      </c>
      <c r="G7698" t="s">
        <v>20</v>
      </c>
      <c r="H7698" t="s">
        <v>21</v>
      </c>
      <c r="I7698">
        <v>0</v>
      </c>
      <c r="J7698">
        <v>1</v>
      </c>
      <c r="K7698">
        <v>0</v>
      </c>
    </row>
    <row r="7699" spans="1:11" x14ac:dyDescent="0.25">
      <c r="A7699" t="str">
        <f>"9625"</f>
        <v>9625</v>
      </c>
      <c r="B7699" t="str">
        <f t="shared" si="503"/>
        <v>1</v>
      </c>
      <c r="C7699" t="str">
        <f t="shared" si="505"/>
        <v>414</v>
      </c>
      <c r="D7699" t="str">
        <f>"7"</f>
        <v>7</v>
      </c>
      <c r="E7699" t="str">
        <f>"1-414-7"</f>
        <v>1-414-7</v>
      </c>
      <c r="F7699" t="s">
        <v>15</v>
      </c>
      <c r="G7699" t="s">
        <v>20</v>
      </c>
      <c r="H7699" t="s">
        <v>21</v>
      </c>
      <c r="I7699">
        <v>1</v>
      </c>
      <c r="J7699">
        <v>0</v>
      </c>
      <c r="K7699">
        <v>0</v>
      </c>
    </row>
    <row r="7700" spans="1:11" x14ac:dyDescent="0.25">
      <c r="A7700" t="str">
        <f>"9626"</f>
        <v>9626</v>
      </c>
      <c r="B7700" t="str">
        <f t="shared" ref="B7700:B7759" si="506">"1"</f>
        <v>1</v>
      </c>
      <c r="C7700" t="str">
        <f t="shared" si="505"/>
        <v>414</v>
      </c>
      <c r="D7700" t="str">
        <f>"26"</f>
        <v>26</v>
      </c>
      <c r="E7700" t="str">
        <f>"1-414-26"</f>
        <v>1-414-26</v>
      </c>
      <c r="F7700" t="s">
        <v>15</v>
      </c>
      <c r="G7700" t="s">
        <v>20</v>
      </c>
      <c r="H7700" t="s">
        <v>21</v>
      </c>
      <c r="I7700">
        <v>0</v>
      </c>
      <c r="J7700">
        <v>1</v>
      </c>
      <c r="K7700">
        <v>0</v>
      </c>
    </row>
    <row r="7701" spans="1:11" x14ac:dyDescent="0.25">
      <c r="A7701" t="str">
        <f>"9627"</f>
        <v>9627</v>
      </c>
      <c r="B7701" t="str">
        <f t="shared" si="506"/>
        <v>1</v>
      </c>
      <c r="C7701" t="str">
        <f t="shared" si="505"/>
        <v>414</v>
      </c>
      <c r="D7701" t="str">
        <f>"12"</f>
        <v>12</v>
      </c>
      <c r="E7701" t="str">
        <f>"1-414-12"</f>
        <v>1-414-12</v>
      </c>
      <c r="F7701" t="s">
        <v>15</v>
      </c>
      <c r="G7701" t="s">
        <v>20</v>
      </c>
      <c r="H7701" t="s">
        <v>21</v>
      </c>
      <c r="I7701">
        <v>0</v>
      </c>
      <c r="J7701">
        <v>0</v>
      </c>
      <c r="K7701">
        <v>1</v>
      </c>
    </row>
    <row r="7702" spans="1:11" x14ac:dyDescent="0.25">
      <c r="A7702" t="str">
        <f>"9628"</f>
        <v>9628</v>
      </c>
      <c r="B7702" t="str">
        <f t="shared" si="506"/>
        <v>1</v>
      </c>
      <c r="C7702" t="str">
        <f t="shared" si="505"/>
        <v>414</v>
      </c>
      <c r="D7702" t="str">
        <f>"13"</f>
        <v>13</v>
      </c>
      <c r="E7702" t="str">
        <f>"1-414-13"</f>
        <v>1-414-13</v>
      </c>
      <c r="F7702" t="s">
        <v>15</v>
      </c>
      <c r="G7702" t="s">
        <v>20</v>
      </c>
      <c r="H7702" t="s">
        <v>21</v>
      </c>
      <c r="I7702">
        <v>1</v>
      </c>
      <c r="J7702">
        <v>0</v>
      </c>
      <c r="K7702">
        <v>0</v>
      </c>
    </row>
    <row r="7703" spans="1:11" x14ac:dyDescent="0.25">
      <c r="A7703" t="str">
        <f>"9629"</f>
        <v>9629</v>
      </c>
      <c r="B7703" t="str">
        <f t="shared" si="506"/>
        <v>1</v>
      </c>
      <c r="C7703" t="str">
        <f t="shared" si="505"/>
        <v>414</v>
      </c>
      <c r="D7703" t="str">
        <f>"10"</f>
        <v>10</v>
      </c>
      <c r="E7703" t="str">
        <f>"1-414-10"</f>
        <v>1-414-10</v>
      </c>
      <c r="F7703" t="s">
        <v>15</v>
      </c>
      <c r="G7703" t="s">
        <v>20</v>
      </c>
      <c r="H7703" t="s">
        <v>21</v>
      </c>
      <c r="I7703">
        <v>0</v>
      </c>
      <c r="J7703">
        <v>0</v>
      </c>
      <c r="K7703">
        <v>1</v>
      </c>
    </row>
    <row r="7704" spans="1:11" x14ac:dyDescent="0.25">
      <c r="A7704" t="str">
        <f>"9630"</f>
        <v>9630</v>
      </c>
      <c r="B7704" t="str">
        <f t="shared" si="506"/>
        <v>1</v>
      </c>
      <c r="C7704" t="str">
        <f t="shared" si="505"/>
        <v>414</v>
      </c>
      <c r="D7704" t="str">
        <f>"22"</f>
        <v>22</v>
      </c>
      <c r="E7704" t="str">
        <f>"1-414-22"</f>
        <v>1-414-22</v>
      </c>
      <c r="F7704" t="s">
        <v>15</v>
      </c>
      <c r="G7704" t="s">
        <v>20</v>
      </c>
      <c r="H7704" t="s">
        <v>21</v>
      </c>
      <c r="I7704">
        <v>0</v>
      </c>
      <c r="J7704">
        <v>0</v>
      </c>
      <c r="K7704">
        <v>0</v>
      </c>
    </row>
    <row r="7705" spans="1:11" x14ac:dyDescent="0.25">
      <c r="A7705" t="str">
        <f>"9631"</f>
        <v>9631</v>
      </c>
      <c r="B7705" t="str">
        <f t="shared" si="506"/>
        <v>1</v>
      </c>
      <c r="C7705" t="str">
        <f t="shared" si="505"/>
        <v>414</v>
      </c>
      <c r="D7705" t="str">
        <f>"23"</f>
        <v>23</v>
      </c>
      <c r="E7705" t="str">
        <f>"1-414-23"</f>
        <v>1-414-23</v>
      </c>
      <c r="F7705" t="s">
        <v>15</v>
      </c>
      <c r="G7705" t="s">
        <v>20</v>
      </c>
      <c r="H7705" t="s">
        <v>21</v>
      </c>
      <c r="I7705">
        <v>0</v>
      </c>
      <c r="J7705">
        <v>0</v>
      </c>
      <c r="K7705">
        <v>0</v>
      </c>
    </row>
    <row r="7706" spans="1:11" x14ac:dyDescent="0.25">
      <c r="A7706" t="str">
        <f>"9632"</f>
        <v>9632</v>
      </c>
      <c r="B7706" t="str">
        <f t="shared" si="506"/>
        <v>1</v>
      </c>
      <c r="C7706" t="str">
        <f t="shared" ref="C7706:C7730" si="507">"415"</f>
        <v>415</v>
      </c>
      <c r="D7706" t="str">
        <f>"15"</f>
        <v>15</v>
      </c>
      <c r="E7706" t="str">
        <f>"1-415-15"</f>
        <v>1-415-15</v>
      </c>
      <c r="F7706" t="s">
        <v>15</v>
      </c>
      <c r="G7706" t="s">
        <v>20</v>
      </c>
      <c r="H7706" t="s">
        <v>21</v>
      </c>
      <c r="I7706">
        <v>1</v>
      </c>
      <c r="J7706">
        <v>0</v>
      </c>
      <c r="K7706">
        <v>0</v>
      </c>
    </row>
    <row r="7707" spans="1:11" x14ac:dyDescent="0.25">
      <c r="A7707" t="str">
        <f>"9633"</f>
        <v>9633</v>
      </c>
      <c r="B7707" t="str">
        <f t="shared" si="506"/>
        <v>1</v>
      </c>
      <c r="C7707" t="str">
        <f t="shared" si="507"/>
        <v>415</v>
      </c>
      <c r="D7707" t="str">
        <f>"2"</f>
        <v>2</v>
      </c>
      <c r="E7707" t="str">
        <f>"1-415-2"</f>
        <v>1-415-2</v>
      </c>
      <c r="F7707" t="s">
        <v>15</v>
      </c>
      <c r="G7707" t="s">
        <v>20</v>
      </c>
      <c r="H7707" t="s">
        <v>21</v>
      </c>
      <c r="I7707">
        <v>0</v>
      </c>
      <c r="J7707">
        <v>1</v>
      </c>
      <c r="K7707">
        <v>0</v>
      </c>
    </row>
    <row r="7708" spans="1:11" x14ac:dyDescent="0.25">
      <c r="A7708" t="str">
        <f>"9634"</f>
        <v>9634</v>
      </c>
      <c r="B7708" t="str">
        <f t="shared" si="506"/>
        <v>1</v>
      </c>
      <c r="C7708" t="str">
        <f t="shared" si="507"/>
        <v>415</v>
      </c>
      <c r="D7708" t="str">
        <f>"16"</f>
        <v>16</v>
      </c>
      <c r="E7708" t="str">
        <f>"1-415-16"</f>
        <v>1-415-16</v>
      </c>
      <c r="F7708" t="s">
        <v>15</v>
      </c>
      <c r="G7708" t="s">
        <v>20</v>
      </c>
      <c r="H7708" t="s">
        <v>21</v>
      </c>
      <c r="I7708">
        <v>1</v>
      </c>
      <c r="J7708">
        <v>0</v>
      </c>
      <c r="K7708">
        <v>0</v>
      </c>
    </row>
    <row r="7709" spans="1:11" x14ac:dyDescent="0.25">
      <c r="A7709" t="str">
        <f>"9635"</f>
        <v>9635</v>
      </c>
      <c r="B7709" t="str">
        <f t="shared" si="506"/>
        <v>1</v>
      </c>
      <c r="C7709" t="str">
        <f t="shared" si="507"/>
        <v>415</v>
      </c>
      <c r="D7709" t="str">
        <f>"4"</f>
        <v>4</v>
      </c>
      <c r="E7709" t="str">
        <f>"1-415-4"</f>
        <v>1-415-4</v>
      </c>
      <c r="F7709" t="s">
        <v>15</v>
      </c>
      <c r="G7709" t="s">
        <v>20</v>
      </c>
      <c r="H7709" t="s">
        <v>21</v>
      </c>
      <c r="I7709">
        <v>0</v>
      </c>
      <c r="J7709">
        <v>0</v>
      </c>
      <c r="K7709">
        <v>1</v>
      </c>
    </row>
    <row r="7710" spans="1:11" x14ac:dyDescent="0.25">
      <c r="A7710" t="str">
        <f>"9636"</f>
        <v>9636</v>
      </c>
      <c r="B7710" t="str">
        <f t="shared" si="506"/>
        <v>1</v>
      </c>
      <c r="C7710" t="str">
        <f t="shared" si="507"/>
        <v>415</v>
      </c>
      <c r="D7710" t="str">
        <f>"17"</f>
        <v>17</v>
      </c>
      <c r="E7710" t="str">
        <f>"1-415-17"</f>
        <v>1-415-17</v>
      </c>
      <c r="F7710" t="s">
        <v>15</v>
      </c>
      <c r="G7710" t="s">
        <v>20</v>
      </c>
      <c r="H7710" t="s">
        <v>21</v>
      </c>
      <c r="I7710">
        <v>1</v>
      </c>
      <c r="J7710">
        <v>0</v>
      </c>
      <c r="K7710">
        <v>0</v>
      </c>
    </row>
    <row r="7711" spans="1:11" x14ac:dyDescent="0.25">
      <c r="A7711" t="str">
        <f>"9637"</f>
        <v>9637</v>
      </c>
      <c r="B7711" t="str">
        <f t="shared" si="506"/>
        <v>1</v>
      </c>
      <c r="C7711" t="str">
        <f t="shared" si="507"/>
        <v>415</v>
      </c>
      <c r="D7711" t="str">
        <f>"10"</f>
        <v>10</v>
      </c>
      <c r="E7711" t="str">
        <f>"1-415-10"</f>
        <v>1-415-10</v>
      </c>
      <c r="F7711" t="s">
        <v>15</v>
      </c>
      <c r="G7711" t="s">
        <v>20</v>
      </c>
      <c r="H7711" t="s">
        <v>21</v>
      </c>
      <c r="I7711">
        <v>1</v>
      </c>
      <c r="J7711">
        <v>0</v>
      </c>
      <c r="K7711">
        <v>0</v>
      </c>
    </row>
    <row r="7712" spans="1:11" x14ac:dyDescent="0.25">
      <c r="A7712" t="str">
        <f>"9638"</f>
        <v>9638</v>
      </c>
      <c r="B7712" t="str">
        <f t="shared" si="506"/>
        <v>1</v>
      </c>
      <c r="C7712" t="str">
        <f t="shared" si="507"/>
        <v>415</v>
      </c>
      <c r="D7712" t="str">
        <f>"18"</f>
        <v>18</v>
      </c>
      <c r="E7712" t="str">
        <f>"1-415-18"</f>
        <v>1-415-18</v>
      </c>
      <c r="F7712" t="s">
        <v>15</v>
      </c>
      <c r="G7712" t="s">
        <v>20</v>
      </c>
      <c r="H7712" t="s">
        <v>21</v>
      </c>
      <c r="I7712">
        <v>1</v>
      </c>
      <c r="J7712">
        <v>0</v>
      </c>
      <c r="K7712">
        <v>0</v>
      </c>
    </row>
    <row r="7713" spans="1:11" x14ac:dyDescent="0.25">
      <c r="A7713" t="str">
        <f>"9639"</f>
        <v>9639</v>
      </c>
      <c r="B7713" t="str">
        <f t="shared" si="506"/>
        <v>1</v>
      </c>
      <c r="C7713" t="str">
        <f t="shared" si="507"/>
        <v>415</v>
      </c>
      <c r="D7713" t="str">
        <f>"1"</f>
        <v>1</v>
      </c>
      <c r="E7713" t="str">
        <f>"1-415-1"</f>
        <v>1-415-1</v>
      </c>
      <c r="F7713" t="s">
        <v>15</v>
      </c>
      <c r="G7713" t="s">
        <v>20</v>
      </c>
      <c r="H7713" t="s">
        <v>21</v>
      </c>
      <c r="I7713">
        <v>1</v>
      </c>
      <c r="J7713">
        <v>0</v>
      </c>
      <c r="K7713">
        <v>0</v>
      </c>
    </row>
    <row r="7714" spans="1:11" x14ac:dyDescent="0.25">
      <c r="A7714" t="str">
        <f>"9640"</f>
        <v>9640</v>
      </c>
      <c r="B7714" t="str">
        <f t="shared" si="506"/>
        <v>1</v>
      </c>
      <c r="C7714" t="str">
        <f t="shared" si="507"/>
        <v>415</v>
      </c>
      <c r="D7714" t="str">
        <f>"19"</f>
        <v>19</v>
      </c>
      <c r="E7714" t="str">
        <f>"1-415-19"</f>
        <v>1-415-19</v>
      </c>
      <c r="F7714" t="s">
        <v>15</v>
      </c>
      <c r="G7714" t="s">
        <v>20</v>
      </c>
      <c r="H7714" t="s">
        <v>21</v>
      </c>
      <c r="I7714">
        <v>1</v>
      </c>
      <c r="J7714">
        <v>0</v>
      </c>
      <c r="K7714">
        <v>0</v>
      </c>
    </row>
    <row r="7715" spans="1:11" x14ac:dyDescent="0.25">
      <c r="A7715" t="str">
        <f>"9641"</f>
        <v>9641</v>
      </c>
      <c r="B7715" t="str">
        <f t="shared" si="506"/>
        <v>1</v>
      </c>
      <c r="C7715" t="str">
        <f t="shared" si="507"/>
        <v>415</v>
      </c>
      <c r="D7715" t="str">
        <f>"12"</f>
        <v>12</v>
      </c>
      <c r="E7715" t="str">
        <f>"1-415-12"</f>
        <v>1-415-12</v>
      </c>
      <c r="F7715" t="s">
        <v>15</v>
      </c>
      <c r="G7715" t="s">
        <v>20</v>
      </c>
      <c r="H7715" t="s">
        <v>21</v>
      </c>
      <c r="I7715">
        <v>0</v>
      </c>
      <c r="J7715">
        <v>1</v>
      </c>
      <c r="K7715">
        <v>0</v>
      </c>
    </row>
    <row r="7716" spans="1:11" x14ac:dyDescent="0.25">
      <c r="A7716" t="str">
        <f>"9642"</f>
        <v>9642</v>
      </c>
      <c r="B7716" t="str">
        <f t="shared" si="506"/>
        <v>1</v>
      </c>
      <c r="C7716" t="str">
        <f t="shared" si="507"/>
        <v>415</v>
      </c>
      <c r="D7716" t="str">
        <f>"20"</f>
        <v>20</v>
      </c>
      <c r="E7716" t="str">
        <f>"1-415-20"</f>
        <v>1-415-20</v>
      </c>
      <c r="F7716" t="s">
        <v>15</v>
      </c>
      <c r="G7716" t="s">
        <v>20</v>
      </c>
      <c r="H7716" t="s">
        <v>21</v>
      </c>
      <c r="I7716">
        <v>1</v>
      </c>
      <c r="J7716">
        <v>0</v>
      </c>
      <c r="K7716">
        <v>0</v>
      </c>
    </row>
    <row r="7717" spans="1:11" x14ac:dyDescent="0.25">
      <c r="A7717" t="str">
        <f>"9643"</f>
        <v>9643</v>
      </c>
      <c r="B7717" t="str">
        <f t="shared" si="506"/>
        <v>1</v>
      </c>
      <c r="C7717" t="str">
        <f t="shared" si="507"/>
        <v>415</v>
      </c>
      <c r="D7717" t="str">
        <f>"6"</f>
        <v>6</v>
      </c>
      <c r="E7717" t="str">
        <f>"1-415-6"</f>
        <v>1-415-6</v>
      </c>
      <c r="F7717" t="s">
        <v>15</v>
      </c>
      <c r="G7717" t="s">
        <v>20</v>
      </c>
      <c r="H7717" t="s">
        <v>21</v>
      </c>
      <c r="I7717">
        <v>0</v>
      </c>
      <c r="J7717">
        <v>1</v>
      </c>
      <c r="K7717">
        <v>0</v>
      </c>
    </row>
    <row r="7718" spans="1:11" x14ac:dyDescent="0.25">
      <c r="A7718" t="str">
        <f>"9644"</f>
        <v>9644</v>
      </c>
      <c r="B7718" t="str">
        <f t="shared" si="506"/>
        <v>1</v>
      </c>
      <c r="C7718" t="str">
        <f t="shared" si="507"/>
        <v>415</v>
      </c>
      <c r="D7718" t="str">
        <f>"21"</f>
        <v>21</v>
      </c>
      <c r="E7718" t="str">
        <f>"1-415-21"</f>
        <v>1-415-21</v>
      </c>
      <c r="F7718" t="s">
        <v>15</v>
      </c>
      <c r="G7718" t="s">
        <v>20</v>
      </c>
      <c r="H7718" t="s">
        <v>21</v>
      </c>
      <c r="I7718">
        <v>1</v>
      </c>
      <c r="J7718">
        <v>0</v>
      </c>
      <c r="K7718">
        <v>0</v>
      </c>
    </row>
    <row r="7719" spans="1:11" x14ac:dyDescent="0.25">
      <c r="A7719" t="str">
        <f>"9645"</f>
        <v>9645</v>
      </c>
      <c r="B7719" t="str">
        <f t="shared" si="506"/>
        <v>1</v>
      </c>
      <c r="C7719" t="str">
        <f t="shared" si="507"/>
        <v>415</v>
      </c>
      <c r="D7719" t="str">
        <f>"22"</f>
        <v>22</v>
      </c>
      <c r="E7719" t="str">
        <f>"1-415-22"</f>
        <v>1-415-22</v>
      </c>
      <c r="F7719" t="s">
        <v>15</v>
      </c>
      <c r="G7719" t="s">
        <v>20</v>
      </c>
      <c r="H7719" t="s">
        <v>21</v>
      </c>
      <c r="I7719">
        <v>1</v>
      </c>
      <c r="J7719">
        <v>0</v>
      </c>
      <c r="K7719">
        <v>0</v>
      </c>
    </row>
    <row r="7720" spans="1:11" x14ac:dyDescent="0.25">
      <c r="A7720" t="str">
        <f>"9646"</f>
        <v>9646</v>
      </c>
      <c r="B7720" t="str">
        <f t="shared" si="506"/>
        <v>1</v>
      </c>
      <c r="C7720" t="str">
        <f t="shared" si="507"/>
        <v>415</v>
      </c>
      <c r="D7720" t="str">
        <f>"23"</f>
        <v>23</v>
      </c>
      <c r="E7720" t="str">
        <f>"1-415-23"</f>
        <v>1-415-23</v>
      </c>
      <c r="F7720" t="s">
        <v>15</v>
      </c>
      <c r="G7720" t="s">
        <v>20</v>
      </c>
      <c r="H7720" t="s">
        <v>21</v>
      </c>
      <c r="I7720">
        <v>1</v>
      </c>
      <c r="J7720">
        <v>0</v>
      </c>
      <c r="K7720">
        <v>0</v>
      </c>
    </row>
    <row r="7721" spans="1:11" x14ac:dyDescent="0.25">
      <c r="A7721" t="str">
        <f>"9647"</f>
        <v>9647</v>
      </c>
      <c r="B7721" t="str">
        <f t="shared" si="506"/>
        <v>1</v>
      </c>
      <c r="C7721" t="str">
        <f t="shared" si="507"/>
        <v>415</v>
      </c>
      <c r="D7721" t="str">
        <f>"13"</f>
        <v>13</v>
      </c>
      <c r="E7721" t="str">
        <f>"1-415-13"</f>
        <v>1-415-13</v>
      </c>
      <c r="F7721" t="s">
        <v>15</v>
      </c>
      <c r="G7721" t="s">
        <v>20</v>
      </c>
      <c r="H7721" t="s">
        <v>21</v>
      </c>
      <c r="I7721">
        <v>0</v>
      </c>
      <c r="J7721">
        <v>1</v>
      </c>
      <c r="K7721">
        <v>0</v>
      </c>
    </row>
    <row r="7722" spans="1:11" x14ac:dyDescent="0.25">
      <c r="A7722" t="str">
        <f>"9648"</f>
        <v>9648</v>
      </c>
      <c r="B7722" t="str">
        <f t="shared" si="506"/>
        <v>1</v>
      </c>
      <c r="C7722" t="str">
        <f t="shared" si="507"/>
        <v>415</v>
      </c>
      <c r="D7722" t="str">
        <f>"24"</f>
        <v>24</v>
      </c>
      <c r="E7722" t="str">
        <f>"1-415-24"</f>
        <v>1-415-24</v>
      </c>
      <c r="F7722" t="s">
        <v>15</v>
      </c>
      <c r="G7722" t="s">
        <v>20</v>
      </c>
      <c r="H7722" t="s">
        <v>21</v>
      </c>
      <c r="I7722">
        <v>1</v>
      </c>
      <c r="J7722">
        <v>0</v>
      </c>
      <c r="K7722">
        <v>0</v>
      </c>
    </row>
    <row r="7723" spans="1:11" x14ac:dyDescent="0.25">
      <c r="A7723" t="str">
        <f>"9649"</f>
        <v>9649</v>
      </c>
      <c r="B7723" t="str">
        <f t="shared" si="506"/>
        <v>1</v>
      </c>
      <c r="C7723" t="str">
        <f t="shared" si="507"/>
        <v>415</v>
      </c>
      <c r="D7723" t="str">
        <f>"14"</f>
        <v>14</v>
      </c>
      <c r="E7723" t="str">
        <f>"1-415-14"</f>
        <v>1-415-14</v>
      </c>
      <c r="F7723" t="s">
        <v>15</v>
      </c>
      <c r="G7723" t="s">
        <v>20</v>
      </c>
      <c r="H7723" t="s">
        <v>21</v>
      </c>
      <c r="I7723">
        <v>0</v>
      </c>
      <c r="J7723">
        <v>1</v>
      </c>
      <c r="K7723">
        <v>0</v>
      </c>
    </row>
    <row r="7724" spans="1:11" x14ac:dyDescent="0.25">
      <c r="A7724" t="str">
        <f>"9650"</f>
        <v>9650</v>
      </c>
      <c r="B7724" t="str">
        <f t="shared" si="506"/>
        <v>1</v>
      </c>
      <c r="C7724" t="str">
        <f t="shared" si="507"/>
        <v>415</v>
      </c>
      <c r="D7724" t="str">
        <f>"25"</f>
        <v>25</v>
      </c>
      <c r="E7724" t="str">
        <f>"1-415-25"</f>
        <v>1-415-25</v>
      </c>
      <c r="F7724" t="s">
        <v>15</v>
      </c>
      <c r="G7724" t="s">
        <v>20</v>
      </c>
      <c r="H7724" t="s">
        <v>21</v>
      </c>
      <c r="I7724">
        <v>1</v>
      </c>
      <c r="J7724">
        <v>0</v>
      </c>
      <c r="K7724">
        <v>0</v>
      </c>
    </row>
    <row r="7725" spans="1:11" x14ac:dyDescent="0.25">
      <c r="A7725" t="str">
        <f>"9651"</f>
        <v>9651</v>
      </c>
      <c r="B7725" t="str">
        <f t="shared" si="506"/>
        <v>1</v>
      </c>
      <c r="C7725" t="str">
        <f t="shared" si="507"/>
        <v>415</v>
      </c>
      <c r="D7725" t="str">
        <f>"8"</f>
        <v>8</v>
      </c>
      <c r="E7725" t="str">
        <f>"1-415-8"</f>
        <v>1-415-8</v>
      </c>
      <c r="F7725" t="s">
        <v>15</v>
      </c>
      <c r="G7725" t="s">
        <v>20</v>
      </c>
      <c r="H7725" t="s">
        <v>21</v>
      </c>
      <c r="I7725">
        <v>0</v>
      </c>
      <c r="J7725">
        <v>0</v>
      </c>
      <c r="K7725">
        <v>1</v>
      </c>
    </row>
    <row r="7726" spans="1:11" x14ac:dyDescent="0.25">
      <c r="A7726" t="str">
        <f>"9652"</f>
        <v>9652</v>
      </c>
      <c r="B7726" t="str">
        <f t="shared" si="506"/>
        <v>1</v>
      </c>
      <c r="C7726" t="str">
        <f t="shared" si="507"/>
        <v>415</v>
      </c>
      <c r="D7726" t="str">
        <f>"9"</f>
        <v>9</v>
      </c>
      <c r="E7726" t="str">
        <f>"1-415-9"</f>
        <v>1-415-9</v>
      </c>
      <c r="F7726" t="s">
        <v>15</v>
      </c>
      <c r="G7726" t="s">
        <v>20</v>
      </c>
      <c r="H7726" t="s">
        <v>21</v>
      </c>
      <c r="I7726">
        <v>1</v>
      </c>
      <c r="J7726">
        <v>0</v>
      </c>
      <c r="K7726">
        <v>0</v>
      </c>
    </row>
    <row r="7727" spans="1:11" x14ac:dyDescent="0.25">
      <c r="A7727" t="str">
        <f>"9653"</f>
        <v>9653</v>
      </c>
      <c r="B7727" t="str">
        <f t="shared" si="506"/>
        <v>1</v>
      </c>
      <c r="C7727" t="str">
        <f t="shared" si="507"/>
        <v>415</v>
      </c>
      <c r="D7727" t="str">
        <f>"3"</f>
        <v>3</v>
      </c>
      <c r="E7727" t="str">
        <f>"1-415-3"</f>
        <v>1-415-3</v>
      </c>
      <c r="F7727" t="s">
        <v>15</v>
      </c>
      <c r="G7727" t="s">
        <v>20</v>
      </c>
      <c r="H7727" t="s">
        <v>21</v>
      </c>
      <c r="I7727">
        <v>1</v>
      </c>
      <c r="J7727">
        <v>0</v>
      </c>
      <c r="K7727">
        <v>0</v>
      </c>
    </row>
    <row r="7728" spans="1:11" x14ac:dyDescent="0.25">
      <c r="A7728" t="str">
        <f>"9654"</f>
        <v>9654</v>
      </c>
      <c r="B7728" t="str">
        <f t="shared" si="506"/>
        <v>1</v>
      </c>
      <c r="C7728" t="str">
        <f t="shared" si="507"/>
        <v>415</v>
      </c>
      <c r="D7728" t="str">
        <f>"11"</f>
        <v>11</v>
      </c>
      <c r="E7728" t="str">
        <f>"1-415-11"</f>
        <v>1-415-11</v>
      </c>
      <c r="F7728" t="s">
        <v>15</v>
      </c>
      <c r="G7728" t="s">
        <v>20</v>
      </c>
      <c r="H7728" t="s">
        <v>21</v>
      </c>
      <c r="I7728">
        <v>1</v>
      </c>
      <c r="J7728">
        <v>0</v>
      </c>
      <c r="K7728">
        <v>0</v>
      </c>
    </row>
    <row r="7729" spans="1:11" x14ac:dyDescent="0.25">
      <c r="A7729" t="str">
        <f>"9655"</f>
        <v>9655</v>
      </c>
      <c r="B7729" t="str">
        <f t="shared" si="506"/>
        <v>1</v>
      </c>
      <c r="C7729" t="str">
        <f t="shared" si="507"/>
        <v>415</v>
      </c>
      <c r="D7729" t="str">
        <f>"5"</f>
        <v>5</v>
      </c>
      <c r="E7729" t="str">
        <f>"1-415-5"</f>
        <v>1-415-5</v>
      </c>
      <c r="F7729" t="s">
        <v>15</v>
      </c>
      <c r="G7729" t="s">
        <v>20</v>
      </c>
      <c r="H7729" t="s">
        <v>21</v>
      </c>
      <c r="I7729">
        <v>0</v>
      </c>
      <c r="J7729">
        <v>0</v>
      </c>
      <c r="K7729">
        <v>0</v>
      </c>
    </row>
    <row r="7730" spans="1:11" x14ac:dyDescent="0.25">
      <c r="A7730" t="str">
        <f>"9656"</f>
        <v>9656</v>
      </c>
      <c r="B7730" t="str">
        <f t="shared" si="506"/>
        <v>1</v>
      </c>
      <c r="C7730" t="str">
        <f t="shared" si="507"/>
        <v>415</v>
      </c>
      <c r="D7730" t="str">
        <f>"7"</f>
        <v>7</v>
      </c>
      <c r="E7730" t="str">
        <f>"1-415-7"</f>
        <v>1-415-7</v>
      </c>
      <c r="F7730" t="s">
        <v>15</v>
      </c>
      <c r="G7730" t="s">
        <v>20</v>
      </c>
      <c r="H7730" t="s">
        <v>21</v>
      </c>
      <c r="I7730">
        <v>0</v>
      </c>
      <c r="J7730">
        <v>0</v>
      </c>
      <c r="K7730">
        <v>0</v>
      </c>
    </row>
    <row r="7731" spans="1:11" x14ac:dyDescent="0.25">
      <c r="A7731" t="str">
        <f>"9657"</f>
        <v>9657</v>
      </c>
      <c r="B7731" t="str">
        <f t="shared" si="506"/>
        <v>1</v>
      </c>
      <c r="C7731" t="str">
        <f t="shared" ref="C7731:C7750" si="508">"416"</f>
        <v>416</v>
      </c>
      <c r="D7731" t="str">
        <f>"15"</f>
        <v>15</v>
      </c>
      <c r="E7731" t="str">
        <f>"1-416-15"</f>
        <v>1-416-15</v>
      </c>
      <c r="F7731" t="s">
        <v>15</v>
      </c>
      <c r="G7731" t="s">
        <v>20</v>
      </c>
      <c r="H7731" t="s">
        <v>21</v>
      </c>
      <c r="I7731">
        <v>0</v>
      </c>
      <c r="J7731">
        <v>1</v>
      </c>
      <c r="K7731">
        <v>0</v>
      </c>
    </row>
    <row r="7732" spans="1:11" x14ac:dyDescent="0.25">
      <c r="A7732" t="str">
        <f>"9658"</f>
        <v>9658</v>
      </c>
      <c r="B7732" t="str">
        <f t="shared" si="506"/>
        <v>1</v>
      </c>
      <c r="C7732" t="str">
        <f t="shared" si="508"/>
        <v>416</v>
      </c>
      <c r="D7732" t="str">
        <f>"4"</f>
        <v>4</v>
      </c>
      <c r="E7732" t="str">
        <f>"1-416-4"</f>
        <v>1-416-4</v>
      </c>
      <c r="F7732" t="s">
        <v>15</v>
      </c>
      <c r="G7732" t="s">
        <v>20</v>
      </c>
      <c r="H7732" t="s">
        <v>21</v>
      </c>
      <c r="I7732">
        <v>0</v>
      </c>
      <c r="J7732">
        <v>0</v>
      </c>
      <c r="K7732">
        <v>1</v>
      </c>
    </row>
    <row r="7733" spans="1:11" x14ac:dyDescent="0.25">
      <c r="A7733" t="str">
        <f>"9659"</f>
        <v>9659</v>
      </c>
      <c r="B7733" t="str">
        <f t="shared" si="506"/>
        <v>1</v>
      </c>
      <c r="C7733" t="str">
        <f t="shared" si="508"/>
        <v>416</v>
      </c>
      <c r="D7733" t="str">
        <f>"16"</f>
        <v>16</v>
      </c>
      <c r="E7733" t="str">
        <f>"1-416-16"</f>
        <v>1-416-16</v>
      </c>
      <c r="F7733" t="s">
        <v>15</v>
      </c>
      <c r="G7733" t="s">
        <v>20</v>
      </c>
      <c r="H7733" t="s">
        <v>21</v>
      </c>
      <c r="I7733">
        <v>0</v>
      </c>
      <c r="J7733">
        <v>1</v>
      </c>
      <c r="K7733">
        <v>0</v>
      </c>
    </row>
    <row r="7734" spans="1:11" x14ac:dyDescent="0.25">
      <c r="A7734" t="str">
        <f>"9660"</f>
        <v>9660</v>
      </c>
      <c r="B7734" t="str">
        <f t="shared" si="506"/>
        <v>1</v>
      </c>
      <c r="C7734" t="str">
        <f t="shared" si="508"/>
        <v>416</v>
      </c>
      <c r="D7734" t="str">
        <f>"10"</f>
        <v>10</v>
      </c>
      <c r="E7734" t="str">
        <f>"1-416-10"</f>
        <v>1-416-10</v>
      </c>
      <c r="F7734" t="s">
        <v>15</v>
      </c>
      <c r="G7734" t="s">
        <v>20</v>
      </c>
      <c r="H7734" t="s">
        <v>21</v>
      </c>
      <c r="I7734">
        <v>0</v>
      </c>
      <c r="J7734">
        <v>0</v>
      </c>
      <c r="K7734">
        <v>1</v>
      </c>
    </row>
    <row r="7735" spans="1:11" x14ac:dyDescent="0.25">
      <c r="A7735" t="str">
        <f>"9661"</f>
        <v>9661</v>
      </c>
      <c r="B7735" t="str">
        <f t="shared" si="506"/>
        <v>1</v>
      </c>
      <c r="C7735" t="str">
        <f t="shared" si="508"/>
        <v>416</v>
      </c>
      <c r="D7735" t="str">
        <f>"12"</f>
        <v>12</v>
      </c>
      <c r="E7735" t="str">
        <f>"1-416-12"</f>
        <v>1-416-12</v>
      </c>
      <c r="F7735" t="s">
        <v>15</v>
      </c>
      <c r="G7735" t="s">
        <v>20</v>
      </c>
      <c r="H7735" t="s">
        <v>21</v>
      </c>
      <c r="I7735">
        <v>1</v>
      </c>
      <c r="J7735">
        <v>0</v>
      </c>
      <c r="K7735">
        <v>0</v>
      </c>
    </row>
    <row r="7736" spans="1:11" x14ac:dyDescent="0.25">
      <c r="A7736" t="str">
        <f>"9662"</f>
        <v>9662</v>
      </c>
      <c r="B7736" t="str">
        <f t="shared" si="506"/>
        <v>1</v>
      </c>
      <c r="C7736" t="str">
        <f t="shared" si="508"/>
        <v>416</v>
      </c>
      <c r="D7736" t="str">
        <f>"18"</f>
        <v>18</v>
      </c>
      <c r="E7736" t="str">
        <f>"1-416-18"</f>
        <v>1-416-18</v>
      </c>
      <c r="F7736" t="s">
        <v>15</v>
      </c>
      <c r="G7736" t="s">
        <v>20</v>
      </c>
      <c r="H7736" t="s">
        <v>21</v>
      </c>
      <c r="I7736">
        <v>0</v>
      </c>
      <c r="J7736">
        <v>0</v>
      </c>
      <c r="K7736">
        <v>1</v>
      </c>
    </row>
    <row r="7737" spans="1:11" x14ac:dyDescent="0.25">
      <c r="A7737" t="str">
        <f>"9664"</f>
        <v>9664</v>
      </c>
      <c r="B7737" t="str">
        <f t="shared" si="506"/>
        <v>1</v>
      </c>
      <c r="C7737" t="str">
        <f t="shared" si="508"/>
        <v>416</v>
      </c>
      <c r="D7737" t="str">
        <f>"19"</f>
        <v>19</v>
      </c>
      <c r="E7737" t="str">
        <f>"1-416-19"</f>
        <v>1-416-19</v>
      </c>
      <c r="F7737" t="s">
        <v>15</v>
      </c>
      <c r="G7737" t="s">
        <v>20</v>
      </c>
      <c r="H7737" t="s">
        <v>21</v>
      </c>
      <c r="I7737">
        <v>0</v>
      </c>
      <c r="J7737">
        <v>0</v>
      </c>
      <c r="K7737">
        <v>1</v>
      </c>
    </row>
    <row r="7738" spans="1:11" x14ac:dyDescent="0.25">
      <c r="A7738" t="str">
        <f>"9666"</f>
        <v>9666</v>
      </c>
      <c r="B7738" t="str">
        <f t="shared" si="506"/>
        <v>1</v>
      </c>
      <c r="C7738" t="str">
        <f t="shared" si="508"/>
        <v>416</v>
      </c>
      <c r="D7738" t="str">
        <f>"20"</f>
        <v>20</v>
      </c>
      <c r="E7738" t="str">
        <f>"1-416-20"</f>
        <v>1-416-20</v>
      </c>
      <c r="F7738" t="s">
        <v>15</v>
      </c>
      <c r="G7738" t="s">
        <v>20</v>
      </c>
      <c r="H7738" t="s">
        <v>21</v>
      </c>
      <c r="I7738">
        <v>1</v>
      </c>
      <c r="J7738">
        <v>0</v>
      </c>
      <c r="K7738">
        <v>0</v>
      </c>
    </row>
    <row r="7739" spans="1:11" x14ac:dyDescent="0.25">
      <c r="A7739" t="str">
        <f>"9668"</f>
        <v>9668</v>
      </c>
      <c r="B7739" t="str">
        <f t="shared" si="506"/>
        <v>1</v>
      </c>
      <c r="C7739" t="str">
        <f t="shared" si="508"/>
        <v>416</v>
      </c>
      <c r="D7739" t="str">
        <f>"5"</f>
        <v>5</v>
      </c>
      <c r="E7739" t="str">
        <f>"1-416-5"</f>
        <v>1-416-5</v>
      </c>
      <c r="F7739" t="s">
        <v>15</v>
      </c>
      <c r="G7739" t="s">
        <v>20</v>
      </c>
      <c r="H7739" t="s">
        <v>21</v>
      </c>
      <c r="I7739">
        <v>0</v>
      </c>
      <c r="J7739">
        <v>0</v>
      </c>
      <c r="K7739">
        <v>1</v>
      </c>
    </row>
    <row r="7740" spans="1:11" x14ac:dyDescent="0.25">
      <c r="A7740" t="str">
        <f>"9669"</f>
        <v>9669</v>
      </c>
      <c r="B7740" t="str">
        <f t="shared" si="506"/>
        <v>1</v>
      </c>
      <c r="C7740" t="str">
        <f t="shared" si="508"/>
        <v>416</v>
      </c>
      <c r="D7740" t="str">
        <f>"22"</f>
        <v>22</v>
      </c>
      <c r="E7740" t="str">
        <f>"1-416-22"</f>
        <v>1-416-22</v>
      </c>
      <c r="F7740" t="s">
        <v>15</v>
      </c>
      <c r="G7740" t="s">
        <v>20</v>
      </c>
      <c r="H7740" t="s">
        <v>21</v>
      </c>
      <c r="I7740">
        <v>1</v>
      </c>
      <c r="J7740">
        <v>0</v>
      </c>
      <c r="K7740">
        <v>0</v>
      </c>
    </row>
    <row r="7741" spans="1:11" x14ac:dyDescent="0.25">
      <c r="A7741" t="str">
        <f>"9670"</f>
        <v>9670</v>
      </c>
      <c r="B7741" t="str">
        <f t="shared" si="506"/>
        <v>1</v>
      </c>
      <c r="C7741" t="str">
        <f t="shared" si="508"/>
        <v>416</v>
      </c>
      <c r="D7741" t="str">
        <f>"13"</f>
        <v>13</v>
      </c>
      <c r="E7741" t="str">
        <f>"1-416-13"</f>
        <v>1-416-13</v>
      </c>
      <c r="F7741" t="s">
        <v>15</v>
      </c>
      <c r="G7741" t="s">
        <v>20</v>
      </c>
      <c r="H7741" t="s">
        <v>21</v>
      </c>
      <c r="I7741">
        <v>0</v>
      </c>
      <c r="J7741">
        <v>1</v>
      </c>
      <c r="K7741">
        <v>0</v>
      </c>
    </row>
    <row r="7742" spans="1:11" x14ac:dyDescent="0.25">
      <c r="A7742" t="str">
        <f>"9671"</f>
        <v>9671</v>
      </c>
      <c r="B7742" t="str">
        <f t="shared" si="506"/>
        <v>1</v>
      </c>
      <c r="C7742" t="str">
        <f t="shared" si="508"/>
        <v>416</v>
      </c>
      <c r="D7742" t="str">
        <f>"23"</f>
        <v>23</v>
      </c>
      <c r="E7742" t="str">
        <f>"1-416-23"</f>
        <v>1-416-23</v>
      </c>
      <c r="F7742" t="s">
        <v>15</v>
      </c>
      <c r="G7742" t="s">
        <v>20</v>
      </c>
      <c r="H7742" t="s">
        <v>21</v>
      </c>
      <c r="I7742">
        <v>0</v>
      </c>
      <c r="J7742">
        <v>1</v>
      </c>
      <c r="K7742">
        <v>0</v>
      </c>
    </row>
    <row r="7743" spans="1:11" x14ac:dyDescent="0.25">
      <c r="A7743" t="str">
        <f>"9672"</f>
        <v>9672</v>
      </c>
      <c r="B7743" t="str">
        <f t="shared" si="506"/>
        <v>1</v>
      </c>
      <c r="C7743" t="str">
        <f t="shared" si="508"/>
        <v>416</v>
      </c>
      <c r="D7743" t="str">
        <f>"2"</f>
        <v>2</v>
      </c>
      <c r="E7743" t="str">
        <f>"1-416-2"</f>
        <v>1-416-2</v>
      </c>
      <c r="F7743" t="s">
        <v>15</v>
      </c>
      <c r="G7743" t="s">
        <v>20</v>
      </c>
      <c r="H7743" t="s">
        <v>21</v>
      </c>
      <c r="I7743">
        <v>0</v>
      </c>
      <c r="J7743">
        <v>1</v>
      </c>
      <c r="K7743">
        <v>0</v>
      </c>
    </row>
    <row r="7744" spans="1:11" x14ac:dyDescent="0.25">
      <c r="A7744" t="str">
        <f>"9674"</f>
        <v>9674</v>
      </c>
      <c r="B7744" t="str">
        <f t="shared" si="506"/>
        <v>1</v>
      </c>
      <c r="C7744" t="str">
        <f t="shared" si="508"/>
        <v>416</v>
      </c>
      <c r="D7744" t="str">
        <f>"6"</f>
        <v>6</v>
      </c>
      <c r="E7744" t="str">
        <f>"1-416-6"</f>
        <v>1-416-6</v>
      </c>
      <c r="F7744" t="s">
        <v>15</v>
      </c>
      <c r="G7744" t="s">
        <v>20</v>
      </c>
      <c r="H7744" t="s">
        <v>21</v>
      </c>
      <c r="I7744">
        <v>0</v>
      </c>
      <c r="J7744">
        <v>0</v>
      </c>
      <c r="K7744">
        <v>1</v>
      </c>
    </row>
    <row r="7745" spans="1:11" x14ac:dyDescent="0.25">
      <c r="A7745" t="str">
        <f>"9675"</f>
        <v>9675</v>
      </c>
      <c r="B7745" t="str">
        <f t="shared" si="506"/>
        <v>1</v>
      </c>
      <c r="C7745" t="str">
        <f t="shared" si="508"/>
        <v>416</v>
      </c>
      <c r="D7745" t="str">
        <f>"9"</f>
        <v>9</v>
      </c>
      <c r="E7745" t="str">
        <f>"1-416-9"</f>
        <v>1-416-9</v>
      </c>
      <c r="F7745" t="s">
        <v>15</v>
      </c>
      <c r="G7745" t="s">
        <v>20</v>
      </c>
      <c r="H7745" t="s">
        <v>21</v>
      </c>
      <c r="I7745">
        <v>1</v>
      </c>
      <c r="J7745">
        <v>0</v>
      </c>
      <c r="K7745">
        <v>0</v>
      </c>
    </row>
    <row r="7746" spans="1:11" x14ac:dyDescent="0.25">
      <c r="A7746" t="str">
        <f>"9676"</f>
        <v>9676</v>
      </c>
      <c r="B7746" t="str">
        <f t="shared" si="506"/>
        <v>1</v>
      </c>
      <c r="C7746" t="str">
        <f t="shared" si="508"/>
        <v>416</v>
      </c>
      <c r="D7746" t="str">
        <f>"8"</f>
        <v>8</v>
      </c>
      <c r="E7746" t="str">
        <f>"1-416-8"</f>
        <v>1-416-8</v>
      </c>
      <c r="F7746" t="s">
        <v>15</v>
      </c>
      <c r="G7746" t="s">
        <v>20</v>
      </c>
      <c r="H7746" t="s">
        <v>21</v>
      </c>
      <c r="I7746">
        <v>0</v>
      </c>
      <c r="J7746">
        <v>0</v>
      </c>
      <c r="K7746">
        <v>1</v>
      </c>
    </row>
    <row r="7747" spans="1:11" x14ac:dyDescent="0.25">
      <c r="A7747" t="str">
        <f>"9677"</f>
        <v>9677</v>
      </c>
      <c r="B7747" t="str">
        <f t="shared" si="506"/>
        <v>1</v>
      </c>
      <c r="C7747" t="str">
        <f t="shared" si="508"/>
        <v>416</v>
      </c>
      <c r="D7747" t="str">
        <f>"14"</f>
        <v>14</v>
      </c>
      <c r="E7747" t="str">
        <f>"1-416-14"</f>
        <v>1-416-14</v>
      </c>
      <c r="F7747" t="s">
        <v>15</v>
      </c>
      <c r="G7747" t="s">
        <v>20</v>
      </c>
      <c r="H7747" t="s">
        <v>21</v>
      </c>
      <c r="I7747">
        <v>0</v>
      </c>
      <c r="J7747">
        <v>1</v>
      </c>
      <c r="K7747">
        <v>0</v>
      </c>
    </row>
    <row r="7748" spans="1:11" x14ac:dyDescent="0.25">
      <c r="A7748" t="str">
        <f>"9678"</f>
        <v>9678</v>
      </c>
      <c r="B7748" t="str">
        <f t="shared" si="506"/>
        <v>1</v>
      </c>
      <c r="C7748" t="str">
        <f t="shared" si="508"/>
        <v>416</v>
      </c>
      <c r="D7748" t="str">
        <f>"1"</f>
        <v>1</v>
      </c>
      <c r="E7748" t="str">
        <f>"1-416-1"</f>
        <v>1-416-1</v>
      </c>
      <c r="F7748" t="s">
        <v>15</v>
      </c>
      <c r="G7748" t="s">
        <v>20</v>
      </c>
      <c r="H7748" t="s">
        <v>21</v>
      </c>
      <c r="I7748">
        <v>0</v>
      </c>
      <c r="J7748">
        <v>0</v>
      </c>
      <c r="K7748">
        <v>0</v>
      </c>
    </row>
    <row r="7749" spans="1:11" x14ac:dyDescent="0.25">
      <c r="A7749" t="str">
        <f>"9679"</f>
        <v>9679</v>
      </c>
      <c r="B7749" t="str">
        <f t="shared" si="506"/>
        <v>1</v>
      </c>
      <c r="C7749" t="str">
        <f t="shared" si="508"/>
        <v>416</v>
      </c>
      <c r="D7749" t="str">
        <f>"17"</f>
        <v>17</v>
      </c>
      <c r="E7749" t="str">
        <f>"1-416-17"</f>
        <v>1-416-17</v>
      </c>
      <c r="F7749" t="s">
        <v>15</v>
      </c>
      <c r="G7749" t="s">
        <v>20</v>
      </c>
      <c r="H7749" t="s">
        <v>21</v>
      </c>
      <c r="I7749">
        <v>0</v>
      </c>
      <c r="J7749">
        <v>0</v>
      </c>
      <c r="K7749">
        <v>1</v>
      </c>
    </row>
    <row r="7750" spans="1:11" x14ac:dyDescent="0.25">
      <c r="A7750" t="str">
        <f>"9680"</f>
        <v>9680</v>
      </c>
      <c r="B7750" t="str">
        <f t="shared" si="506"/>
        <v>1</v>
      </c>
      <c r="C7750" t="str">
        <f t="shared" si="508"/>
        <v>416</v>
      </c>
      <c r="D7750" t="str">
        <f>"3"</f>
        <v>3</v>
      </c>
      <c r="E7750" t="str">
        <f>"1-416-3"</f>
        <v>1-416-3</v>
      </c>
      <c r="F7750" t="s">
        <v>15</v>
      </c>
      <c r="G7750" t="s">
        <v>20</v>
      </c>
      <c r="H7750" t="s">
        <v>21</v>
      </c>
      <c r="I7750">
        <v>0</v>
      </c>
      <c r="J7750">
        <v>0</v>
      </c>
      <c r="K7750">
        <v>0</v>
      </c>
    </row>
    <row r="7751" spans="1:11" x14ac:dyDescent="0.25">
      <c r="A7751" t="str">
        <f>"9681"</f>
        <v>9681</v>
      </c>
      <c r="B7751" t="str">
        <f t="shared" si="506"/>
        <v>1</v>
      </c>
      <c r="C7751" t="str">
        <f t="shared" ref="C7751:C7772" si="509">"417"</f>
        <v>417</v>
      </c>
      <c r="D7751" t="str">
        <f>"15"</f>
        <v>15</v>
      </c>
      <c r="E7751" t="str">
        <f>"1-417-15"</f>
        <v>1-417-15</v>
      </c>
      <c r="F7751" t="s">
        <v>15</v>
      </c>
      <c r="G7751" t="s">
        <v>20</v>
      </c>
      <c r="H7751" t="s">
        <v>21</v>
      </c>
      <c r="I7751">
        <v>1</v>
      </c>
      <c r="J7751">
        <v>0</v>
      </c>
      <c r="K7751">
        <v>0</v>
      </c>
    </row>
    <row r="7752" spans="1:11" x14ac:dyDescent="0.25">
      <c r="A7752" t="str">
        <f>"9682"</f>
        <v>9682</v>
      </c>
      <c r="B7752" t="str">
        <f t="shared" si="506"/>
        <v>1</v>
      </c>
      <c r="C7752" t="str">
        <f t="shared" si="509"/>
        <v>417</v>
      </c>
      <c r="D7752" t="str">
        <f>"6"</f>
        <v>6</v>
      </c>
      <c r="E7752" t="str">
        <f>"1-417-6"</f>
        <v>1-417-6</v>
      </c>
      <c r="F7752" t="s">
        <v>15</v>
      </c>
      <c r="G7752" t="s">
        <v>20</v>
      </c>
      <c r="H7752" t="s">
        <v>21</v>
      </c>
      <c r="I7752">
        <v>1</v>
      </c>
      <c r="J7752">
        <v>0</v>
      </c>
      <c r="K7752">
        <v>0</v>
      </c>
    </row>
    <row r="7753" spans="1:11" x14ac:dyDescent="0.25">
      <c r="A7753" t="str">
        <f>"9683"</f>
        <v>9683</v>
      </c>
      <c r="B7753" t="str">
        <f t="shared" si="506"/>
        <v>1</v>
      </c>
      <c r="C7753" t="str">
        <f t="shared" si="509"/>
        <v>417</v>
      </c>
      <c r="D7753" t="str">
        <f>"16"</f>
        <v>16</v>
      </c>
      <c r="E7753" t="str">
        <f>"1-417-16"</f>
        <v>1-417-16</v>
      </c>
      <c r="F7753" t="s">
        <v>15</v>
      </c>
      <c r="G7753" t="s">
        <v>20</v>
      </c>
      <c r="H7753" t="s">
        <v>21</v>
      </c>
      <c r="I7753">
        <v>1</v>
      </c>
      <c r="J7753">
        <v>0</v>
      </c>
      <c r="K7753">
        <v>0</v>
      </c>
    </row>
    <row r="7754" spans="1:11" x14ac:dyDescent="0.25">
      <c r="A7754" t="str">
        <f>"9684"</f>
        <v>9684</v>
      </c>
      <c r="B7754" t="str">
        <f t="shared" si="506"/>
        <v>1</v>
      </c>
      <c r="C7754" t="str">
        <f t="shared" si="509"/>
        <v>417</v>
      </c>
      <c r="D7754" t="str">
        <f>"1"</f>
        <v>1</v>
      </c>
      <c r="E7754" t="str">
        <f>"1-417-1"</f>
        <v>1-417-1</v>
      </c>
      <c r="F7754" t="s">
        <v>15</v>
      </c>
      <c r="G7754" t="s">
        <v>20</v>
      </c>
      <c r="H7754" t="s">
        <v>21</v>
      </c>
      <c r="I7754">
        <v>1</v>
      </c>
      <c r="J7754">
        <v>0</v>
      </c>
      <c r="K7754">
        <v>0</v>
      </c>
    </row>
    <row r="7755" spans="1:11" x14ac:dyDescent="0.25">
      <c r="A7755" t="str">
        <f>"9685"</f>
        <v>9685</v>
      </c>
      <c r="B7755" t="str">
        <f t="shared" si="506"/>
        <v>1</v>
      </c>
      <c r="C7755" t="str">
        <f t="shared" si="509"/>
        <v>417</v>
      </c>
      <c r="D7755" t="str">
        <f>"17"</f>
        <v>17</v>
      </c>
      <c r="E7755" t="str">
        <f>"1-417-17"</f>
        <v>1-417-17</v>
      </c>
      <c r="F7755" t="s">
        <v>15</v>
      </c>
      <c r="G7755" t="s">
        <v>20</v>
      </c>
      <c r="H7755" t="s">
        <v>21</v>
      </c>
      <c r="I7755">
        <v>0</v>
      </c>
      <c r="J7755">
        <v>0</v>
      </c>
      <c r="K7755">
        <v>1</v>
      </c>
    </row>
    <row r="7756" spans="1:11" x14ac:dyDescent="0.25">
      <c r="A7756" t="str">
        <f>"9686"</f>
        <v>9686</v>
      </c>
      <c r="B7756" t="str">
        <f t="shared" si="506"/>
        <v>1</v>
      </c>
      <c r="C7756" t="str">
        <f t="shared" si="509"/>
        <v>417</v>
      </c>
      <c r="D7756" t="str">
        <f>"3"</f>
        <v>3</v>
      </c>
      <c r="E7756" t="str">
        <f>"1-417-3"</f>
        <v>1-417-3</v>
      </c>
      <c r="F7756" t="s">
        <v>15</v>
      </c>
      <c r="G7756" t="s">
        <v>20</v>
      </c>
      <c r="H7756" t="s">
        <v>21</v>
      </c>
      <c r="I7756">
        <v>1</v>
      </c>
      <c r="J7756">
        <v>0</v>
      </c>
      <c r="K7756">
        <v>0</v>
      </c>
    </row>
    <row r="7757" spans="1:11" x14ac:dyDescent="0.25">
      <c r="A7757" t="str">
        <f>"9687"</f>
        <v>9687</v>
      </c>
      <c r="B7757" t="str">
        <f t="shared" si="506"/>
        <v>1</v>
      </c>
      <c r="C7757" t="str">
        <f t="shared" si="509"/>
        <v>417</v>
      </c>
      <c r="D7757" t="str">
        <f>"18"</f>
        <v>18</v>
      </c>
      <c r="E7757" t="str">
        <f>"1-417-18"</f>
        <v>1-417-18</v>
      </c>
      <c r="F7757" t="s">
        <v>15</v>
      </c>
      <c r="G7757" t="s">
        <v>20</v>
      </c>
      <c r="H7757" t="s">
        <v>21</v>
      </c>
      <c r="I7757">
        <v>1</v>
      </c>
      <c r="J7757">
        <v>0</v>
      </c>
      <c r="K7757">
        <v>0</v>
      </c>
    </row>
    <row r="7758" spans="1:11" x14ac:dyDescent="0.25">
      <c r="A7758" t="str">
        <f>"9688"</f>
        <v>9688</v>
      </c>
      <c r="B7758" t="str">
        <f t="shared" si="506"/>
        <v>1</v>
      </c>
      <c r="C7758" t="str">
        <f t="shared" si="509"/>
        <v>417</v>
      </c>
      <c r="D7758" t="str">
        <f>"9"</f>
        <v>9</v>
      </c>
      <c r="E7758" t="str">
        <f>"1-417-9"</f>
        <v>1-417-9</v>
      </c>
      <c r="F7758" t="s">
        <v>15</v>
      </c>
      <c r="G7758" t="s">
        <v>20</v>
      </c>
      <c r="H7758" t="s">
        <v>21</v>
      </c>
      <c r="I7758">
        <v>1</v>
      </c>
      <c r="J7758">
        <v>0</v>
      </c>
      <c r="K7758">
        <v>0</v>
      </c>
    </row>
    <row r="7759" spans="1:11" x14ac:dyDescent="0.25">
      <c r="A7759" t="str">
        <f>"9689"</f>
        <v>9689</v>
      </c>
      <c r="B7759" t="str">
        <f t="shared" si="506"/>
        <v>1</v>
      </c>
      <c r="C7759" t="str">
        <f t="shared" si="509"/>
        <v>417</v>
      </c>
      <c r="D7759" t="str">
        <f>"19"</f>
        <v>19</v>
      </c>
      <c r="E7759" t="str">
        <f>"1-417-19"</f>
        <v>1-417-19</v>
      </c>
      <c r="F7759" t="s">
        <v>15</v>
      </c>
      <c r="G7759" t="s">
        <v>20</v>
      </c>
      <c r="H7759" t="s">
        <v>21</v>
      </c>
      <c r="I7759">
        <v>0</v>
      </c>
      <c r="J7759">
        <v>0</v>
      </c>
      <c r="K7759">
        <v>1</v>
      </c>
    </row>
    <row r="7760" spans="1:11" x14ac:dyDescent="0.25">
      <c r="A7760" t="str">
        <f>"9690"</f>
        <v>9690</v>
      </c>
      <c r="B7760" t="str">
        <f t="shared" ref="B7760:B7797" si="510">"1"</f>
        <v>1</v>
      </c>
      <c r="C7760" t="str">
        <f t="shared" si="509"/>
        <v>417</v>
      </c>
      <c r="D7760" t="str">
        <f>"12"</f>
        <v>12</v>
      </c>
      <c r="E7760" t="str">
        <f>"1-417-12"</f>
        <v>1-417-12</v>
      </c>
      <c r="F7760" t="s">
        <v>15</v>
      </c>
      <c r="G7760" t="s">
        <v>20</v>
      </c>
      <c r="H7760" t="s">
        <v>21</v>
      </c>
      <c r="I7760">
        <v>0</v>
      </c>
      <c r="J7760">
        <v>0</v>
      </c>
      <c r="K7760">
        <v>1</v>
      </c>
    </row>
    <row r="7761" spans="1:11" x14ac:dyDescent="0.25">
      <c r="A7761" t="str">
        <f>"9691"</f>
        <v>9691</v>
      </c>
      <c r="B7761" t="str">
        <f t="shared" si="510"/>
        <v>1</v>
      </c>
      <c r="C7761" t="str">
        <f t="shared" si="509"/>
        <v>417</v>
      </c>
      <c r="D7761" t="str">
        <f>"20"</f>
        <v>20</v>
      </c>
      <c r="E7761" t="str">
        <f>"1-417-20"</f>
        <v>1-417-20</v>
      </c>
      <c r="F7761" t="s">
        <v>15</v>
      </c>
      <c r="G7761" t="s">
        <v>20</v>
      </c>
      <c r="H7761" t="s">
        <v>21</v>
      </c>
      <c r="I7761">
        <v>0</v>
      </c>
      <c r="J7761">
        <v>0</v>
      </c>
      <c r="K7761">
        <v>1</v>
      </c>
    </row>
    <row r="7762" spans="1:11" x14ac:dyDescent="0.25">
      <c r="A7762" t="str">
        <f>"9692"</f>
        <v>9692</v>
      </c>
      <c r="B7762" t="str">
        <f t="shared" si="510"/>
        <v>1</v>
      </c>
      <c r="C7762" t="str">
        <f t="shared" si="509"/>
        <v>417</v>
      </c>
      <c r="D7762" t="str">
        <f>"4"</f>
        <v>4</v>
      </c>
      <c r="E7762" t="str">
        <f>"1-417-4"</f>
        <v>1-417-4</v>
      </c>
      <c r="F7762" t="s">
        <v>15</v>
      </c>
      <c r="G7762" t="s">
        <v>20</v>
      </c>
      <c r="H7762" t="s">
        <v>21</v>
      </c>
      <c r="I7762">
        <v>1</v>
      </c>
      <c r="J7762">
        <v>0</v>
      </c>
      <c r="K7762">
        <v>0</v>
      </c>
    </row>
    <row r="7763" spans="1:11" x14ac:dyDescent="0.25">
      <c r="A7763" t="str">
        <f>"9693"</f>
        <v>9693</v>
      </c>
      <c r="B7763" t="str">
        <f t="shared" si="510"/>
        <v>1</v>
      </c>
      <c r="C7763" t="str">
        <f t="shared" si="509"/>
        <v>417</v>
      </c>
      <c r="D7763" t="str">
        <f>"21"</f>
        <v>21</v>
      </c>
      <c r="E7763" t="str">
        <f>"1-417-21"</f>
        <v>1-417-21</v>
      </c>
      <c r="F7763" t="s">
        <v>15</v>
      </c>
      <c r="G7763" t="s">
        <v>20</v>
      </c>
      <c r="H7763" t="s">
        <v>21</v>
      </c>
      <c r="I7763">
        <v>0</v>
      </c>
      <c r="J7763">
        <v>1</v>
      </c>
      <c r="K7763">
        <v>0</v>
      </c>
    </row>
    <row r="7764" spans="1:11" x14ac:dyDescent="0.25">
      <c r="A7764" t="str">
        <f>"9694"</f>
        <v>9694</v>
      </c>
      <c r="B7764" t="str">
        <f t="shared" si="510"/>
        <v>1</v>
      </c>
      <c r="C7764" t="str">
        <f t="shared" si="509"/>
        <v>417</v>
      </c>
      <c r="D7764" t="str">
        <f>"11"</f>
        <v>11</v>
      </c>
      <c r="E7764" t="str">
        <f>"1-417-11"</f>
        <v>1-417-11</v>
      </c>
      <c r="F7764" t="s">
        <v>15</v>
      </c>
      <c r="G7764" t="s">
        <v>20</v>
      </c>
      <c r="H7764" t="s">
        <v>21</v>
      </c>
      <c r="I7764">
        <v>0</v>
      </c>
      <c r="J7764">
        <v>0</v>
      </c>
      <c r="K7764">
        <v>1</v>
      </c>
    </row>
    <row r="7765" spans="1:11" x14ac:dyDescent="0.25">
      <c r="A7765" t="str">
        <f>"9695"</f>
        <v>9695</v>
      </c>
      <c r="B7765" t="str">
        <f t="shared" si="510"/>
        <v>1</v>
      </c>
      <c r="C7765" t="str">
        <f t="shared" si="509"/>
        <v>417</v>
      </c>
      <c r="D7765" t="str">
        <f>"22"</f>
        <v>22</v>
      </c>
      <c r="E7765" t="str">
        <f>"1-417-22"</f>
        <v>1-417-22</v>
      </c>
      <c r="F7765" t="s">
        <v>15</v>
      </c>
      <c r="G7765" t="s">
        <v>20</v>
      </c>
      <c r="H7765" t="s">
        <v>21</v>
      </c>
      <c r="I7765">
        <v>0</v>
      </c>
      <c r="J7765">
        <v>1</v>
      </c>
      <c r="K7765">
        <v>0</v>
      </c>
    </row>
    <row r="7766" spans="1:11" x14ac:dyDescent="0.25">
      <c r="A7766" t="str">
        <f>"9696"</f>
        <v>9696</v>
      </c>
      <c r="B7766" t="str">
        <f t="shared" si="510"/>
        <v>1</v>
      </c>
      <c r="C7766" t="str">
        <f t="shared" si="509"/>
        <v>417</v>
      </c>
      <c r="D7766" t="str">
        <f>"5"</f>
        <v>5</v>
      </c>
      <c r="E7766" t="str">
        <f>"1-417-5"</f>
        <v>1-417-5</v>
      </c>
      <c r="F7766" t="s">
        <v>15</v>
      </c>
      <c r="G7766" t="s">
        <v>20</v>
      </c>
      <c r="H7766" t="s">
        <v>21</v>
      </c>
      <c r="I7766">
        <v>1</v>
      </c>
      <c r="J7766">
        <v>0</v>
      </c>
      <c r="K7766">
        <v>0</v>
      </c>
    </row>
    <row r="7767" spans="1:11" x14ac:dyDescent="0.25">
      <c r="A7767" t="str">
        <f>"9697"</f>
        <v>9697</v>
      </c>
      <c r="B7767" t="str">
        <f t="shared" si="510"/>
        <v>1</v>
      </c>
      <c r="C7767" t="str">
        <f t="shared" si="509"/>
        <v>417</v>
      </c>
      <c r="D7767" t="str">
        <f>"14"</f>
        <v>14</v>
      </c>
      <c r="E7767" t="str">
        <f>"1-417-14"</f>
        <v>1-417-14</v>
      </c>
      <c r="F7767" t="s">
        <v>15</v>
      </c>
      <c r="G7767" t="s">
        <v>20</v>
      </c>
      <c r="H7767" t="s">
        <v>21</v>
      </c>
      <c r="I7767">
        <v>1</v>
      </c>
      <c r="J7767">
        <v>0</v>
      </c>
      <c r="K7767">
        <v>0</v>
      </c>
    </row>
    <row r="7768" spans="1:11" x14ac:dyDescent="0.25">
      <c r="A7768" t="str">
        <f>"9698"</f>
        <v>9698</v>
      </c>
      <c r="B7768" t="str">
        <f t="shared" si="510"/>
        <v>1</v>
      </c>
      <c r="C7768" t="str">
        <f t="shared" si="509"/>
        <v>417</v>
      </c>
      <c r="D7768" t="str">
        <f>"7"</f>
        <v>7</v>
      </c>
      <c r="E7768" t="str">
        <f>"1-417-7"</f>
        <v>1-417-7</v>
      </c>
      <c r="F7768" t="s">
        <v>15</v>
      </c>
      <c r="G7768" t="s">
        <v>20</v>
      </c>
      <c r="H7768" t="s">
        <v>21</v>
      </c>
      <c r="I7768">
        <v>1</v>
      </c>
      <c r="J7768">
        <v>0</v>
      </c>
      <c r="K7768">
        <v>0</v>
      </c>
    </row>
    <row r="7769" spans="1:11" x14ac:dyDescent="0.25">
      <c r="A7769" t="str">
        <f>"9699"</f>
        <v>9699</v>
      </c>
      <c r="B7769" t="str">
        <f t="shared" si="510"/>
        <v>1</v>
      </c>
      <c r="C7769" t="str">
        <f t="shared" si="509"/>
        <v>417</v>
      </c>
      <c r="D7769" t="str">
        <f>"10"</f>
        <v>10</v>
      </c>
      <c r="E7769" t="str">
        <f>"1-417-10"</f>
        <v>1-417-10</v>
      </c>
      <c r="F7769" t="s">
        <v>15</v>
      </c>
      <c r="G7769" t="s">
        <v>20</v>
      </c>
      <c r="H7769" t="s">
        <v>21</v>
      </c>
      <c r="I7769">
        <v>1</v>
      </c>
      <c r="J7769">
        <v>0</v>
      </c>
      <c r="K7769">
        <v>0</v>
      </c>
    </row>
    <row r="7770" spans="1:11" x14ac:dyDescent="0.25">
      <c r="A7770" t="str">
        <f>"9700"</f>
        <v>9700</v>
      </c>
      <c r="B7770" t="str">
        <f t="shared" si="510"/>
        <v>1</v>
      </c>
      <c r="C7770" t="str">
        <f t="shared" si="509"/>
        <v>417</v>
      </c>
      <c r="D7770" t="str">
        <f>"13"</f>
        <v>13</v>
      </c>
      <c r="E7770" t="str">
        <f>"1-417-13"</f>
        <v>1-417-13</v>
      </c>
      <c r="F7770" t="s">
        <v>15</v>
      </c>
      <c r="G7770" t="s">
        <v>20</v>
      </c>
      <c r="H7770" t="s">
        <v>21</v>
      </c>
      <c r="I7770">
        <v>1</v>
      </c>
      <c r="J7770">
        <v>0</v>
      </c>
      <c r="K7770">
        <v>0</v>
      </c>
    </row>
    <row r="7771" spans="1:11" x14ac:dyDescent="0.25">
      <c r="A7771" t="str">
        <f>"9701"</f>
        <v>9701</v>
      </c>
      <c r="B7771" t="str">
        <f t="shared" si="510"/>
        <v>1</v>
      </c>
      <c r="C7771" t="str">
        <f t="shared" si="509"/>
        <v>417</v>
      </c>
      <c r="D7771" t="str">
        <f>"8"</f>
        <v>8</v>
      </c>
      <c r="E7771" t="str">
        <f>"1-417-8"</f>
        <v>1-417-8</v>
      </c>
      <c r="F7771" t="s">
        <v>15</v>
      </c>
      <c r="G7771" t="s">
        <v>20</v>
      </c>
      <c r="H7771" t="s">
        <v>21</v>
      </c>
      <c r="I7771">
        <v>1</v>
      </c>
      <c r="J7771">
        <v>0</v>
      </c>
      <c r="K7771">
        <v>0</v>
      </c>
    </row>
    <row r="7772" spans="1:11" x14ac:dyDescent="0.25">
      <c r="A7772" t="str">
        <f>"9702"</f>
        <v>9702</v>
      </c>
      <c r="B7772" t="str">
        <f t="shared" si="510"/>
        <v>1</v>
      </c>
      <c r="C7772" t="str">
        <f t="shared" si="509"/>
        <v>417</v>
      </c>
      <c r="D7772" t="str">
        <f>"2"</f>
        <v>2</v>
      </c>
      <c r="E7772" t="str">
        <f>"1-417-2"</f>
        <v>1-417-2</v>
      </c>
      <c r="F7772" t="s">
        <v>15</v>
      </c>
      <c r="G7772" t="s">
        <v>20</v>
      </c>
      <c r="H7772" t="s">
        <v>21</v>
      </c>
      <c r="I7772">
        <v>1</v>
      </c>
      <c r="J7772">
        <v>0</v>
      </c>
      <c r="K7772">
        <v>0</v>
      </c>
    </row>
    <row r="7773" spans="1:11" x14ac:dyDescent="0.25">
      <c r="A7773" t="str">
        <f>"9703"</f>
        <v>9703</v>
      </c>
      <c r="B7773" t="str">
        <f t="shared" si="510"/>
        <v>1</v>
      </c>
      <c r="C7773" t="str">
        <f t="shared" ref="C7773:C7797" si="511">"418"</f>
        <v>418</v>
      </c>
      <c r="D7773" t="str">
        <f>"22"</f>
        <v>22</v>
      </c>
      <c r="E7773" t="str">
        <f>"1-418-22"</f>
        <v>1-418-22</v>
      </c>
      <c r="F7773" t="s">
        <v>15</v>
      </c>
      <c r="G7773" t="s">
        <v>20</v>
      </c>
      <c r="H7773" t="s">
        <v>21</v>
      </c>
      <c r="I7773">
        <v>0</v>
      </c>
      <c r="J7773">
        <v>1</v>
      </c>
      <c r="K7773">
        <v>0</v>
      </c>
    </row>
    <row r="7774" spans="1:11" x14ac:dyDescent="0.25">
      <c r="A7774" t="str">
        <f>"9704"</f>
        <v>9704</v>
      </c>
      <c r="B7774" t="str">
        <f t="shared" si="510"/>
        <v>1</v>
      </c>
      <c r="C7774" t="str">
        <f t="shared" si="511"/>
        <v>418</v>
      </c>
      <c r="D7774" t="str">
        <f>"16"</f>
        <v>16</v>
      </c>
      <c r="E7774" t="str">
        <f>"1-418-16"</f>
        <v>1-418-16</v>
      </c>
      <c r="F7774" t="s">
        <v>15</v>
      </c>
      <c r="G7774" t="s">
        <v>20</v>
      </c>
      <c r="H7774" t="s">
        <v>21</v>
      </c>
      <c r="I7774">
        <v>1</v>
      </c>
      <c r="J7774">
        <v>0</v>
      </c>
      <c r="K7774">
        <v>0</v>
      </c>
    </row>
    <row r="7775" spans="1:11" x14ac:dyDescent="0.25">
      <c r="A7775" t="str">
        <f>"9705"</f>
        <v>9705</v>
      </c>
      <c r="B7775" t="str">
        <f t="shared" si="510"/>
        <v>1</v>
      </c>
      <c r="C7775" t="str">
        <f t="shared" si="511"/>
        <v>418</v>
      </c>
      <c r="D7775" t="str">
        <f>"1"</f>
        <v>1</v>
      </c>
      <c r="E7775" t="str">
        <f>"1-418-1"</f>
        <v>1-418-1</v>
      </c>
      <c r="F7775" t="s">
        <v>15</v>
      </c>
      <c r="G7775" t="s">
        <v>20</v>
      </c>
      <c r="H7775" t="s">
        <v>21</v>
      </c>
      <c r="I7775">
        <v>1</v>
      </c>
      <c r="J7775">
        <v>0</v>
      </c>
      <c r="K7775">
        <v>0</v>
      </c>
    </row>
    <row r="7776" spans="1:11" x14ac:dyDescent="0.25">
      <c r="A7776" t="str">
        <f>"9706"</f>
        <v>9706</v>
      </c>
      <c r="B7776" t="str">
        <f t="shared" si="510"/>
        <v>1</v>
      </c>
      <c r="C7776" t="str">
        <f t="shared" si="511"/>
        <v>418</v>
      </c>
      <c r="D7776" t="str">
        <f>"17"</f>
        <v>17</v>
      </c>
      <c r="E7776" t="str">
        <f>"1-418-17"</f>
        <v>1-418-17</v>
      </c>
      <c r="F7776" t="s">
        <v>15</v>
      </c>
      <c r="G7776" t="s">
        <v>20</v>
      </c>
      <c r="H7776" t="s">
        <v>21</v>
      </c>
      <c r="I7776">
        <v>1</v>
      </c>
      <c r="J7776">
        <v>0</v>
      </c>
      <c r="K7776">
        <v>0</v>
      </c>
    </row>
    <row r="7777" spans="1:11" x14ac:dyDescent="0.25">
      <c r="A7777" t="str">
        <f>"9707"</f>
        <v>9707</v>
      </c>
      <c r="B7777" t="str">
        <f t="shared" si="510"/>
        <v>1</v>
      </c>
      <c r="C7777" t="str">
        <f t="shared" si="511"/>
        <v>418</v>
      </c>
      <c r="D7777" t="str">
        <f>"12"</f>
        <v>12</v>
      </c>
      <c r="E7777" t="str">
        <f>"1-418-12"</f>
        <v>1-418-12</v>
      </c>
      <c r="F7777" t="s">
        <v>15</v>
      </c>
      <c r="G7777" t="s">
        <v>20</v>
      </c>
      <c r="H7777" t="s">
        <v>21</v>
      </c>
      <c r="I7777">
        <v>0</v>
      </c>
      <c r="J7777">
        <v>0</v>
      </c>
      <c r="K7777">
        <v>1</v>
      </c>
    </row>
    <row r="7778" spans="1:11" x14ac:dyDescent="0.25">
      <c r="A7778" t="str">
        <f>"9708"</f>
        <v>9708</v>
      </c>
      <c r="B7778" t="str">
        <f t="shared" si="510"/>
        <v>1</v>
      </c>
      <c r="C7778" t="str">
        <f t="shared" si="511"/>
        <v>418</v>
      </c>
      <c r="D7778" t="str">
        <f>"18"</f>
        <v>18</v>
      </c>
      <c r="E7778" t="str">
        <f>"1-418-18"</f>
        <v>1-418-18</v>
      </c>
      <c r="F7778" t="s">
        <v>15</v>
      </c>
      <c r="G7778" t="s">
        <v>20</v>
      </c>
      <c r="H7778" t="s">
        <v>21</v>
      </c>
      <c r="I7778">
        <v>1</v>
      </c>
      <c r="J7778">
        <v>0</v>
      </c>
      <c r="K7778">
        <v>0</v>
      </c>
    </row>
    <row r="7779" spans="1:11" x14ac:dyDescent="0.25">
      <c r="A7779" t="str">
        <f>"9709"</f>
        <v>9709</v>
      </c>
      <c r="B7779" t="str">
        <f t="shared" si="510"/>
        <v>1</v>
      </c>
      <c r="C7779" t="str">
        <f t="shared" si="511"/>
        <v>418</v>
      </c>
      <c r="D7779" t="str">
        <f>"14"</f>
        <v>14</v>
      </c>
      <c r="E7779" t="str">
        <f>"1-418-14"</f>
        <v>1-418-14</v>
      </c>
      <c r="F7779" t="s">
        <v>15</v>
      </c>
      <c r="G7779" t="s">
        <v>20</v>
      </c>
      <c r="H7779" t="s">
        <v>21</v>
      </c>
      <c r="I7779">
        <v>0</v>
      </c>
      <c r="J7779">
        <v>1</v>
      </c>
      <c r="K7779">
        <v>0</v>
      </c>
    </row>
    <row r="7780" spans="1:11" x14ac:dyDescent="0.25">
      <c r="A7780" t="str">
        <f>"9710"</f>
        <v>9710</v>
      </c>
      <c r="B7780" t="str">
        <f t="shared" si="510"/>
        <v>1</v>
      </c>
      <c r="C7780" t="str">
        <f t="shared" si="511"/>
        <v>418</v>
      </c>
      <c r="D7780" t="str">
        <f>"19"</f>
        <v>19</v>
      </c>
      <c r="E7780" t="str">
        <f>"1-418-19"</f>
        <v>1-418-19</v>
      </c>
      <c r="F7780" t="s">
        <v>15</v>
      </c>
      <c r="G7780" t="s">
        <v>20</v>
      </c>
      <c r="H7780" t="s">
        <v>21</v>
      </c>
      <c r="I7780">
        <v>1</v>
      </c>
      <c r="J7780">
        <v>0</v>
      </c>
      <c r="K7780">
        <v>0</v>
      </c>
    </row>
    <row r="7781" spans="1:11" x14ac:dyDescent="0.25">
      <c r="A7781" t="str">
        <f>"9711"</f>
        <v>9711</v>
      </c>
      <c r="B7781" t="str">
        <f t="shared" si="510"/>
        <v>1</v>
      </c>
      <c r="C7781" t="str">
        <f t="shared" si="511"/>
        <v>418</v>
      </c>
      <c r="D7781" t="str">
        <f>"8"</f>
        <v>8</v>
      </c>
      <c r="E7781" t="str">
        <f>"1-418-8"</f>
        <v>1-418-8</v>
      </c>
      <c r="F7781" t="s">
        <v>15</v>
      </c>
      <c r="G7781" t="s">
        <v>20</v>
      </c>
      <c r="H7781" t="s">
        <v>21</v>
      </c>
      <c r="I7781">
        <v>1</v>
      </c>
      <c r="J7781">
        <v>0</v>
      </c>
      <c r="K7781">
        <v>0</v>
      </c>
    </row>
    <row r="7782" spans="1:11" x14ac:dyDescent="0.25">
      <c r="A7782" t="str">
        <f>"9712"</f>
        <v>9712</v>
      </c>
      <c r="B7782" t="str">
        <f t="shared" si="510"/>
        <v>1</v>
      </c>
      <c r="C7782" t="str">
        <f t="shared" si="511"/>
        <v>418</v>
      </c>
      <c r="D7782" t="str">
        <f>"20"</f>
        <v>20</v>
      </c>
      <c r="E7782" t="str">
        <f>"1-418-20"</f>
        <v>1-418-20</v>
      </c>
      <c r="F7782" t="s">
        <v>15</v>
      </c>
      <c r="G7782" t="s">
        <v>20</v>
      </c>
      <c r="H7782" t="s">
        <v>21</v>
      </c>
      <c r="I7782">
        <v>1</v>
      </c>
      <c r="J7782">
        <v>0</v>
      </c>
      <c r="K7782">
        <v>0</v>
      </c>
    </row>
    <row r="7783" spans="1:11" x14ac:dyDescent="0.25">
      <c r="A7783" t="str">
        <f>"9713"</f>
        <v>9713</v>
      </c>
      <c r="B7783" t="str">
        <f t="shared" si="510"/>
        <v>1</v>
      </c>
      <c r="C7783" t="str">
        <f t="shared" si="511"/>
        <v>418</v>
      </c>
      <c r="D7783" t="str">
        <f>"21"</f>
        <v>21</v>
      </c>
      <c r="E7783" t="str">
        <f>"1-418-21"</f>
        <v>1-418-21</v>
      </c>
      <c r="F7783" t="s">
        <v>15</v>
      </c>
      <c r="G7783" t="s">
        <v>20</v>
      </c>
      <c r="H7783" t="s">
        <v>21</v>
      </c>
      <c r="I7783">
        <v>1</v>
      </c>
      <c r="J7783">
        <v>0</v>
      </c>
      <c r="K7783">
        <v>0</v>
      </c>
    </row>
    <row r="7784" spans="1:11" x14ac:dyDescent="0.25">
      <c r="A7784" t="str">
        <f>"9714"</f>
        <v>9714</v>
      </c>
      <c r="B7784" t="str">
        <f t="shared" si="510"/>
        <v>1</v>
      </c>
      <c r="C7784" t="str">
        <f t="shared" si="511"/>
        <v>418</v>
      </c>
      <c r="D7784" t="str">
        <f>"5"</f>
        <v>5</v>
      </c>
      <c r="E7784" t="str">
        <f>"1-418-5"</f>
        <v>1-418-5</v>
      </c>
      <c r="F7784" t="s">
        <v>15</v>
      </c>
      <c r="G7784" t="s">
        <v>20</v>
      </c>
      <c r="H7784" t="s">
        <v>21</v>
      </c>
      <c r="I7784">
        <v>1</v>
      </c>
      <c r="J7784">
        <v>0</v>
      </c>
      <c r="K7784">
        <v>0</v>
      </c>
    </row>
    <row r="7785" spans="1:11" x14ac:dyDescent="0.25">
      <c r="A7785" t="str">
        <f>"9715"</f>
        <v>9715</v>
      </c>
      <c r="B7785" t="str">
        <f t="shared" si="510"/>
        <v>1</v>
      </c>
      <c r="C7785" t="str">
        <f t="shared" si="511"/>
        <v>418</v>
      </c>
      <c r="D7785" t="str">
        <f>"23"</f>
        <v>23</v>
      </c>
      <c r="E7785" t="str">
        <f>"1-418-23"</f>
        <v>1-418-23</v>
      </c>
      <c r="F7785" t="s">
        <v>15</v>
      </c>
      <c r="G7785" t="s">
        <v>20</v>
      </c>
      <c r="H7785" t="s">
        <v>21</v>
      </c>
      <c r="I7785">
        <v>0</v>
      </c>
      <c r="J7785">
        <v>1</v>
      </c>
      <c r="K7785">
        <v>0</v>
      </c>
    </row>
    <row r="7786" spans="1:11" x14ac:dyDescent="0.25">
      <c r="A7786" t="str">
        <f>"9716"</f>
        <v>9716</v>
      </c>
      <c r="B7786" t="str">
        <f t="shared" si="510"/>
        <v>1</v>
      </c>
      <c r="C7786" t="str">
        <f t="shared" si="511"/>
        <v>418</v>
      </c>
      <c r="D7786" t="str">
        <f>"2"</f>
        <v>2</v>
      </c>
      <c r="E7786" t="str">
        <f>"1-418-2"</f>
        <v>1-418-2</v>
      </c>
      <c r="F7786" t="s">
        <v>15</v>
      </c>
      <c r="G7786" t="s">
        <v>20</v>
      </c>
      <c r="H7786" t="s">
        <v>21</v>
      </c>
      <c r="I7786">
        <v>1</v>
      </c>
      <c r="J7786">
        <v>0</v>
      </c>
      <c r="K7786">
        <v>0</v>
      </c>
    </row>
    <row r="7787" spans="1:11" x14ac:dyDescent="0.25">
      <c r="A7787" t="str">
        <f>"9717"</f>
        <v>9717</v>
      </c>
      <c r="B7787" t="str">
        <f t="shared" si="510"/>
        <v>1</v>
      </c>
      <c r="C7787" t="str">
        <f t="shared" si="511"/>
        <v>418</v>
      </c>
      <c r="D7787" t="str">
        <f>"9"</f>
        <v>9</v>
      </c>
      <c r="E7787" t="str">
        <f>"1-418-9"</f>
        <v>1-418-9</v>
      </c>
      <c r="F7787" t="s">
        <v>15</v>
      </c>
      <c r="G7787" t="s">
        <v>20</v>
      </c>
      <c r="H7787" t="s">
        <v>21</v>
      </c>
      <c r="I7787">
        <v>1</v>
      </c>
      <c r="J7787">
        <v>0</v>
      </c>
      <c r="K7787">
        <v>0</v>
      </c>
    </row>
    <row r="7788" spans="1:11" x14ac:dyDescent="0.25">
      <c r="A7788" t="str">
        <f>"9718"</f>
        <v>9718</v>
      </c>
      <c r="B7788" t="str">
        <f t="shared" si="510"/>
        <v>1</v>
      </c>
      <c r="C7788" t="str">
        <f t="shared" si="511"/>
        <v>418</v>
      </c>
      <c r="D7788" t="str">
        <f>"25"</f>
        <v>25</v>
      </c>
      <c r="E7788" t="str">
        <f>"1-418-25"</f>
        <v>1-418-25</v>
      </c>
      <c r="F7788" t="s">
        <v>15</v>
      </c>
      <c r="G7788" t="s">
        <v>20</v>
      </c>
      <c r="H7788" t="s">
        <v>21</v>
      </c>
      <c r="I7788">
        <v>0</v>
      </c>
      <c r="J7788">
        <v>1</v>
      </c>
      <c r="K7788">
        <v>0</v>
      </c>
    </row>
    <row r="7789" spans="1:11" x14ac:dyDescent="0.25">
      <c r="A7789" t="str">
        <f>"9719"</f>
        <v>9719</v>
      </c>
      <c r="B7789" t="str">
        <f t="shared" si="510"/>
        <v>1</v>
      </c>
      <c r="C7789" t="str">
        <f t="shared" si="511"/>
        <v>418</v>
      </c>
      <c r="D7789" t="str">
        <f>"13"</f>
        <v>13</v>
      </c>
      <c r="E7789" t="str">
        <f>"1-418-13"</f>
        <v>1-418-13</v>
      </c>
      <c r="F7789" t="s">
        <v>15</v>
      </c>
      <c r="G7789" t="s">
        <v>20</v>
      </c>
      <c r="H7789" t="s">
        <v>21</v>
      </c>
      <c r="I7789">
        <v>0</v>
      </c>
      <c r="J7789">
        <v>1</v>
      </c>
      <c r="K7789">
        <v>0</v>
      </c>
    </row>
    <row r="7790" spans="1:11" x14ac:dyDescent="0.25">
      <c r="A7790" t="str">
        <f>"9720"</f>
        <v>9720</v>
      </c>
      <c r="B7790" t="str">
        <f t="shared" si="510"/>
        <v>1</v>
      </c>
      <c r="C7790" t="str">
        <f t="shared" si="511"/>
        <v>418</v>
      </c>
      <c r="D7790" t="str">
        <f>"3"</f>
        <v>3</v>
      </c>
      <c r="E7790" t="str">
        <f>"1-418-3"</f>
        <v>1-418-3</v>
      </c>
      <c r="F7790" t="s">
        <v>15</v>
      </c>
      <c r="G7790" t="s">
        <v>20</v>
      </c>
      <c r="H7790" t="s">
        <v>21</v>
      </c>
      <c r="I7790">
        <v>1</v>
      </c>
      <c r="J7790">
        <v>0</v>
      </c>
      <c r="K7790">
        <v>0</v>
      </c>
    </row>
    <row r="7791" spans="1:11" x14ac:dyDescent="0.25">
      <c r="A7791" t="str">
        <f>"9721"</f>
        <v>9721</v>
      </c>
      <c r="B7791" t="str">
        <f t="shared" si="510"/>
        <v>1</v>
      </c>
      <c r="C7791" t="str">
        <f t="shared" si="511"/>
        <v>418</v>
      </c>
      <c r="D7791" t="str">
        <f>"4"</f>
        <v>4</v>
      </c>
      <c r="E7791" t="str">
        <f>"1-418-4"</f>
        <v>1-418-4</v>
      </c>
      <c r="F7791" t="s">
        <v>15</v>
      </c>
      <c r="G7791" t="s">
        <v>20</v>
      </c>
      <c r="H7791" t="s">
        <v>21</v>
      </c>
      <c r="I7791">
        <v>0</v>
      </c>
      <c r="J7791">
        <v>0</v>
      </c>
      <c r="K7791">
        <v>1</v>
      </c>
    </row>
    <row r="7792" spans="1:11" x14ac:dyDescent="0.25">
      <c r="A7792" t="str">
        <f>"9722"</f>
        <v>9722</v>
      </c>
      <c r="B7792" t="str">
        <f t="shared" si="510"/>
        <v>1</v>
      </c>
      <c r="C7792" t="str">
        <f t="shared" si="511"/>
        <v>418</v>
      </c>
      <c r="D7792" t="str">
        <f>"7"</f>
        <v>7</v>
      </c>
      <c r="E7792" t="str">
        <f>"1-418-7"</f>
        <v>1-418-7</v>
      </c>
      <c r="F7792" t="s">
        <v>15</v>
      </c>
      <c r="G7792" t="s">
        <v>20</v>
      </c>
      <c r="H7792" t="s">
        <v>21</v>
      </c>
      <c r="I7792">
        <v>0</v>
      </c>
      <c r="J7792">
        <v>1</v>
      </c>
      <c r="K7792">
        <v>0</v>
      </c>
    </row>
    <row r="7793" spans="1:11" x14ac:dyDescent="0.25">
      <c r="A7793" t="str">
        <f>"9723"</f>
        <v>9723</v>
      </c>
      <c r="B7793" t="str">
        <f t="shared" si="510"/>
        <v>1</v>
      </c>
      <c r="C7793" t="str">
        <f t="shared" si="511"/>
        <v>418</v>
      </c>
      <c r="D7793" t="str">
        <f>"11"</f>
        <v>11</v>
      </c>
      <c r="E7793" t="str">
        <f>"1-418-11"</f>
        <v>1-418-11</v>
      </c>
      <c r="F7793" t="s">
        <v>15</v>
      </c>
      <c r="G7793" t="s">
        <v>20</v>
      </c>
      <c r="H7793" t="s">
        <v>21</v>
      </c>
      <c r="I7793">
        <v>0</v>
      </c>
      <c r="J7793">
        <v>0</v>
      </c>
      <c r="K7793">
        <v>1</v>
      </c>
    </row>
    <row r="7794" spans="1:11" x14ac:dyDescent="0.25">
      <c r="A7794" t="str">
        <f>"9724"</f>
        <v>9724</v>
      </c>
      <c r="B7794" t="str">
        <f t="shared" si="510"/>
        <v>1</v>
      </c>
      <c r="C7794" t="str">
        <f t="shared" si="511"/>
        <v>418</v>
      </c>
      <c r="D7794" t="str">
        <f>"6"</f>
        <v>6</v>
      </c>
      <c r="E7794" t="str">
        <f>"1-418-6"</f>
        <v>1-418-6</v>
      </c>
      <c r="F7794" t="s">
        <v>15</v>
      </c>
      <c r="G7794" t="s">
        <v>20</v>
      </c>
      <c r="H7794" t="s">
        <v>21</v>
      </c>
      <c r="I7794">
        <v>0</v>
      </c>
      <c r="J7794">
        <v>0</v>
      </c>
      <c r="K7794">
        <v>0</v>
      </c>
    </row>
    <row r="7795" spans="1:11" x14ac:dyDescent="0.25">
      <c r="A7795" t="str">
        <f>"9725"</f>
        <v>9725</v>
      </c>
      <c r="B7795" t="str">
        <f t="shared" si="510"/>
        <v>1</v>
      </c>
      <c r="C7795" t="str">
        <f t="shared" si="511"/>
        <v>418</v>
      </c>
      <c r="D7795" t="str">
        <f>"24"</f>
        <v>24</v>
      </c>
      <c r="E7795" t="str">
        <f>"1-418-24"</f>
        <v>1-418-24</v>
      </c>
      <c r="F7795" t="s">
        <v>15</v>
      </c>
      <c r="G7795" t="s">
        <v>20</v>
      </c>
      <c r="H7795" t="s">
        <v>21</v>
      </c>
      <c r="I7795">
        <v>0</v>
      </c>
      <c r="J7795">
        <v>1</v>
      </c>
      <c r="K7795">
        <v>0</v>
      </c>
    </row>
    <row r="7796" spans="1:11" x14ac:dyDescent="0.25">
      <c r="A7796" t="str">
        <f>"9726"</f>
        <v>9726</v>
      </c>
      <c r="B7796" t="str">
        <f t="shared" si="510"/>
        <v>1</v>
      </c>
      <c r="C7796" t="str">
        <f t="shared" si="511"/>
        <v>418</v>
      </c>
      <c r="D7796" t="str">
        <f>"15"</f>
        <v>15</v>
      </c>
      <c r="E7796" t="str">
        <f>"1-418-15"</f>
        <v>1-418-15</v>
      </c>
      <c r="F7796" t="s">
        <v>15</v>
      </c>
      <c r="G7796" t="s">
        <v>20</v>
      </c>
      <c r="H7796" t="s">
        <v>21</v>
      </c>
      <c r="I7796">
        <v>0</v>
      </c>
      <c r="J7796">
        <v>0</v>
      </c>
      <c r="K7796">
        <v>0</v>
      </c>
    </row>
    <row r="7797" spans="1:11" x14ac:dyDescent="0.25">
      <c r="A7797" t="str">
        <f>"9727"</f>
        <v>9727</v>
      </c>
      <c r="B7797" t="str">
        <f t="shared" si="510"/>
        <v>1</v>
      </c>
      <c r="C7797" t="str">
        <f t="shared" si="511"/>
        <v>418</v>
      </c>
      <c r="D7797" t="str">
        <f>"10"</f>
        <v>10</v>
      </c>
      <c r="E7797" t="str">
        <f>"1-418-10"</f>
        <v>1-418-10</v>
      </c>
      <c r="F7797" t="s">
        <v>15</v>
      </c>
      <c r="G7797" t="s">
        <v>20</v>
      </c>
      <c r="H7797" t="s">
        <v>21</v>
      </c>
      <c r="I7797">
        <v>0</v>
      </c>
      <c r="J7797">
        <v>0</v>
      </c>
      <c r="K7797">
        <v>0</v>
      </c>
    </row>
    <row r="7798" spans="1:11" x14ac:dyDescent="0.25">
      <c r="A7798" t="str">
        <f>"9770"</f>
        <v>9770</v>
      </c>
      <c r="B7798" t="str">
        <f t="shared" ref="B7798:B7845" si="512">"1"</f>
        <v>1</v>
      </c>
      <c r="C7798" t="str">
        <f t="shared" ref="C7798:C7812" si="513">"421"</f>
        <v>421</v>
      </c>
      <c r="D7798" t="str">
        <f>"15"</f>
        <v>15</v>
      </c>
      <c r="E7798" t="str">
        <f>"1-421-15"</f>
        <v>1-421-15</v>
      </c>
      <c r="F7798" t="s">
        <v>15</v>
      </c>
      <c r="G7798" t="s">
        <v>16</v>
      </c>
      <c r="H7798" t="s">
        <v>17</v>
      </c>
      <c r="I7798">
        <v>1</v>
      </c>
      <c r="J7798">
        <v>0</v>
      </c>
      <c r="K7798">
        <v>0</v>
      </c>
    </row>
    <row r="7799" spans="1:11" x14ac:dyDescent="0.25">
      <c r="A7799" t="str">
        <f>"9771"</f>
        <v>9771</v>
      </c>
      <c r="B7799" t="str">
        <f t="shared" si="512"/>
        <v>1</v>
      </c>
      <c r="C7799" t="str">
        <f t="shared" si="513"/>
        <v>421</v>
      </c>
      <c r="D7799" t="str">
        <f>"1"</f>
        <v>1</v>
      </c>
      <c r="E7799" t="str">
        <f>"1-421-1"</f>
        <v>1-421-1</v>
      </c>
      <c r="F7799" t="s">
        <v>15</v>
      </c>
      <c r="G7799" t="s">
        <v>16</v>
      </c>
      <c r="H7799" t="s">
        <v>17</v>
      </c>
      <c r="I7799">
        <v>1</v>
      </c>
      <c r="J7799">
        <v>0</v>
      </c>
      <c r="K7799">
        <v>0</v>
      </c>
    </row>
    <row r="7800" spans="1:11" x14ac:dyDescent="0.25">
      <c r="A7800" t="str">
        <f>"9772"</f>
        <v>9772</v>
      </c>
      <c r="B7800" t="str">
        <f t="shared" si="512"/>
        <v>1</v>
      </c>
      <c r="C7800" t="str">
        <f t="shared" si="513"/>
        <v>421</v>
      </c>
      <c r="D7800" t="str">
        <f>"2"</f>
        <v>2</v>
      </c>
      <c r="E7800" t="str">
        <f>"1-421-2"</f>
        <v>1-421-2</v>
      </c>
      <c r="F7800" t="s">
        <v>15</v>
      </c>
      <c r="G7800" t="s">
        <v>16</v>
      </c>
      <c r="H7800" t="s">
        <v>17</v>
      </c>
      <c r="I7800">
        <v>1</v>
      </c>
      <c r="J7800">
        <v>0</v>
      </c>
      <c r="K7800">
        <v>0</v>
      </c>
    </row>
    <row r="7801" spans="1:11" x14ac:dyDescent="0.25">
      <c r="A7801" t="str">
        <f>"9773"</f>
        <v>9773</v>
      </c>
      <c r="B7801" t="str">
        <f t="shared" si="512"/>
        <v>1</v>
      </c>
      <c r="C7801" t="str">
        <f t="shared" si="513"/>
        <v>421</v>
      </c>
      <c r="D7801" t="str">
        <f>"12"</f>
        <v>12</v>
      </c>
      <c r="E7801" t="str">
        <f>"1-421-12"</f>
        <v>1-421-12</v>
      </c>
      <c r="F7801" t="s">
        <v>15</v>
      </c>
      <c r="G7801" t="s">
        <v>16</v>
      </c>
      <c r="H7801" t="s">
        <v>17</v>
      </c>
      <c r="I7801">
        <v>0</v>
      </c>
      <c r="J7801">
        <v>1</v>
      </c>
      <c r="K7801">
        <v>0</v>
      </c>
    </row>
    <row r="7802" spans="1:11" x14ac:dyDescent="0.25">
      <c r="A7802" t="str">
        <f>"9774"</f>
        <v>9774</v>
      </c>
      <c r="B7802" t="str">
        <f t="shared" si="512"/>
        <v>1</v>
      </c>
      <c r="C7802" t="str">
        <f t="shared" si="513"/>
        <v>421</v>
      </c>
      <c r="D7802" t="str">
        <f>"3"</f>
        <v>3</v>
      </c>
      <c r="E7802" t="str">
        <f>"1-421-3"</f>
        <v>1-421-3</v>
      </c>
      <c r="F7802" t="s">
        <v>15</v>
      </c>
      <c r="G7802" t="s">
        <v>16</v>
      </c>
      <c r="H7802" t="s">
        <v>17</v>
      </c>
      <c r="I7802">
        <v>1</v>
      </c>
      <c r="J7802">
        <v>0</v>
      </c>
      <c r="K7802">
        <v>0</v>
      </c>
    </row>
    <row r="7803" spans="1:11" x14ac:dyDescent="0.25">
      <c r="A7803" t="str">
        <f>"9775"</f>
        <v>9775</v>
      </c>
      <c r="B7803" t="str">
        <f t="shared" si="512"/>
        <v>1</v>
      </c>
      <c r="C7803" t="str">
        <f t="shared" si="513"/>
        <v>421</v>
      </c>
      <c r="D7803" t="str">
        <f>"5"</f>
        <v>5</v>
      </c>
      <c r="E7803" t="str">
        <f>"1-421-5"</f>
        <v>1-421-5</v>
      </c>
      <c r="F7803" t="s">
        <v>15</v>
      </c>
      <c r="G7803" t="s">
        <v>16</v>
      </c>
      <c r="H7803" t="s">
        <v>17</v>
      </c>
      <c r="I7803">
        <v>1</v>
      </c>
      <c r="J7803">
        <v>0</v>
      </c>
      <c r="K7803">
        <v>0</v>
      </c>
    </row>
    <row r="7804" spans="1:11" x14ac:dyDescent="0.25">
      <c r="A7804" t="str">
        <f>"9776"</f>
        <v>9776</v>
      </c>
      <c r="B7804" t="str">
        <f t="shared" si="512"/>
        <v>1</v>
      </c>
      <c r="C7804" t="str">
        <f t="shared" si="513"/>
        <v>421</v>
      </c>
      <c r="D7804" t="str">
        <f>"8"</f>
        <v>8</v>
      </c>
      <c r="E7804" t="str">
        <f>"1-421-8"</f>
        <v>1-421-8</v>
      </c>
      <c r="F7804" t="s">
        <v>15</v>
      </c>
      <c r="G7804" t="s">
        <v>16</v>
      </c>
      <c r="H7804" t="s">
        <v>17</v>
      </c>
      <c r="I7804">
        <v>0</v>
      </c>
      <c r="J7804">
        <v>0</v>
      </c>
      <c r="K7804">
        <v>1</v>
      </c>
    </row>
    <row r="7805" spans="1:11" x14ac:dyDescent="0.25">
      <c r="A7805" t="str">
        <f>"9777"</f>
        <v>9777</v>
      </c>
      <c r="B7805" t="str">
        <f t="shared" si="512"/>
        <v>1</v>
      </c>
      <c r="C7805" t="str">
        <f t="shared" si="513"/>
        <v>421</v>
      </c>
      <c r="D7805" t="str">
        <f>"6"</f>
        <v>6</v>
      </c>
      <c r="E7805" t="str">
        <f>"1-421-6"</f>
        <v>1-421-6</v>
      </c>
      <c r="F7805" t="s">
        <v>15</v>
      </c>
      <c r="G7805" t="s">
        <v>16</v>
      </c>
      <c r="H7805" t="s">
        <v>17</v>
      </c>
      <c r="I7805">
        <v>0</v>
      </c>
      <c r="J7805">
        <v>1</v>
      </c>
      <c r="K7805">
        <v>0</v>
      </c>
    </row>
    <row r="7806" spans="1:11" x14ac:dyDescent="0.25">
      <c r="A7806" t="str">
        <f>"9778"</f>
        <v>9778</v>
      </c>
      <c r="B7806" t="str">
        <f t="shared" si="512"/>
        <v>1</v>
      </c>
      <c r="C7806" t="str">
        <f t="shared" si="513"/>
        <v>421</v>
      </c>
      <c r="D7806" t="str">
        <f>"9"</f>
        <v>9</v>
      </c>
      <c r="E7806" t="str">
        <f>"1-421-9"</f>
        <v>1-421-9</v>
      </c>
      <c r="F7806" t="s">
        <v>15</v>
      </c>
      <c r="G7806" t="s">
        <v>16</v>
      </c>
      <c r="H7806" t="s">
        <v>17</v>
      </c>
      <c r="I7806">
        <v>0</v>
      </c>
      <c r="J7806">
        <v>0</v>
      </c>
      <c r="K7806">
        <v>1</v>
      </c>
    </row>
    <row r="7807" spans="1:11" x14ac:dyDescent="0.25">
      <c r="A7807" t="str">
        <f>"9779"</f>
        <v>9779</v>
      </c>
      <c r="B7807" t="str">
        <f t="shared" si="512"/>
        <v>1</v>
      </c>
      <c r="C7807" t="str">
        <f t="shared" si="513"/>
        <v>421</v>
      </c>
      <c r="D7807" t="str">
        <f>"13"</f>
        <v>13</v>
      </c>
      <c r="E7807" t="str">
        <f>"1-421-13"</f>
        <v>1-421-13</v>
      </c>
      <c r="F7807" t="s">
        <v>15</v>
      </c>
      <c r="G7807" t="s">
        <v>16</v>
      </c>
      <c r="H7807" t="s">
        <v>17</v>
      </c>
      <c r="I7807">
        <v>0</v>
      </c>
      <c r="J7807">
        <v>1</v>
      </c>
      <c r="K7807">
        <v>0</v>
      </c>
    </row>
    <row r="7808" spans="1:11" x14ac:dyDescent="0.25">
      <c r="A7808" t="str">
        <f>"9780"</f>
        <v>9780</v>
      </c>
      <c r="B7808" t="str">
        <f t="shared" si="512"/>
        <v>1</v>
      </c>
      <c r="C7808" t="str">
        <f t="shared" si="513"/>
        <v>421</v>
      </c>
      <c r="D7808" t="str">
        <f>"7"</f>
        <v>7</v>
      </c>
      <c r="E7808" t="str">
        <f>"1-421-7"</f>
        <v>1-421-7</v>
      </c>
      <c r="F7808" t="s">
        <v>15</v>
      </c>
      <c r="G7808" t="s">
        <v>16</v>
      </c>
      <c r="H7808" t="s">
        <v>17</v>
      </c>
      <c r="I7808">
        <v>0</v>
      </c>
      <c r="J7808">
        <v>1</v>
      </c>
      <c r="K7808">
        <v>0</v>
      </c>
    </row>
    <row r="7809" spans="1:11" x14ac:dyDescent="0.25">
      <c r="A7809" t="str">
        <f>"9781"</f>
        <v>9781</v>
      </c>
      <c r="B7809" t="str">
        <f t="shared" si="512"/>
        <v>1</v>
      </c>
      <c r="C7809" t="str">
        <f t="shared" si="513"/>
        <v>421</v>
      </c>
      <c r="D7809" t="str">
        <f>"4"</f>
        <v>4</v>
      </c>
      <c r="E7809" t="str">
        <f>"1-421-4"</f>
        <v>1-421-4</v>
      </c>
      <c r="F7809" t="s">
        <v>15</v>
      </c>
      <c r="G7809" t="s">
        <v>16</v>
      </c>
      <c r="H7809" t="s">
        <v>17</v>
      </c>
      <c r="I7809">
        <v>1</v>
      </c>
      <c r="J7809">
        <v>0</v>
      </c>
      <c r="K7809">
        <v>0</v>
      </c>
    </row>
    <row r="7810" spans="1:11" x14ac:dyDescent="0.25">
      <c r="A7810" t="str">
        <f>"9782"</f>
        <v>9782</v>
      </c>
      <c r="B7810" t="str">
        <f t="shared" si="512"/>
        <v>1</v>
      </c>
      <c r="C7810" t="str">
        <f t="shared" si="513"/>
        <v>421</v>
      </c>
      <c r="D7810" t="str">
        <f>"10"</f>
        <v>10</v>
      </c>
      <c r="E7810" t="str">
        <f>"1-421-10"</f>
        <v>1-421-10</v>
      </c>
      <c r="F7810" t="s">
        <v>15</v>
      </c>
      <c r="G7810" t="s">
        <v>16</v>
      </c>
      <c r="H7810" t="s">
        <v>17</v>
      </c>
      <c r="I7810">
        <v>0</v>
      </c>
      <c r="J7810">
        <v>0</v>
      </c>
      <c r="K7810">
        <v>1</v>
      </c>
    </row>
    <row r="7811" spans="1:11" x14ac:dyDescent="0.25">
      <c r="A7811" t="str">
        <f>"9783"</f>
        <v>9783</v>
      </c>
      <c r="B7811" t="str">
        <f t="shared" si="512"/>
        <v>1</v>
      </c>
      <c r="C7811" t="str">
        <f t="shared" si="513"/>
        <v>421</v>
      </c>
      <c r="D7811" t="str">
        <f>"11"</f>
        <v>11</v>
      </c>
      <c r="E7811" t="str">
        <f>"1-421-11"</f>
        <v>1-421-11</v>
      </c>
      <c r="F7811" t="s">
        <v>15</v>
      </c>
      <c r="G7811" t="s">
        <v>16</v>
      </c>
      <c r="H7811" t="s">
        <v>17</v>
      </c>
      <c r="I7811">
        <v>1</v>
      </c>
      <c r="J7811">
        <v>0</v>
      </c>
      <c r="K7811">
        <v>0</v>
      </c>
    </row>
    <row r="7812" spans="1:11" x14ac:dyDescent="0.25">
      <c r="A7812" t="str">
        <f>"9784"</f>
        <v>9784</v>
      </c>
      <c r="B7812" t="str">
        <f t="shared" si="512"/>
        <v>1</v>
      </c>
      <c r="C7812" t="str">
        <f t="shared" si="513"/>
        <v>421</v>
      </c>
      <c r="D7812" t="str">
        <f>"14"</f>
        <v>14</v>
      </c>
      <c r="E7812" t="str">
        <f>"1-421-14"</f>
        <v>1-421-14</v>
      </c>
      <c r="F7812" t="s">
        <v>15</v>
      </c>
      <c r="G7812" t="s">
        <v>16</v>
      </c>
      <c r="H7812" t="s">
        <v>17</v>
      </c>
      <c r="I7812">
        <v>0</v>
      </c>
      <c r="J7812">
        <v>0</v>
      </c>
      <c r="K7812">
        <v>0</v>
      </c>
    </row>
    <row r="7813" spans="1:11" x14ac:dyDescent="0.25">
      <c r="A7813" t="str">
        <f>"9785"</f>
        <v>9785</v>
      </c>
      <c r="B7813" t="str">
        <f t="shared" si="512"/>
        <v>1</v>
      </c>
      <c r="C7813" t="str">
        <f t="shared" ref="C7813:C7837" si="514">"422"</f>
        <v>422</v>
      </c>
      <c r="D7813" t="str">
        <f>"15"</f>
        <v>15</v>
      </c>
      <c r="E7813" t="str">
        <f>"1-422-15"</f>
        <v>1-422-15</v>
      </c>
      <c r="F7813" t="s">
        <v>15</v>
      </c>
      <c r="G7813" t="s">
        <v>16</v>
      </c>
      <c r="H7813" t="s">
        <v>17</v>
      </c>
      <c r="I7813">
        <v>0</v>
      </c>
      <c r="J7813">
        <v>0</v>
      </c>
      <c r="K7813">
        <v>1</v>
      </c>
    </row>
    <row r="7814" spans="1:11" x14ac:dyDescent="0.25">
      <c r="A7814" t="str">
        <f>"9786"</f>
        <v>9786</v>
      </c>
      <c r="B7814" t="str">
        <f t="shared" si="512"/>
        <v>1</v>
      </c>
      <c r="C7814" t="str">
        <f t="shared" si="514"/>
        <v>422</v>
      </c>
      <c r="D7814" t="str">
        <f>"3"</f>
        <v>3</v>
      </c>
      <c r="E7814" t="str">
        <f>"1-422-3"</f>
        <v>1-422-3</v>
      </c>
      <c r="F7814" t="s">
        <v>15</v>
      </c>
      <c r="G7814" t="s">
        <v>16</v>
      </c>
      <c r="H7814" t="s">
        <v>17</v>
      </c>
      <c r="I7814">
        <v>1</v>
      </c>
      <c r="J7814">
        <v>0</v>
      </c>
      <c r="K7814">
        <v>0</v>
      </c>
    </row>
    <row r="7815" spans="1:11" x14ac:dyDescent="0.25">
      <c r="A7815" t="str">
        <f>"9787"</f>
        <v>9787</v>
      </c>
      <c r="B7815" t="str">
        <f t="shared" si="512"/>
        <v>1</v>
      </c>
      <c r="C7815" t="str">
        <f t="shared" si="514"/>
        <v>422</v>
      </c>
      <c r="D7815" t="str">
        <f>"16"</f>
        <v>16</v>
      </c>
      <c r="E7815" t="str">
        <f>"1-422-16"</f>
        <v>1-422-16</v>
      </c>
      <c r="F7815" t="s">
        <v>15</v>
      </c>
      <c r="G7815" t="s">
        <v>16</v>
      </c>
      <c r="H7815" t="s">
        <v>17</v>
      </c>
      <c r="I7815">
        <v>1</v>
      </c>
      <c r="J7815">
        <v>0</v>
      </c>
      <c r="K7815">
        <v>0</v>
      </c>
    </row>
    <row r="7816" spans="1:11" x14ac:dyDescent="0.25">
      <c r="A7816" t="str">
        <f>"9788"</f>
        <v>9788</v>
      </c>
      <c r="B7816" t="str">
        <f t="shared" si="512"/>
        <v>1</v>
      </c>
      <c r="C7816" t="str">
        <f t="shared" si="514"/>
        <v>422</v>
      </c>
      <c r="D7816" t="str">
        <f>"2"</f>
        <v>2</v>
      </c>
      <c r="E7816" t="str">
        <f>"1-422-2"</f>
        <v>1-422-2</v>
      </c>
      <c r="F7816" t="s">
        <v>15</v>
      </c>
      <c r="G7816" t="s">
        <v>16</v>
      </c>
      <c r="H7816" t="s">
        <v>17</v>
      </c>
      <c r="I7816">
        <v>0</v>
      </c>
      <c r="J7816">
        <v>1</v>
      </c>
      <c r="K7816">
        <v>0</v>
      </c>
    </row>
    <row r="7817" spans="1:11" x14ac:dyDescent="0.25">
      <c r="A7817" t="str">
        <f>"9789"</f>
        <v>9789</v>
      </c>
      <c r="B7817" t="str">
        <f t="shared" si="512"/>
        <v>1</v>
      </c>
      <c r="C7817" t="str">
        <f t="shared" si="514"/>
        <v>422</v>
      </c>
      <c r="D7817" t="str">
        <f>"17"</f>
        <v>17</v>
      </c>
      <c r="E7817" t="str">
        <f>"1-422-17"</f>
        <v>1-422-17</v>
      </c>
      <c r="F7817" t="s">
        <v>15</v>
      </c>
      <c r="G7817" t="s">
        <v>16</v>
      </c>
      <c r="H7817" t="s">
        <v>17</v>
      </c>
      <c r="I7817">
        <v>0</v>
      </c>
      <c r="J7817">
        <v>1</v>
      </c>
      <c r="K7817">
        <v>0</v>
      </c>
    </row>
    <row r="7818" spans="1:11" x14ac:dyDescent="0.25">
      <c r="A7818" t="str">
        <f>"9790"</f>
        <v>9790</v>
      </c>
      <c r="B7818" t="str">
        <f t="shared" si="512"/>
        <v>1</v>
      </c>
      <c r="C7818" t="str">
        <f t="shared" si="514"/>
        <v>422</v>
      </c>
      <c r="D7818" t="str">
        <f>"18"</f>
        <v>18</v>
      </c>
      <c r="E7818" t="str">
        <f>"1-422-18"</f>
        <v>1-422-18</v>
      </c>
      <c r="F7818" t="s">
        <v>15</v>
      </c>
      <c r="G7818" t="s">
        <v>18</v>
      </c>
      <c r="H7818" t="s">
        <v>19</v>
      </c>
      <c r="I7818">
        <v>1</v>
      </c>
      <c r="J7818">
        <v>0</v>
      </c>
      <c r="K7818">
        <v>0</v>
      </c>
    </row>
    <row r="7819" spans="1:11" x14ac:dyDescent="0.25">
      <c r="A7819" t="str">
        <f>"9791"</f>
        <v>9791</v>
      </c>
      <c r="B7819" t="str">
        <f t="shared" si="512"/>
        <v>1</v>
      </c>
      <c r="C7819" t="str">
        <f t="shared" si="514"/>
        <v>422</v>
      </c>
      <c r="D7819" t="str">
        <f>"19"</f>
        <v>19</v>
      </c>
      <c r="E7819" t="str">
        <f>"1-422-19"</f>
        <v>1-422-19</v>
      </c>
      <c r="F7819" t="s">
        <v>15</v>
      </c>
      <c r="G7819" t="s">
        <v>16</v>
      </c>
      <c r="H7819" t="s">
        <v>17</v>
      </c>
      <c r="I7819">
        <v>0</v>
      </c>
      <c r="J7819">
        <v>0</v>
      </c>
      <c r="K7819">
        <v>1</v>
      </c>
    </row>
    <row r="7820" spans="1:11" x14ac:dyDescent="0.25">
      <c r="A7820" t="str">
        <f>"9792"</f>
        <v>9792</v>
      </c>
      <c r="B7820" t="str">
        <f t="shared" si="512"/>
        <v>1</v>
      </c>
      <c r="C7820" t="str">
        <f t="shared" si="514"/>
        <v>422</v>
      </c>
      <c r="D7820" t="str">
        <f>"11"</f>
        <v>11</v>
      </c>
      <c r="E7820" t="str">
        <f>"1-422-11"</f>
        <v>1-422-11</v>
      </c>
      <c r="F7820" t="s">
        <v>15</v>
      </c>
      <c r="G7820" t="s">
        <v>16</v>
      </c>
      <c r="H7820" t="s">
        <v>17</v>
      </c>
      <c r="I7820">
        <v>0</v>
      </c>
      <c r="J7820">
        <v>1</v>
      </c>
      <c r="K7820">
        <v>0</v>
      </c>
    </row>
    <row r="7821" spans="1:11" x14ac:dyDescent="0.25">
      <c r="A7821" t="str">
        <f>"9793"</f>
        <v>9793</v>
      </c>
      <c r="B7821" t="str">
        <f t="shared" si="512"/>
        <v>1</v>
      </c>
      <c r="C7821" t="str">
        <f t="shared" si="514"/>
        <v>422</v>
      </c>
      <c r="D7821" t="str">
        <f>"20"</f>
        <v>20</v>
      </c>
      <c r="E7821" t="str">
        <f>"1-422-20"</f>
        <v>1-422-20</v>
      </c>
      <c r="F7821" t="s">
        <v>15</v>
      </c>
      <c r="G7821" t="s">
        <v>16</v>
      </c>
      <c r="H7821" t="s">
        <v>17</v>
      </c>
      <c r="I7821">
        <v>1</v>
      </c>
      <c r="J7821">
        <v>0</v>
      </c>
      <c r="K7821">
        <v>0</v>
      </c>
    </row>
    <row r="7822" spans="1:11" x14ac:dyDescent="0.25">
      <c r="A7822" t="str">
        <f>"9794"</f>
        <v>9794</v>
      </c>
      <c r="B7822" t="str">
        <f t="shared" si="512"/>
        <v>1</v>
      </c>
      <c r="C7822" t="str">
        <f t="shared" si="514"/>
        <v>422</v>
      </c>
      <c r="D7822" t="str">
        <f>"4"</f>
        <v>4</v>
      </c>
      <c r="E7822" t="str">
        <f>"1-422-4"</f>
        <v>1-422-4</v>
      </c>
      <c r="F7822" t="s">
        <v>15</v>
      </c>
      <c r="G7822" t="s">
        <v>16</v>
      </c>
      <c r="H7822" t="s">
        <v>17</v>
      </c>
      <c r="I7822">
        <v>0</v>
      </c>
      <c r="J7822">
        <v>1</v>
      </c>
      <c r="K7822">
        <v>0</v>
      </c>
    </row>
    <row r="7823" spans="1:11" x14ac:dyDescent="0.25">
      <c r="A7823" t="str">
        <f>"9795"</f>
        <v>9795</v>
      </c>
      <c r="B7823" t="str">
        <f t="shared" si="512"/>
        <v>1</v>
      </c>
      <c r="C7823" t="str">
        <f t="shared" si="514"/>
        <v>422</v>
      </c>
      <c r="D7823" t="str">
        <f>"21"</f>
        <v>21</v>
      </c>
      <c r="E7823" t="str">
        <f>"1-422-21"</f>
        <v>1-422-21</v>
      </c>
      <c r="F7823" t="s">
        <v>15</v>
      </c>
      <c r="G7823" t="s">
        <v>16</v>
      </c>
      <c r="H7823" t="s">
        <v>17</v>
      </c>
      <c r="I7823">
        <v>0</v>
      </c>
      <c r="J7823">
        <v>0</v>
      </c>
      <c r="K7823">
        <v>1</v>
      </c>
    </row>
    <row r="7824" spans="1:11" x14ac:dyDescent="0.25">
      <c r="A7824" t="str">
        <f>"9796"</f>
        <v>9796</v>
      </c>
      <c r="B7824" t="str">
        <f t="shared" si="512"/>
        <v>1</v>
      </c>
      <c r="C7824" t="str">
        <f t="shared" si="514"/>
        <v>422</v>
      </c>
      <c r="D7824" t="str">
        <f>"13"</f>
        <v>13</v>
      </c>
      <c r="E7824" t="str">
        <f>"1-422-13"</f>
        <v>1-422-13</v>
      </c>
      <c r="F7824" t="s">
        <v>15</v>
      </c>
      <c r="G7824" t="s">
        <v>16</v>
      </c>
      <c r="H7824" t="s">
        <v>17</v>
      </c>
      <c r="I7824">
        <v>1</v>
      </c>
      <c r="J7824">
        <v>0</v>
      </c>
      <c r="K7824">
        <v>0</v>
      </c>
    </row>
    <row r="7825" spans="1:11" x14ac:dyDescent="0.25">
      <c r="A7825" t="str">
        <f>"9797"</f>
        <v>9797</v>
      </c>
      <c r="B7825" t="str">
        <f t="shared" si="512"/>
        <v>1</v>
      </c>
      <c r="C7825" t="str">
        <f t="shared" si="514"/>
        <v>422</v>
      </c>
      <c r="D7825" t="str">
        <f>"22"</f>
        <v>22</v>
      </c>
      <c r="E7825" t="str">
        <f>"1-422-22"</f>
        <v>1-422-22</v>
      </c>
      <c r="F7825" t="s">
        <v>15</v>
      </c>
      <c r="G7825" t="s">
        <v>16</v>
      </c>
      <c r="H7825" t="s">
        <v>17</v>
      </c>
      <c r="I7825">
        <v>0</v>
      </c>
      <c r="J7825">
        <v>1</v>
      </c>
      <c r="K7825">
        <v>0</v>
      </c>
    </row>
    <row r="7826" spans="1:11" x14ac:dyDescent="0.25">
      <c r="A7826" t="str">
        <f>"9798"</f>
        <v>9798</v>
      </c>
      <c r="B7826" t="str">
        <f t="shared" si="512"/>
        <v>1</v>
      </c>
      <c r="C7826" t="str">
        <f t="shared" si="514"/>
        <v>422</v>
      </c>
      <c r="D7826" t="str">
        <f>"8"</f>
        <v>8</v>
      </c>
      <c r="E7826" t="str">
        <f>"1-422-8"</f>
        <v>1-422-8</v>
      </c>
      <c r="F7826" t="s">
        <v>15</v>
      </c>
      <c r="G7826" t="s">
        <v>16</v>
      </c>
      <c r="H7826" t="s">
        <v>17</v>
      </c>
      <c r="I7826">
        <v>1</v>
      </c>
      <c r="J7826">
        <v>0</v>
      </c>
      <c r="K7826">
        <v>0</v>
      </c>
    </row>
    <row r="7827" spans="1:11" x14ac:dyDescent="0.25">
      <c r="A7827" t="str">
        <f>"9799"</f>
        <v>9799</v>
      </c>
      <c r="B7827" t="str">
        <f t="shared" si="512"/>
        <v>1</v>
      </c>
      <c r="C7827" t="str">
        <f t="shared" si="514"/>
        <v>422</v>
      </c>
      <c r="D7827" t="str">
        <f>"23"</f>
        <v>23</v>
      </c>
      <c r="E7827" t="str">
        <f>"1-422-23"</f>
        <v>1-422-23</v>
      </c>
      <c r="F7827" t="s">
        <v>15</v>
      </c>
      <c r="G7827" t="s">
        <v>16</v>
      </c>
      <c r="H7827" t="s">
        <v>17</v>
      </c>
      <c r="I7827">
        <v>0</v>
      </c>
      <c r="J7827">
        <v>0</v>
      </c>
      <c r="K7827">
        <v>1</v>
      </c>
    </row>
    <row r="7828" spans="1:11" x14ac:dyDescent="0.25">
      <c r="A7828" t="str">
        <f>"9800"</f>
        <v>9800</v>
      </c>
      <c r="B7828" t="str">
        <f t="shared" si="512"/>
        <v>1</v>
      </c>
      <c r="C7828" t="str">
        <f t="shared" si="514"/>
        <v>422</v>
      </c>
      <c r="D7828" t="str">
        <f>"9"</f>
        <v>9</v>
      </c>
      <c r="E7828" t="str">
        <f>"1-422-9"</f>
        <v>1-422-9</v>
      </c>
      <c r="F7828" t="s">
        <v>15</v>
      </c>
      <c r="G7828" t="s">
        <v>16</v>
      </c>
      <c r="H7828" t="s">
        <v>17</v>
      </c>
      <c r="I7828">
        <v>1</v>
      </c>
      <c r="J7828">
        <v>0</v>
      </c>
      <c r="K7828">
        <v>0</v>
      </c>
    </row>
    <row r="7829" spans="1:11" x14ac:dyDescent="0.25">
      <c r="A7829" t="str">
        <f>"9801"</f>
        <v>9801</v>
      </c>
      <c r="B7829" t="str">
        <f t="shared" si="512"/>
        <v>1</v>
      </c>
      <c r="C7829" t="str">
        <f t="shared" si="514"/>
        <v>422</v>
      </c>
      <c r="D7829" t="str">
        <f>"24"</f>
        <v>24</v>
      </c>
      <c r="E7829" t="str">
        <f>"1-422-24"</f>
        <v>1-422-24</v>
      </c>
      <c r="F7829" t="s">
        <v>15</v>
      </c>
      <c r="G7829" t="s">
        <v>16</v>
      </c>
      <c r="H7829" t="s">
        <v>17</v>
      </c>
      <c r="I7829">
        <v>0</v>
      </c>
      <c r="J7829">
        <v>0</v>
      </c>
      <c r="K7829">
        <v>1</v>
      </c>
    </row>
    <row r="7830" spans="1:11" x14ac:dyDescent="0.25">
      <c r="A7830" t="str">
        <f>"9802"</f>
        <v>9802</v>
      </c>
      <c r="B7830" t="str">
        <f t="shared" si="512"/>
        <v>1</v>
      </c>
      <c r="C7830" t="str">
        <f t="shared" si="514"/>
        <v>422</v>
      </c>
      <c r="D7830" t="str">
        <f>"12"</f>
        <v>12</v>
      </c>
      <c r="E7830" t="str">
        <f>"1-422-12"</f>
        <v>1-422-12</v>
      </c>
      <c r="F7830" t="s">
        <v>15</v>
      </c>
      <c r="G7830" t="s">
        <v>18</v>
      </c>
      <c r="H7830" t="s">
        <v>19</v>
      </c>
      <c r="I7830">
        <v>1</v>
      </c>
      <c r="J7830">
        <v>0</v>
      </c>
      <c r="K7830">
        <v>0</v>
      </c>
    </row>
    <row r="7831" spans="1:11" x14ac:dyDescent="0.25">
      <c r="A7831" t="str">
        <f>"9803"</f>
        <v>9803</v>
      </c>
      <c r="B7831" t="str">
        <f t="shared" si="512"/>
        <v>1</v>
      </c>
      <c r="C7831" t="str">
        <f t="shared" si="514"/>
        <v>422</v>
      </c>
      <c r="D7831" t="str">
        <f>"7"</f>
        <v>7</v>
      </c>
      <c r="E7831" t="str">
        <f>"1-422-7"</f>
        <v>1-422-7</v>
      </c>
      <c r="F7831" t="s">
        <v>15</v>
      </c>
      <c r="G7831" t="s">
        <v>16</v>
      </c>
      <c r="H7831" t="s">
        <v>17</v>
      </c>
      <c r="I7831">
        <v>0</v>
      </c>
      <c r="J7831">
        <v>1</v>
      </c>
      <c r="K7831">
        <v>0</v>
      </c>
    </row>
    <row r="7832" spans="1:11" x14ac:dyDescent="0.25">
      <c r="A7832" t="str">
        <f>"9804"</f>
        <v>9804</v>
      </c>
      <c r="B7832" t="str">
        <f t="shared" si="512"/>
        <v>1</v>
      </c>
      <c r="C7832" t="str">
        <f t="shared" si="514"/>
        <v>422</v>
      </c>
      <c r="D7832" t="str">
        <f>"6"</f>
        <v>6</v>
      </c>
      <c r="E7832" t="str">
        <f>"1-422-6"</f>
        <v>1-422-6</v>
      </c>
      <c r="F7832" t="s">
        <v>15</v>
      </c>
      <c r="G7832" t="s">
        <v>16</v>
      </c>
      <c r="H7832" t="s">
        <v>17</v>
      </c>
      <c r="I7832">
        <v>1</v>
      </c>
      <c r="J7832">
        <v>0</v>
      </c>
      <c r="K7832">
        <v>0</v>
      </c>
    </row>
    <row r="7833" spans="1:11" x14ac:dyDescent="0.25">
      <c r="A7833" t="str">
        <f>"9805"</f>
        <v>9805</v>
      </c>
      <c r="B7833" t="str">
        <f t="shared" si="512"/>
        <v>1</v>
      </c>
      <c r="C7833" t="str">
        <f t="shared" si="514"/>
        <v>422</v>
      </c>
      <c r="D7833" t="str">
        <f>"10"</f>
        <v>10</v>
      </c>
      <c r="E7833" t="str">
        <f>"1-422-10"</f>
        <v>1-422-10</v>
      </c>
      <c r="F7833" t="s">
        <v>15</v>
      </c>
      <c r="G7833" t="s">
        <v>18</v>
      </c>
      <c r="H7833" t="s">
        <v>19</v>
      </c>
      <c r="I7833">
        <v>1</v>
      </c>
      <c r="J7833">
        <v>0</v>
      </c>
      <c r="K7833">
        <v>0</v>
      </c>
    </row>
    <row r="7834" spans="1:11" x14ac:dyDescent="0.25">
      <c r="A7834" t="str">
        <f>"9806"</f>
        <v>9806</v>
      </c>
      <c r="B7834" t="str">
        <f t="shared" si="512"/>
        <v>1</v>
      </c>
      <c r="C7834" t="str">
        <f t="shared" si="514"/>
        <v>422</v>
      </c>
      <c r="D7834" t="str">
        <f>"5"</f>
        <v>5</v>
      </c>
      <c r="E7834" t="str">
        <f>"1-422-5"</f>
        <v>1-422-5</v>
      </c>
      <c r="F7834" t="s">
        <v>15</v>
      </c>
      <c r="G7834" t="s">
        <v>16</v>
      </c>
      <c r="H7834" t="s">
        <v>17</v>
      </c>
      <c r="I7834">
        <v>1</v>
      </c>
      <c r="J7834">
        <v>0</v>
      </c>
      <c r="K7834">
        <v>0</v>
      </c>
    </row>
    <row r="7835" spans="1:11" x14ac:dyDescent="0.25">
      <c r="A7835" t="str">
        <f>"9807"</f>
        <v>9807</v>
      </c>
      <c r="B7835" t="str">
        <f t="shared" si="512"/>
        <v>1</v>
      </c>
      <c r="C7835" t="str">
        <f t="shared" si="514"/>
        <v>422</v>
      </c>
      <c r="D7835" t="str">
        <f>"1"</f>
        <v>1</v>
      </c>
      <c r="E7835" t="str">
        <f>"1-422-1"</f>
        <v>1-422-1</v>
      </c>
      <c r="F7835" t="s">
        <v>15</v>
      </c>
      <c r="G7835" t="s">
        <v>16</v>
      </c>
      <c r="H7835" t="s">
        <v>17</v>
      </c>
      <c r="I7835">
        <v>0</v>
      </c>
      <c r="J7835">
        <v>0</v>
      </c>
      <c r="K7835">
        <v>0</v>
      </c>
    </row>
    <row r="7836" spans="1:11" x14ac:dyDescent="0.25">
      <c r="A7836" t="str">
        <f>"9808"</f>
        <v>9808</v>
      </c>
      <c r="B7836" t="str">
        <f t="shared" si="512"/>
        <v>1</v>
      </c>
      <c r="C7836" t="str">
        <f t="shared" si="514"/>
        <v>422</v>
      </c>
      <c r="D7836" t="str">
        <f>"14"</f>
        <v>14</v>
      </c>
      <c r="E7836" t="str">
        <f>"1-422-14"</f>
        <v>1-422-14</v>
      </c>
      <c r="F7836" t="s">
        <v>15</v>
      </c>
      <c r="G7836" t="s">
        <v>16</v>
      </c>
      <c r="H7836" t="s">
        <v>17</v>
      </c>
      <c r="I7836">
        <v>0</v>
      </c>
      <c r="J7836">
        <v>0</v>
      </c>
      <c r="K7836">
        <v>0</v>
      </c>
    </row>
    <row r="7837" spans="1:11" x14ac:dyDescent="0.25">
      <c r="A7837" t="str">
        <f>"9809"</f>
        <v>9809</v>
      </c>
      <c r="B7837" t="str">
        <f t="shared" si="512"/>
        <v>1</v>
      </c>
      <c r="C7837" t="str">
        <f t="shared" si="514"/>
        <v>422</v>
      </c>
      <c r="D7837" t="str">
        <f>"25"</f>
        <v>25</v>
      </c>
      <c r="E7837" t="str">
        <f>"1-422-25"</f>
        <v>1-422-25</v>
      </c>
      <c r="F7837" t="s">
        <v>15</v>
      </c>
      <c r="G7837" t="s">
        <v>16</v>
      </c>
      <c r="H7837" t="s">
        <v>17</v>
      </c>
      <c r="I7837">
        <v>0</v>
      </c>
      <c r="J7837">
        <v>0</v>
      </c>
      <c r="K7837">
        <v>0</v>
      </c>
    </row>
    <row r="7838" spans="1:11" x14ac:dyDescent="0.25">
      <c r="A7838" t="str">
        <f>"9810"</f>
        <v>9810</v>
      </c>
      <c r="B7838" t="str">
        <f t="shared" si="512"/>
        <v>1</v>
      </c>
      <c r="C7838" t="str">
        <f t="shared" ref="C7838:C7862" si="515">"423"</f>
        <v>423</v>
      </c>
      <c r="D7838" t="str">
        <f>"23"</f>
        <v>23</v>
      </c>
      <c r="E7838" t="str">
        <f>"1-423-23"</f>
        <v>1-423-23</v>
      </c>
      <c r="F7838" t="s">
        <v>15</v>
      </c>
      <c r="G7838" t="s">
        <v>18</v>
      </c>
      <c r="H7838" t="s">
        <v>19</v>
      </c>
      <c r="I7838">
        <v>0</v>
      </c>
      <c r="J7838">
        <v>0</v>
      </c>
      <c r="K7838">
        <v>1</v>
      </c>
    </row>
    <row r="7839" spans="1:11" x14ac:dyDescent="0.25">
      <c r="A7839" t="str">
        <f>"9811"</f>
        <v>9811</v>
      </c>
      <c r="B7839" t="str">
        <f t="shared" si="512"/>
        <v>1</v>
      </c>
      <c r="C7839" t="str">
        <f t="shared" si="515"/>
        <v>423</v>
      </c>
      <c r="D7839" t="str">
        <f>"15"</f>
        <v>15</v>
      </c>
      <c r="E7839" t="str">
        <f>"1-423-15"</f>
        <v>1-423-15</v>
      </c>
      <c r="F7839" t="s">
        <v>15</v>
      </c>
      <c r="G7839" t="s">
        <v>16</v>
      </c>
      <c r="H7839" t="s">
        <v>17</v>
      </c>
      <c r="I7839">
        <v>1</v>
      </c>
      <c r="J7839">
        <v>0</v>
      </c>
      <c r="K7839">
        <v>0</v>
      </c>
    </row>
    <row r="7840" spans="1:11" x14ac:dyDescent="0.25">
      <c r="A7840" t="str">
        <f>"9812"</f>
        <v>9812</v>
      </c>
      <c r="B7840" t="str">
        <f t="shared" si="512"/>
        <v>1</v>
      </c>
      <c r="C7840" t="str">
        <f t="shared" si="515"/>
        <v>423</v>
      </c>
      <c r="D7840" t="str">
        <f>"3"</f>
        <v>3</v>
      </c>
      <c r="E7840" t="str">
        <f>"1-423-3"</f>
        <v>1-423-3</v>
      </c>
      <c r="F7840" t="s">
        <v>15</v>
      </c>
      <c r="G7840" t="s">
        <v>16</v>
      </c>
      <c r="H7840" t="s">
        <v>17</v>
      </c>
      <c r="I7840">
        <v>1</v>
      </c>
      <c r="J7840">
        <v>0</v>
      </c>
      <c r="K7840">
        <v>0</v>
      </c>
    </row>
    <row r="7841" spans="1:11" x14ac:dyDescent="0.25">
      <c r="A7841" t="str">
        <f>"9813"</f>
        <v>9813</v>
      </c>
      <c r="B7841" t="str">
        <f t="shared" si="512"/>
        <v>1</v>
      </c>
      <c r="C7841" t="str">
        <f t="shared" si="515"/>
        <v>423</v>
      </c>
      <c r="D7841" t="str">
        <f>"16"</f>
        <v>16</v>
      </c>
      <c r="E7841" t="str">
        <f>"1-423-16"</f>
        <v>1-423-16</v>
      </c>
      <c r="F7841" t="s">
        <v>15</v>
      </c>
      <c r="G7841" t="s">
        <v>16</v>
      </c>
      <c r="H7841" t="s">
        <v>17</v>
      </c>
      <c r="I7841">
        <v>1</v>
      </c>
      <c r="J7841">
        <v>0</v>
      </c>
      <c r="K7841">
        <v>0</v>
      </c>
    </row>
    <row r="7842" spans="1:11" x14ac:dyDescent="0.25">
      <c r="A7842" t="str">
        <f>"9814"</f>
        <v>9814</v>
      </c>
      <c r="B7842" t="str">
        <f t="shared" si="512"/>
        <v>1</v>
      </c>
      <c r="C7842" t="str">
        <f t="shared" si="515"/>
        <v>423</v>
      </c>
      <c r="D7842" t="str">
        <f>"5"</f>
        <v>5</v>
      </c>
      <c r="E7842" t="str">
        <f>"1-423-5"</f>
        <v>1-423-5</v>
      </c>
      <c r="F7842" t="s">
        <v>15</v>
      </c>
      <c r="G7842" t="s">
        <v>18</v>
      </c>
      <c r="H7842" t="s">
        <v>19</v>
      </c>
      <c r="I7842">
        <v>1</v>
      </c>
      <c r="J7842">
        <v>0</v>
      </c>
      <c r="K7842">
        <v>0</v>
      </c>
    </row>
    <row r="7843" spans="1:11" x14ac:dyDescent="0.25">
      <c r="A7843" t="str">
        <f>"9815"</f>
        <v>9815</v>
      </c>
      <c r="B7843" t="str">
        <f t="shared" si="512"/>
        <v>1</v>
      </c>
      <c r="C7843" t="str">
        <f t="shared" si="515"/>
        <v>423</v>
      </c>
      <c r="D7843" t="str">
        <f>"17"</f>
        <v>17</v>
      </c>
      <c r="E7843" t="str">
        <f>"1-423-17"</f>
        <v>1-423-17</v>
      </c>
      <c r="F7843" t="s">
        <v>15</v>
      </c>
      <c r="G7843" t="s">
        <v>16</v>
      </c>
      <c r="H7843" t="s">
        <v>17</v>
      </c>
      <c r="I7843">
        <v>1</v>
      </c>
      <c r="J7843">
        <v>0</v>
      </c>
      <c r="K7843">
        <v>0</v>
      </c>
    </row>
    <row r="7844" spans="1:11" x14ac:dyDescent="0.25">
      <c r="A7844" t="str">
        <f>"9816"</f>
        <v>9816</v>
      </c>
      <c r="B7844" t="str">
        <f t="shared" si="512"/>
        <v>1</v>
      </c>
      <c r="C7844" t="str">
        <f t="shared" si="515"/>
        <v>423</v>
      </c>
      <c r="D7844" t="str">
        <f>"1"</f>
        <v>1</v>
      </c>
      <c r="E7844" t="str">
        <f>"1-423-1"</f>
        <v>1-423-1</v>
      </c>
      <c r="F7844" t="s">
        <v>15</v>
      </c>
      <c r="G7844" t="s">
        <v>16</v>
      </c>
      <c r="H7844" t="s">
        <v>17</v>
      </c>
      <c r="I7844">
        <v>0</v>
      </c>
      <c r="J7844">
        <v>1</v>
      </c>
      <c r="K7844">
        <v>0</v>
      </c>
    </row>
    <row r="7845" spans="1:11" x14ac:dyDescent="0.25">
      <c r="A7845" t="str">
        <f>"9817"</f>
        <v>9817</v>
      </c>
      <c r="B7845" t="str">
        <f t="shared" si="512"/>
        <v>1</v>
      </c>
      <c r="C7845" t="str">
        <f t="shared" si="515"/>
        <v>423</v>
      </c>
      <c r="D7845" t="str">
        <f>"18"</f>
        <v>18</v>
      </c>
      <c r="E7845" t="str">
        <f>"1-423-18"</f>
        <v>1-423-18</v>
      </c>
      <c r="F7845" t="s">
        <v>15</v>
      </c>
      <c r="G7845" t="s">
        <v>16</v>
      </c>
      <c r="H7845" t="s">
        <v>17</v>
      </c>
      <c r="I7845">
        <v>1</v>
      </c>
      <c r="J7845">
        <v>0</v>
      </c>
      <c r="K7845">
        <v>0</v>
      </c>
    </row>
    <row r="7846" spans="1:11" x14ac:dyDescent="0.25">
      <c r="A7846" t="str">
        <f>"9818"</f>
        <v>9818</v>
      </c>
      <c r="B7846" t="str">
        <f t="shared" ref="B7846:B7895" si="516">"1"</f>
        <v>1</v>
      </c>
      <c r="C7846" t="str">
        <f t="shared" si="515"/>
        <v>423</v>
      </c>
      <c r="D7846" t="str">
        <f>"6"</f>
        <v>6</v>
      </c>
      <c r="E7846" t="str">
        <f>"1-423-6"</f>
        <v>1-423-6</v>
      </c>
      <c r="F7846" t="s">
        <v>15</v>
      </c>
      <c r="G7846" t="s">
        <v>16</v>
      </c>
      <c r="H7846" t="s">
        <v>17</v>
      </c>
      <c r="I7846">
        <v>1</v>
      </c>
      <c r="J7846">
        <v>0</v>
      </c>
      <c r="K7846">
        <v>0</v>
      </c>
    </row>
    <row r="7847" spans="1:11" x14ac:dyDescent="0.25">
      <c r="A7847" t="str">
        <f>"9819"</f>
        <v>9819</v>
      </c>
      <c r="B7847" t="str">
        <f t="shared" si="516"/>
        <v>1</v>
      </c>
      <c r="C7847" t="str">
        <f t="shared" si="515"/>
        <v>423</v>
      </c>
      <c r="D7847" t="str">
        <f>"21"</f>
        <v>21</v>
      </c>
      <c r="E7847" t="str">
        <f>"1-423-21"</f>
        <v>1-423-21</v>
      </c>
      <c r="F7847" t="s">
        <v>15</v>
      </c>
      <c r="G7847" t="s">
        <v>16</v>
      </c>
      <c r="H7847" t="s">
        <v>17</v>
      </c>
      <c r="I7847">
        <v>0</v>
      </c>
      <c r="J7847">
        <v>1</v>
      </c>
      <c r="K7847">
        <v>0</v>
      </c>
    </row>
    <row r="7848" spans="1:11" x14ac:dyDescent="0.25">
      <c r="A7848" t="str">
        <f>"9820"</f>
        <v>9820</v>
      </c>
      <c r="B7848" t="str">
        <f t="shared" si="516"/>
        <v>1</v>
      </c>
      <c r="C7848" t="str">
        <f t="shared" si="515"/>
        <v>423</v>
      </c>
      <c r="D7848" t="str">
        <f>"14"</f>
        <v>14</v>
      </c>
      <c r="E7848" t="str">
        <f>"1-423-14"</f>
        <v>1-423-14</v>
      </c>
      <c r="F7848" t="s">
        <v>15</v>
      </c>
      <c r="G7848" t="s">
        <v>16</v>
      </c>
      <c r="H7848" t="s">
        <v>17</v>
      </c>
      <c r="I7848">
        <v>1</v>
      </c>
      <c r="J7848">
        <v>0</v>
      </c>
      <c r="K7848">
        <v>0</v>
      </c>
    </row>
    <row r="7849" spans="1:11" x14ac:dyDescent="0.25">
      <c r="A7849" t="str">
        <f>"9821"</f>
        <v>9821</v>
      </c>
      <c r="B7849" t="str">
        <f t="shared" si="516"/>
        <v>1</v>
      </c>
      <c r="C7849" t="str">
        <f t="shared" si="515"/>
        <v>423</v>
      </c>
      <c r="D7849" t="str">
        <f>"22"</f>
        <v>22</v>
      </c>
      <c r="E7849" t="str">
        <f>"1-423-22"</f>
        <v>1-423-22</v>
      </c>
      <c r="F7849" t="s">
        <v>15</v>
      </c>
      <c r="G7849" t="s">
        <v>16</v>
      </c>
      <c r="H7849" t="s">
        <v>17</v>
      </c>
      <c r="I7849">
        <v>0</v>
      </c>
      <c r="J7849">
        <v>1</v>
      </c>
      <c r="K7849">
        <v>0</v>
      </c>
    </row>
    <row r="7850" spans="1:11" x14ac:dyDescent="0.25">
      <c r="A7850" t="str">
        <f>"9822"</f>
        <v>9822</v>
      </c>
      <c r="B7850" t="str">
        <f t="shared" si="516"/>
        <v>1</v>
      </c>
      <c r="C7850" t="str">
        <f t="shared" si="515"/>
        <v>423</v>
      </c>
      <c r="D7850" t="str">
        <f>"4"</f>
        <v>4</v>
      </c>
      <c r="E7850" t="str">
        <f>"1-423-4"</f>
        <v>1-423-4</v>
      </c>
      <c r="F7850" t="s">
        <v>15</v>
      </c>
      <c r="G7850" t="s">
        <v>18</v>
      </c>
      <c r="H7850" t="s">
        <v>19</v>
      </c>
      <c r="I7850">
        <v>0</v>
      </c>
      <c r="J7850">
        <v>1</v>
      </c>
      <c r="K7850">
        <v>0</v>
      </c>
    </row>
    <row r="7851" spans="1:11" x14ac:dyDescent="0.25">
      <c r="A7851" t="str">
        <f>"9823"</f>
        <v>9823</v>
      </c>
      <c r="B7851" t="str">
        <f t="shared" si="516"/>
        <v>1</v>
      </c>
      <c r="C7851" t="str">
        <f t="shared" si="515"/>
        <v>423</v>
      </c>
      <c r="D7851" t="str">
        <f>"24"</f>
        <v>24</v>
      </c>
      <c r="E7851" t="str">
        <f>"1-423-24"</f>
        <v>1-423-24</v>
      </c>
      <c r="F7851" t="s">
        <v>15</v>
      </c>
      <c r="G7851" t="s">
        <v>16</v>
      </c>
      <c r="H7851" t="s">
        <v>17</v>
      </c>
      <c r="I7851">
        <v>0</v>
      </c>
      <c r="J7851">
        <v>1</v>
      </c>
      <c r="K7851">
        <v>0</v>
      </c>
    </row>
    <row r="7852" spans="1:11" x14ac:dyDescent="0.25">
      <c r="A7852" t="str">
        <f>"9824"</f>
        <v>9824</v>
      </c>
      <c r="B7852" t="str">
        <f t="shared" si="516"/>
        <v>1</v>
      </c>
      <c r="C7852" t="str">
        <f t="shared" si="515"/>
        <v>423</v>
      </c>
      <c r="D7852" t="str">
        <f>"2"</f>
        <v>2</v>
      </c>
      <c r="E7852" t="str">
        <f>"1-423-2"</f>
        <v>1-423-2</v>
      </c>
      <c r="F7852" t="s">
        <v>15</v>
      </c>
      <c r="G7852" t="s">
        <v>18</v>
      </c>
      <c r="H7852" t="s">
        <v>19</v>
      </c>
      <c r="I7852">
        <v>1</v>
      </c>
      <c r="J7852">
        <v>0</v>
      </c>
      <c r="K7852">
        <v>0</v>
      </c>
    </row>
    <row r="7853" spans="1:11" x14ac:dyDescent="0.25">
      <c r="A7853" t="str">
        <f>"9825"</f>
        <v>9825</v>
      </c>
      <c r="B7853" t="str">
        <f t="shared" si="516"/>
        <v>1</v>
      </c>
      <c r="C7853" t="str">
        <f t="shared" si="515"/>
        <v>423</v>
      </c>
      <c r="D7853" t="str">
        <f>"25"</f>
        <v>25</v>
      </c>
      <c r="E7853" t="str">
        <f>"1-423-25"</f>
        <v>1-423-25</v>
      </c>
      <c r="F7853" t="s">
        <v>15</v>
      </c>
      <c r="G7853" t="s">
        <v>16</v>
      </c>
      <c r="H7853" t="s">
        <v>17</v>
      </c>
      <c r="I7853">
        <v>0</v>
      </c>
      <c r="J7853">
        <v>1</v>
      </c>
      <c r="K7853">
        <v>0</v>
      </c>
    </row>
    <row r="7854" spans="1:11" x14ac:dyDescent="0.25">
      <c r="A7854" t="str">
        <f>"9826"</f>
        <v>9826</v>
      </c>
      <c r="B7854" t="str">
        <f t="shared" si="516"/>
        <v>1</v>
      </c>
      <c r="C7854" t="str">
        <f t="shared" si="515"/>
        <v>423</v>
      </c>
      <c r="D7854" t="str">
        <f>"10"</f>
        <v>10</v>
      </c>
      <c r="E7854" t="str">
        <f>"1-423-10"</f>
        <v>1-423-10</v>
      </c>
      <c r="F7854" t="s">
        <v>15</v>
      </c>
      <c r="G7854" t="s">
        <v>16</v>
      </c>
      <c r="H7854" t="s">
        <v>17</v>
      </c>
      <c r="I7854">
        <v>0</v>
      </c>
      <c r="J7854">
        <v>1</v>
      </c>
      <c r="K7854">
        <v>0</v>
      </c>
    </row>
    <row r="7855" spans="1:11" x14ac:dyDescent="0.25">
      <c r="A7855" t="str">
        <f>"9827"</f>
        <v>9827</v>
      </c>
      <c r="B7855" t="str">
        <f t="shared" si="516"/>
        <v>1</v>
      </c>
      <c r="C7855" t="str">
        <f t="shared" si="515"/>
        <v>423</v>
      </c>
      <c r="D7855" t="str">
        <f>"7"</f>
        <v>7</v>
      </c>
      <c r="E7855" t="str">
        <f>"1-423-7"</f>
        <v>1-423-7</v>
      </c>
      <c r="F7855" t="s">
        <v>15</v>
      </c>
      <c r="G7855" t="s">
        <v>16</v>
      </c>
      <c r="H7855" t="s">
        <v>17</v>
      </c>
      <c r="I7855">
        <v>0</v>
      </c>
      <c r="J7855">
        <v>0</v>
      </c>
      <c r="K7855">
        <v>1</v>
      </c>
    </row>
    <row r="7856" spans="1:11" x14ac:dyDescent="0.25">
      <c r="A7856" t="str">
        <f>"9828"</f>
        <v>9828</v>
      </c>
      <c r="B7856" t="str">
        <f t="shared" si="516"/>
        <v>1</v>
      </c>
      <c r="C7856" t="str">
        <f t="shared" si="515"/>
        <v>423</v>
      </c>
      <c r="D7856" t="str">
        <f>"13"</f>
        <v>13</v>
      </c>
      <c r="E7856" t="str">
        <f>"1-423-13"</f>
        <v>1-423-13</v>
      </c>
      <c r="F7856" t="s">
        <v>15</v>
      </c>
      <c r="G7856" t="s">
        <v>20</v>
      </c>
      <c r="H7856" t="s">
        <v>21</v>
      </c>
      <c r="I7856">
        <v>0</v>
      </c>
      <c r="J7856">
        <v>0</v>
      </c>
      <c r="K7856">
        <v>1</v>
      </c>
    </row>
    <row r="7857" spans="1:11" x14ac:dyDescent="0.25">
      <c r="A7857" t="str">
        <f>"9829"</f>
        <v>9829</v>
      </c>
      <c r="B7857" t="str">
        <f t="shared" si="516"/>
        <v>1</v>
      </c>
      <c r="C7857" t="str">
        <f t="shared" si="515"/>
        <v>423</v>
      </c>
      <c r="D7857" t="str">
        <f>"8"</f>
        <v>8</v>
      </c>
      <c r="E7857" t="str">
        <f>"1-423-8"</f>
        <v>1-423-8</v>
      </c>
      <c r="F7857" t="s">
        <v>15</v>
      </c>
      <c r="G7857" t="s">
        <v>18</v>
      </c>
      <c r="H7857" t="s">
        <v>19</v>
      </c>
      <c r="I7857">
        <v>0</v>
      </c>
      <c r="J7857">
        <v>1</v>
      </c>
      <c r="K7857">
        <v>0</v>
      </c>
    </row>
    <row r="7858" spans="1:11" x14ac:dyDescent="0.25">
      <c r="A7858" t="str">
        <f>"9830"</f>
        <v>9830</v>
      </c>
      <c r="B7858" t="str">
        <f t="shared" si="516"/>
        <v>1</v>
      </c>
      <c r="C7858" t="str">
        <f t="shared" si="515"/>
        <v>423</v>
      </c>
      <c r="D7858" t="str">
        <f>"9"</f>
        <v>9</v>
      </c>
      <c r="E7858" t="str">
        <f>"1-423-9"</f>
        <v>1-423-9</v>
      </c>
      <c r="F7858" t="s">
        <v>15</v>
      </c>
      <c r="G7858" t="s">
        <v>16</v>
      </c>
      <c r="H7858" t="s">
        <v>17</v>
      </c>
      <c r="I7858">
        <v>1</v>
      </c>
      <c r="J7858">
        <v>0</v>
      </c>
      <c r="K7858">
        <v>0</v>
      </c>
    </row>
    <row r="7859" spans="1:11" x14ac:dyDescent="0.25">
      <c r="A7859" t="str">
        <f>"9831"</f>
        <v>9831</v>
      </c>
      <c r="B7859" t="str">
        <f t="shared" si="516"/>
        <v>1</v>
      </c>
      <c r="C7859" t="str">
        <f t="shared" si="515"/>
        <v>423</v>
      </c>
      <c r="D7859" t="str">
        <f>"11"</f>
        <v>11</v>
      </c>
      <c r="E7859" t="str">
        <f>"1-423-11"</f>
        <v>1-423-11</v>
      </c>
      <c r="F7859" t="s">
        <v>15</v>
      </c>
      <c r="G7859" t="s">
        <v>16</v>
      </c>
      <c r="H7859" t="s">
        <v>17</v>
      </c>
      <c r="I7859">
        <v>0</v>
      </c>
      <c r="J7859">
        <v>0</v>
      </c>
      <c r="K7859">
        <v>0</v>
      </c>
    </row>
    <row r="7860" spans="1:11" x14ac:dyDescent="0.25">
      <c r="A7860" t="str">
        <f>"9832"</f>
        <v>9832</v>
      </c>
      <c r="B7860" t="str">
        <f t="shared" si="516"/>
        <v>1</v>
      </c>
      <c r="C7860" t="str">
        <f t="shared" si="515"/>
        <v>423</v>
      </c>
      <c r="D7860" t="str">
        <f>"19"</f>
        <v>19</v>
      </c>
      <c r="E7860" t="str">
        <f>"1-423-19"</f>
        <v>1-423-19</v>
      </c>
      <c r="F7860" t="s">
        <v>15</v>
      </c>
      <c r="G7860" t="s">
        <v>16</v>
      </c>
      <c r="H7860" t="s">
        <v>17</v>
      </c>
      <c r="I7860">
        <v>0</v>
      </c>
      <c r="J7860">
        <v>0</v>
      </c>
      <c r="K7860">
        <v>0</v>
      </c>
    </row>
    <row r="7861" spans="1:11" x14ac:dyDescent="0.25">
      <c r="A7861" t="str">
        <f>"9833"</f>
        <v>9833</v>
      </c>
      <c r="B7861" t="str">
        <f t="shared" si="516"/>
        <v>1</v>
      </c>
      <c r="C7861" t="str">
        <f t="shared" si="515"/>
        <v>423</v>
      </c>
      <c r="D7861" t="str">
        <f>"20"</f>
        <v>20</v>
      </c>
      <c r="E7861" t="str">
        <f>"1-423-20"</f>
        <v>1-423-20</v>
      </c>
      <c r="F7861" t="s">
        <v>15</v>
      </c>
      <c r="G7861" t="s">
        <v>16</v>
      </c>
      <c r="H7861" t="s">
        <v>17</v>
      </c>
      <c r="I7861">
        <v>0</v>
      </c>
      <c r="J7861">
        <v>0</v>
      </c>
      <c r="K7861">
        <v>0</v>
      </c>
    </row>
    <row r="7862" spans="1:11" x14ac:dyDescent="0.25">
      <c r="A7862" t="str">
        <f>"9834"</f>
        <v>9834</v>
      </c>
      <c r="B7862" t="str">
        <f t="shared" si="516"/>
        <v>1</v>
      </c>
      <c r="C7862" t="str">
        <f t="shared" si="515"/>
        <v>423</v>
      </c>
      <c r="D7862" t="str">
        <f>"12"</f>
        <v>12</v>
      </c>
      <c r="E7862" t="str">
        <f>"1-423-12"</f>
        <v>1-423-12</v>
      </c>
      <c r="F7862" t="s">
        <v>15</v>
      </c>
      <c r="G7862" t="s">
        <v>20</v>
      </c>
      <c r="H7862" t="s">
        <v>21</v>
      </c>
      <c r="I7862">
        <v>0</v>
      </c>
      <c r="J7862">
        <v>0</v>
      </c>
      <c r="K7862">
        <v>0</v>
      </c>
    </row>
    <row r="7863" spans="1:11" x14ac:dyDescent="0.25">
      <c r="A7863" t="str">
        <f>"9835"</f>
        <v>9835</v>
      </c>
      <c r="B7863" t="str">
        <f t="shared" si="516"/>
        <v>1</v>
      </c>
      <c r="C7863" t="str">
        <f t="shared" ref="C7863:C7887" si="517">"424"</f>
        <v>424</v>
      </c>
      <c r="D7863" t="str">
        <f>"21"</f>
        <v>21</v>
      </c>
      <c r="E7863" t="str">
        <f>"1-424-21"</f>
        <v>1-424-21</v>
      </c>
      <c r="F7863" t="s">
        <v>15</v>
      </c>
      <c r="G7863" t="s">
        <v>16</v>
      </c>
      <c r="H7863" t="s">
        <v>17</v>
      </c>
      <c r="I7863">
        <v>0</v>
      </c>
      <c r="J7863">
        <v>0</v>
      </c>
      <c r="K7863">
        <v>1</v>
      </c>
    </row>
    <row r="7864" spans="1:11" x14ac:dyDescent="0.25">
      <c r="A7864" t="str">
        <f>"9836"</f>
        <v>9836</v>
      </c>
      <c r="B7864" t="str">
        <f t="shared" si="516"/>
        <v>1</v>
      </c>
      <c r="C7864" t="str">
        <f t="shared" si="517"/>
        <v>424</v>
      </c>
      <c r="D7864" t="str">
        <f>"15"</f>
        <v>15</v>
      </c>
      <c r="E7864" t="str">
        <f>"1-424-15"</f>
        <v>1-424-15</v>
      </c>
      <c r="F7864" t="s">
        <v>15</v>
      </c>
      <c r="G7864" t="s">
        <v>18</v>
      </c>
      <c r="H7864" t="s">
        <v>19</v>
      </c>
      <c r="I7864">
        <v>1</v>
      </c>
      <c r="J7864">
        <v>0</v>
      </c>
      <c r="K7864">
        <v>0</v>
      </c>
    </row>
    <row r="7865" spans="1:11" x14ac:dyDescent="0.25">
      <c r="A7865" t="str">
        <f>"9837"</f>
        <v>9837</v>
      </c>
      <c r="B7865" t="str">
        <f t="shared" si="516"/>
        <v>1</v>
      </c>
      <c r="C7865" t="str">
        <f t="shared" si="517"/>
        <v>424</v>
      </c>
      <c r="D7865" t="str">
        <f>"7"</f>
        <v>7</v>
      </c>
      <c r="E7865" t="str">
        <f>"1-424-7"</f>
        <v>1-424-7</v>
      </c>
      <c r="F7865" t="s">
        <v>15</v>
      </c>
      <c r="G7865" t="s">
        <v>16</v>
      </c>
      <c r="H7865" t="s">
        <v>17</v>
      </c>
      <c r="I7865">
        <v>1</v>
      </c>
      <c r="J7865">
        <v>0</v>
      </c>
      <c r="K7865">
        <v>0</v>
      </c>
    </row>
    <row r="7866" spans="1:11" x14ac:dyDescent="0.25">
      <c r="A7866" t="str">
        <f>"9838"</f>
        <v>9838</v>
      </c>
      <c r="B7866" t="str">
        <f t="shared" si="516"/>
        <v>1</v>
      </c>
      <c r="C7866" t="str">
        <f t="shared" si="517"/>
        <v>424</v>
      </c>
      <c r="D7866" t="str">
        <f>"23"</f>
        <v>23</v>
      </c>
      <c r="E7866" t="str">
        <f>"1-424-23"</f>
        <v>1-424-23</v>
      </c>
      <c r="F7866" t="s">
        <v>15</v>
      </c>
      <c r="G7866" t="s">
        <v>16</v>
      </c>
      <c r="H7866" t="s">
        <v>17</v>
      </c>
      <c r="I7866">
        <v>0</v>
      </c>
      <c r="J7866">
        <v>1</v>
      </c>
      <c r="K7866">
        <v>0</v>
      </c>
    </row>
    <row r="7867" spans="1:11" x14ac:dyDescent="0.25">
      <c r="A7867" t="str">
        <f>"9839"</f>
        <v>9839</v>
      </c>
      <c r="B7867" t="str">
        <f t="shared" si="516"/>
        <v>1</v>
      </c>
      <c r="C7867" t="str">
        <f t="shared" si="517"/>
        <v>424</v>
      </c>
      <c r="D7867" t="str">
        <f>"16"</f>
        <v>16</v>
      </c>
      <c r="E7867" t="str">
        <f>"1-424-16"</f>
        <v>1-424-16</v>
      </c>
      <c r="F7867" t="s">
        <v>15</v>
      </c>
      <c r="G7867" t="s">
        <v>16</v>
      </c>
      <c r="H7867" t="s">
        <v>17</v>
      </c>
      <c r="I7867">
        <v>0</v>
      </c>
      <c r="J7867">
        <v>0</v>
      </c>
      <c r="K7867">
        <v>1</v>
      </c>
    </row>
    <row r="7868" spans="1:11" x14ac:dyDescent="0.25">
      <c r="A7868" t="str">
        <f>"9840"</f>
        <v>9840</v>
      </c>
      <c r="B7868" t="str">
        <f t="shared" si="516"/>
        <v>1</v>
      </c>
      <c r="C7868" t="str">
        <f t="shared" si="517"/>
        <v>424</v>
      </c>
      <c r="D7868" t="str">
        <f>"5"</f>
        <v>5</v>
      </c>
      <c r="E7868" t="str">
        <f>"1-424-5"</f>
        <v>1-424-5</v>
      </c>
      <c r="F7868" t="s">
        <v>15</v>
      </c>
      <c r="G7868" t="s">
        <v>16</v>
      </c>
      <c r="H7868" t="s">
        <v>17</v>
      </c>
      <c r="I7868">
        <v>1</v>
      </c>
      <c r="J7868">
        <v>0</v>
      </c>
      <c r="K7868">
        <v>0</v>
      </c>
    </row>
    <row r="7869" spans="1:11" x14ac:dyDescent="0.25">
      <c r="A7869" t="str">
        <f>"9841"</f>
        <v>9841</v>
      </c>
      <c r="B7869" t="str">
        <f t="shared" si="516"/>
        <v>1</v>
      </c>
      <c r="C7869" t="str">
        <f t="shared" si="517"/>
        <v>424</v>
      </c>
      <c r="D7869" t="str">
        <f>"17"</f>
        <v>17</v>
      </c>
      <c r="E7869" t="str">
        <f>"1-424-17"</f>
        <v>1-424-17</v>
      </c>
      <c r="F7869" t="s">
        <v>15</v>
      </c>
      <c r="G7869" t="s">
        <v>16</v>
      </c>
      <c r="H7869" t="s">
        <v>17</v>
      </c>
      <c r="I7869">
        <v>0</v>
      </c>
      <c r="J7869">
        <v>1</v>
      </c>
      <c r="K7869">
        <v>0</v>
      </c>
    </row>
    <row r="7870" spans="1:11" x14ac:dyDescent="0.25">
      <c r="A7870" t="str">
        <f>"9842"</f>
        <v>9842</v>
      </c>
      <c r="B7870" t="str">
        <f t="shared" si="516"/>
        <v>1</v>
      </c>
      <c r="C7870" t="str">
        <f t="shared" si="517"/>
        <v>424</v>
      </c>
      <c r="D7870" t="str">
        <f>"18"</f>
        <v>18</v>
      </c>
      <c r="E7870" t="str">
        <f>"1-424-18"</f>
        <v>1-424-18</v>
      </c>
      <c r="F7870" t="s">
        <v>15</v>
      </c>
      <c r="G7870" t="s">
        <v>18</v>
      </c>
      <c r="H7870" t="s">
        <v>19</v>
      </c>
      <c r="I7870">
        <v>1</v>
      </c>
      <c r="J7870">
        <v>0</v>
      </c>
      <c r="K7870">
        <v>0</v>
      </c>
    </row>
    <row r="7871" spans="1:11" x14ac:dyDescent="0.25">
      <c r="A7871" t="str">
        <f>"9843"</f>
        <v>9843</v>
      </c>
      <c r="B7871" t="str">
        <f t="shared" si="516"/>
        <v>1</v>
      </c>
      <c r="C7871" t="str">
        <f t="shared" si="517"/>
        <v>424</v>
      </c>
      <c r="D7871" t="str">
        <f>"13"</f>
        <v>13</v>
      </c>
      <c r="E7871" t="str">
        <f>"1-424-13"</f>
        <v>1-424-13</v>
      </c>
      <c r="F7871" t="s">
        <v>15</v>
      </c>
      <c r="G7871" t="s">
        <v>16</v>
      </c>
      <c r="H7871" t="s">
        <v>17</v>
      </c>
      <c r="I7871">
        <v>1</v>
      </c>
      <c r="J7871">
        <v>0</v>
      </c>
      <c r="K7871">
        <v>0</v>
      </c>
    </row>
    <row r="7872" spans="1:11" x14ac:dyDescent="0.25">
      <c r="A7872" t="str">
        <f>"9844"</f>
        <v>9844</v>
      </c>
      <c r="B7872" t="str">
        <f t="shared" si="516"/>
        <v>1</v>
      </c>
      <c r="C7872" t="str">
        <f t="shared" si="517"/>
        <v>424</v>
      </c>
      <c r="D7872" t="str">
        <f>"11"</f>
        <v>11</v>
      </c>
      <c r="E7872" t="str">
        <f>"1-424-11"</f>
        <v>1-424-11</v>
      </c>
      <c r="F7872" t="s">
        <v>15</v>
      </c>
      <c r="G7872" t="s">
        <v>16</v>
      </c>
      <c r="H7872" t="s">
        <v>17</v>
      </c>
      <c r="I7872">
        <v>1</v>
      </c>
      <c r="J7872">
        <v>0</v>
      </c>
      <c r="K7872">
        <v>0</v>
      </c>
    </row>
    <row r="7873" spans="1:11" x14ac:dyDescent="0.25">
      <c r="A7873" t="str">
        <f>"9845"</f>
        <v>9845</v>
      </c>
      <c r="B7873" t="str">
        <f t="shared" si="516"/>
        <v>1</v>
      </c>
      <c r="C7873" t="str">
        <f t="shared" si="517"/>
        <v>424</v>
      </c>
      <c r="D7873" t="str">
        <f>"20"</f>
        <v>20</v>
      </c>
      <c r="E7873" t="str">
        <f>"1-424-20"</f>
        <v>1-424-20</v>
      </c>
      <c r="F7873" t="s">
        <v>15</v>
      </c>
      <c r="G7873" t="s">
        <v>16</v>
      </c>
      <c r="H7873" t="s">
        <v>17</v>
      </c>
      <c r="I7873">
        <v>0</v>
      </c>
      <c r="J7873">
        <v>0</v>
      </c>
      <c r="K7873">
        <v>1</v>
      </c>
    </row>
    <row r="7874" spans="1:11" x14ac:dyDescent="0.25">
      <c r="A7874" t="str">
        <f>"9846"</f>
        <v>9846</v>
      </c>
      <c r="B7874" t="str">
        <f t="shared" si="516"/>
        <v>1</v>
      </c>
      <c r="C7874" t="str">
        <f t="shared" si="517"/>
        <v>424</v>
      </c>
      <c r="D7874" t="str">
        <f>"9"</f>
        <v>9</v>
      </c>
      <c r="E7874" t="str">
        <f>"1-424-9"</f>
        <v>1-424-9</v>
      </c>
      <c r="F7874" t="s">
        <v>15</v>
      </c>
      <c r="G7874" t="s">
        <v>16</v>
      </c>
      <c r="H7874" t="s">
        <v>17</v>
      </c>
      <c r="I7874">
        <v>0</v>
      </c>
      <c r="J7874">
        <v>1</v>
      </c>
      <c r="K7874">
        <v>0</v>
      </c>
    </row>
    <row r="7875" spans="1:11" x14ac:dyDescent="0.25">
      <c r="A7875" t="str">
        <f>"9847"</f>
        <v>9847</v>
      </c>
      <c r="B7875" t="str">
        <f t="shared" si="516"/>
        <v>1</v>
      </c>
      <c r="C7875" t="str">
        <f t="shared" si="517"/>
        <v>424</v>
      </c>
      <c r="D7875" t="str">
        <f>"22"</f>
        <v>22</v>
      </c>
      <c r="E7875" t="str">
        <f>"1-424-22"</f>
        <v>1-424-22</v>
      </c>
      <c r="F7875" t="s">
        <v>15</v>
      </c>
      <c r="G7875" t="s">
        <v>16</v>
      </c>
      <c r="H7875" t="s">
        <v>17</v>
      </c>
      <c r="I7875">
        <v>0</v>
      </c>
      <c r="J7875">
        <v>0</v>
      </c>
      <c r="K7875">
        <v>1</v>
      </c>
    </row>
    <row r="7876" spans="1:11" x14ac:dyDescent="0.25">
      <c r="A7876" t="str">
        <f>"9848"</f>
        <v>9848</v>
      </c>
      <c r="B7876" t="str">
        <f t="shared" si="516"/>
        <v>1</v>
      </c>
      <c r="C7876" t="str">
        <f t="shared" si="517"/>
        <v>424</v>
      </c>
      <c r="D7876" t="str">
        <f>"8"</f>
        <v>8</v>
      </c>
      <c r="E7876" t="str">
        <f>"1-424-8"</f>
        <v>1-424-8</v>
      </c>
      <c r="F7876" t="s">
        <v>15</v>
      </c>
      <c r="G7876" t="s">
        <v>16</v>
      </c>
      <c r="H7876" t="s">
        <v>17</v>
      </c>
      <c r="I7876">
        <v>1</v>
      </c>
      <c r="J7876">
        <v>0</v>
      </c>
      <c r="K7876">
        <v>0</v>
      </c>
    </row>
    <row r="7877" spans="1:11" x14ac:dyDescent="0.25">
      <c r="A7877" t="str">
        <f>"9849"</f>
        <v>9849</v>
      </c>
      <c r="B7877" t="str">
        <f t="shared" si="516"/>
        <v>1</v>
      </c>
      <c r="C7877" t="str">
        <f t="shared" si="517"/>
        <v>424</v>
      </c>
      <c r="D7877" t="str">
        <f>"24"</f>
        <v>24</v>
      </c>
      <c r="E7877" t="str">
        <f>"1-424-24"</f>
        <v>1-424-24</v>
      </c>
      <c r="F7877" t="s">
        <v>15</v>
      </c>
      <c r="G7877" t="s">
        <v>16</v>
      </c>
      <c r="H7877" t="s">
        <v>17</v>
      </c>
      <c r="I7877">
        <v>0</v>
      </c>
      <c r="J7877">
        <v>1</v>
      </c>
      <c r="K7877">
        <v>0</v>
      </c>
    </row>
    <row r="7878" spans="1:11" x14ac:dyDescent="0.25">
      <c r="A7878" t="str">
        <f>"9850"</f>
        <v>9850</v>
      </c>
      <c r="B7878" t="str">
        <f t="shared" si="516"/>
        <v>1</v>
      </c>
      <c r="C7878" t="str">
        <f t="shared" si="517"/>
        <v>424</v>
      </c>
      <c r="D7878" t="str">
        <f>"6"</f>
        <v>6</v>
      </c>
      <c r="E7878" t="str">
        <f>"1-424-6"</f>
        <v>1-424-6</v>
      </c>
      <c r="F7878" t="s">
        <v>15</v>
      </c>
      <c r="G7878" t="s">
        <v>16</v>
      </c>
      <c r="H7878" t="s">
        <v>17</v>
      </c>
      <c r="I7878">
        <v>0</v>
      </c>
      <c r="J7878">
        <v>0</v>
      </c>
      <c r="K7878">
        <v>1</v>
      </c>
    </row>
    <row r="7879" spans="1:11" x14ac:dyDescent="0.25">
      <c r="A7879" t="str">
        <f>"9851"</f>
        <v>9851</v>
      </c>
      <c r="B7879" t="str">
        <f t="shared" si="516"/>
        <v>1</v>
      </c>
      <c r="C7879" t="str">
        <f t="shared" si="517"/>
        <v>424</v>
      </c>
      <c r="D7879" t="str">
        <f>"25"</f>
        <v>25</v>
      </c>
      <c r="E7879" t="str">
        <f>"1-424-25"</f>
        <v>1-424-25</v>
      </c>
      <c r="F7879" t="s">
        <v>15</v>
      </c>
      <c r="G7879" t="s">
        <v>18</v>
      </c>
      <c r="H7879" t="s">
        <v>19</v>
      </c>
      <c r="I7879">
        <v>0</v>
      </c>
      <c r="J7879">
        <v>1</v>
      </c>
      <c r="K7879">
        <v>0</v>
      </c>
    </row>
    <row r="7880" spans="1:11" x14ac:dyDescent="0.25">
      <c r="A7880" t="str">
        <f>"9852"</f>
        <v>9852</v>
      </c>
      <c r="B7880" t="str">
        <f t="shared" si="516"/>
        <v>1</v>
      </c>
      <c r="C7880" t="str">
        <f t="shared" si="517"/>
        <v>424</v>
      </c>
      <c r="D7880" t="str">
        <f>"3"</f>
        <v>3</v>
      </c>
      <c r="E7880" t="str">
        <f>"1-424-3"</f>
        <v>1-424-3</v>
      </c>
      <c r="F7880" t="s">
        <v>15</v>
      </c>
      <c r="G7880" t="s">
        <v>18</v>
      </c>
      <c r="H7880" t="s">
        <v>19</v>
      </c>
      <c r="I7880">
        <v>1</v>
      </c>
      <c r="J7880">
        <v>0</v>
      </c>
      <c r="K7880">
        <v>0</v>
      </c>
    </row>
    <row r="7881" spans="1:11" x14ac:dyDescent="0.25">
      <c r="A7881" t="str">
        <f>"9853"</f>
        <v>9853</v>
      </c>
      <c r="B7881" t="str">
        <f t="shared" si="516"/>
        <v>1</v>
      </c>
      <c r="C7881" t="str">
        <f t="shared" si="517"/>
        <v>424</v>
      </c>
      <c r="D7881" t="str">
        <f>"10"</f>
        <v>10</v>
      </c>
      <c r="E7881" t="str">
        <f>"1-424-10"</f>
        <v>1-424-10</v>
      </c>
      <c r="F7881" t="s">
        <v>15</v>
      </c>
      <c r="G7881" t="s">
        <v>16</v>
      </c>
      <c r="H7881" t="s">
        <v>17</v>
      </c>
      <c r="I7881">
        <v>0</v>
      </c>
      <c r="J7881">
        <v>0</v>
      </c>
      <c r="K7881">
        <v>1</v>
      </c>
    </row>
    <row r="7882" spans="1:11" x14ac:dyDescent="0.25">
      <c r="A7882" t="str">
        <f>"9854"</f>
        <v>9854</v>
      </c>
      <c r="B7882" t="str">
        <f t="shared" si="516"/>
        <v>1</v>
      </c>
      <c r="C7882" t="str">
        <f t="shared" si="517"/>
        <v>424</v>
      </c>
      <c r="D7882" t="str">
        <f>"2"</f>
        <v>2</v>
      </c>
      <c r="E7882" t="str">
        <f>"1-424-2"</f>
        <v>1-424-2</v>
      </c>
      <c r="F7882" t="s">
        <v>15</v>
      </c>
      <c r="G7882" t="s">
        <v>16</v>
      </c>
      <c r="H7882" t="s">
        <v>17</v>
      </c>
      <c r="I7882">
        <v>0</v>
      </c>
      <c r="J7882">
        <v>0</v>
      </c>
      <c r="K7882">
        <v>1</v>
      </c>
    </row>
    <row r="7883" spans="1:11" x14ac:dyDescent="0.25">
      <c r="A7883" t="str">
        <f>"9855"</f>
        <v>9855</v>
      </c>
      <c r="B7883" t="str">
        <f t="shared" si="516"/>
        <v>1</v>
      </c>
      <c r="C7883" t="str">
        <f t="shared" si="517"/>
        <v>424</v>
      </c>
      <c r="D7883" t="str">
        <f>"4"</f>
        <v>4</v>
      </c>
      <c r="E7883" t="str">
        <f>"1-424-4"</f>
        <v>1-424-4</v>
      </c>
      <c r="F7883" t="s">
        <v>15</v>
      </c>
      <c r="G7883" t="s">
        <v>16</v>
      </c>
      <c r="H7883" t="s">
        <v>17</v>
      </c>
      <c r="I7883">
        <v>0</v>
      </c>
      <c r="J7883">
        <v>0</v>
      </c>
      <c r="K7883">
        <v>1</v>
      </c>
    </row>
    <row r="7884" spans="1:11" x14ac:dyDescent="0.25">
      <c r="A7884" t="str">
        <f>"9856"</f>
        <v>9856</v>
      </c>
      <c r="B7884" t="str">
        <f t="shared" si="516"/>
        <v>1</v>
      </c>
      <c r="C7884" t="str">
        <f t="shared" si="517"/>
        <v>424</v>
      </c>
      <c r="D7884" t="str">
        <f>"12"</f>
        <v>12</v>
      </c>
      <c r="E7884" t="str">
        <f>"1-424-12"</f>
        <v>1-424-12</v>
      </c>
      <c r="F7884" t="s">
        <v>15</v>
      </c>
      <c r="G7884" t="s">
        <v>18</v>
      </c>
      <c r="H7884" t="s">
        <v>19</v>
      </c>
      <c r="I7884">
        <v>0</v>
      </c>
      <c r="J7884">
        <v>0</v>
      </c>
      <c r="K7884">
        <v>1</v>
      </c>
    </row>
    <row r="7885" spans="1:11" x14ac:dyDescent="0.25">
      <c r="A7885" t="str">
        <f>"9857"</f>
        <v>9857</v>
      </c>
      <c r="B7885" t="str">
        <f t="shared" si="516"/>
        <v>1</v>
      </c>
      <c r="C7885" t="str">
        <f t="shared" si="517"/>
        <v>424</v>
      </c>
      <c r="D7885" t="str">
        <f>"1"</f>
        <v>1</v>
      </c>
      <c r="E7885" t="str">
        <f>"1-424-1"</f>
        <v>1-424-1</v>
      </c>
      <c r="F7885" t="s">
        <v>15</v>
      </c>
      <c r="G7885" t="s">
        <v>16</v>
      </c>
      <c r="H7885" t="s">
        <v>17</v>
      </c>
      <c r="I7885">
        <v>0</v>
      </c>
      <c r="J7885">
        <v>0</v>
      </c>
      <c r="K7885">
        <v>0</v>
      </c>
    </row>
    <row r="7886" spans="1:11" x14ac:dyDescent="0.25">
      <c r="A7886" t="str">
        <f>"9858"</f>
        <v>9858</v>
      </c>
      <c r="B7886" t="str">
        <f t="shared" si="516"/>
        <v>1</v>
      </c>
      <c r="C7886" t="str">
        <f t="shared" si="517"/>
        <v>424</v>
      </c>
      <c r="D7886" t="str">
        <f>"19"</f>
        <v>19</v>
      </c>
      <c r="E7886" t="str">
        <f>"1-424-19"</f>
        <v>1-424-19</v>
      </c>
      <c r="F7886" t="s">
        <v>15</v>
      </c>
      <c r="G7886" t="s">
        <v>18</v>
      </c>
      <c r="H7886" t="s">
        <v>19</v>
      </c>
      <c r="I7886">
        <v>0</v>
      </c>
      <c r="J7886">
        <v>0</v>
      </c>
      <c r="K7886">
        <v>0</v>
      </c>
    </row>
    <row r="7887" spans="1:11" x14ac:dyDescent="0.25">
      <c r="A7887" t="str">
        <f>"9859"</f>
        <v>9859</v>
      </c>
      <c r="B7887" t="str">
        <f t="shared" si="516"/>
        <v>1</v>
      </c>
      <c r="C7887" t="str">
        <f t="shared" si="517"/>
        <v>424</v>
      </c>
      <c r="D7887" t="str">
        <f>"14"</f>
        <v>14</v>
      </c>
      <c r="E7887" t="str">
        <f>"1-424-14"</f>
        <v>1-424-14</v>
      </c>
      <c r="F7887" t="s">
        <v>15</v>
      </c>
      <c r="G7887" t="s">
        <v>16</v>
      </c>
      <c r="H7887" t="s">
        <v>17</v>
      </c>
      <c r="I7887">
        <v>0</v>
      </c>
      <c r="J7887">
        <v>0</v>
      </c>
      <c r="K7887">
        <v>0</v>
      </c>
    </row>
    <row r="7888" spans="1:11" x14ac:dyDescent="0.25">
      <c r="A7888" t="str">
        <f>"9874"</f>
        <v>9874</v>
      </c>
      <c r="B7888" t="str">
        <f t="shared" si="516"/>
        <v>1</v>
      </c>
      <c r="C7888" t="str">
        <f t="shared" ref="C7888:C7912" si="518">"426"</f>
        <v>426</v>
      </c>
      <c r="D7888" t="str">
        <f>"15"</f>
        <v>15</v>
      </c>
      <c r="E7888" t="str">
        <f>"1-426-15"</f>
        <v>1-426-15</v>
      </c>
      <c r="F7888" t="s">
        <v>15</v>
      </c>
      <c r="G7888" t="s">
        <v>16</v>
      </c>
      <c r="H7888" t="s">
        <v>17</v>
      </c>
      <c r="I7888">
        <v>0</v>
      </c>
      <c r="J7888">
        <v>1</v>
      </c>
      <c r="K7888">
        <v>0</v>
      </c>
    </row>
    <row r="7889" spans="1:11" x14ac:dyDescent="0.25">
      <c r="A7889" t="str">
        <f>"9875"</f>
        <v>9875</v>
      </c>
      <c r="B7889" t="str">
        <f t="shared" si="516"/>
        <v>1</v>
      </c>
      <c r="C7889" t="str">
        <f t="shared" si="518"/>
        <v>426</v>
      </c>
      <c r="D7889" t="str">
        <f>"4"</f>
        <v>4</v>
      </c>
      <c r="E7889" t="str">
        <f>"1-426-4"</f>
        <v>1-426-4</v>
      </c>
      <c r="F7889" t="s">
        <v>15</v>
      </c>
      <c r="G7889" t="s">
        <v>16</v>
      </c>
      <c r="H7889" t="s">
        <v>17</v>
      </c>
      <c r="I7889">
        <v>0</v>
      </c>
      <c r="J7889">
        <v>1</v>
      </c>
      <c r="K7889">
        <v>0</v>
      </c>
    </row>
    <row r="7890" spans="1:11" x14ac:dyDescent="0.25">
      <c r="A7890" t="str">
        <f>"9876"</f>
        <v>9876</v>
      </c>
      <c r="B7890" t="str">
        <f t="shared" si="516"/>
        <v>1</v>
      </c>
      <c r="C7890" t="str">
        <f t="shared" si="518"/>
        <v>426</v>
      </c>
      <c r="D7890" t="str">
        <f>"24"</f>
        <v>24</v>
      </c>
      <c r="E7890" t="str">
        <f>"1-426-24"</f>
        <v>1-426-24</v>
      </c>
      <c r="F7890" t="s">
        <v>15</v>
      </c>
      <c r="G7890" t="s">
        <v>16</v>
      </c>
      <c r="H7890" t="s">
        <v>17</v>
      </c>
      <c r="I7890">
        <v>0</v>
      </c>
      <c r="J7890">
        <v>1</v>
      </c>
      <c r="K7890">
        <v>0</v>
      </c>
    </row>
    <row r="7891" spans="1:11" x14ac:dyDescent="0.25">
      <c r="A7891" t="str">
        <f>"9877"</f>
        <v>9877</v>
      </c>
      <c r="B7891" t="str">
        <f t="shared" si="516"/>
        <v>1</v>
      </c>
      <c r="C7891" t="str">
        <f t="shared" si="518"/>
        <v>426</v>
      </c>
      <c r="D7891" t="str">
        <f>"16"</f>
        <v>16</v>
      </c>
      <c r="E7891" t="str">
        <f>"1-426-16"</f>
        <v>1-426-16</v>
      </c>
      <c r="F7891" t="s">
        <v>15</v>
      </c>
      <c r="G7891" t="s">
        <v>16</v>
      </c>
      <c r="H7891" t="s">
        <v>17</v>
      </c>
      <c r="I7891">
        <v>1</v>
      </c>
      <c r="J7891">
        <v>0</v>
      </c>
      <c r="K7891">
        <v>0</v>
      </c>
    </row>
    <row r="7892" spans="1:11" x14ac:dyDescent="0.25">
      <c r="A7892" t="str">
        <f>"9878"</f>
        <v>9878</v>
      </c>
      <c r="B7892" t="str">
        <f t="shared" si="516"/>
        <v>1</v>
      </c>
      <c r="C7892" t="str">
        <f t="shared" si="518"/>
        <v>426</v>
      </c>
      <c r="D7892" t="str">
        <f>"7"</f>
        <v>7</v>
      </c>
      <c r="E7892" t="str">
        <f>"1-426-7"</f>
        <v>1-426-7</v>
      </c>
      <c r="F7892" t="s">
        <v>15</v>
      </c>
      <c r="G7892" t="s">
        <v>16</v>
      </c>
      <c r="H7892" t="s">
        <v>17</v>
      </c>
      <c r="I7892">
        <v>1</v>
      </c>
      <c r="J7892">
        <v>0</v>
      </c>
      <c r="K7892">
        <v>0</v>
      </c>
    </row>
    <row r="7893" spans="1:11" x14ac:dyDescent="0.25">
      <c r="A7893" t="str">
        <f>"9879"</f>
        <v>9879</v>
      </c>
      <c r="B7893" t="str">
        <f t="shared" si="516"/>
        <v>1</v>
      </c>
      <c r="C7893" t="str">
        <f t="shared" si="518"/>
        <v>426</v>
      </c>
      <c r="D7893" t="str">
        <f>"17"</f>
        <v>17</v>
      </c>
      <c r="E7893" t="str">
        <f>"1-426-17"</f>
        <v>1-426-17</v>
      </c>
      <c r="F7893" t="s">
        <v>15</v>
      </c>
      <c r="G7893" t="s">
        <v>16</v>
      </c>
      <c r="H7893" t="s">
        <v>17</v>
      </c>
      <c r="I7893">
        <v>1</v>
      </c>
      <c r="J7893">
        <v>0</v>
      </c>
      <c r="K7893">
        <v>0</v>
      </c>
    </row>
    <row r="7894" spans="1:11" x14ac:dyDescent="0.25">
      <c r="A7894" t="str">
        <f>"9880"</f>
        <v>9880</v>
      </c>
      <c r="B7894" t="str">
        <f t="shared" si="516"/>
        <v>1</v>
      </c>
      <c r="C7894" t="str">
        <f t="shared" si="518"/>
        <v>426</v>
      </c>
      <c r="D7894" t="str">
        <f>"1"</f>
        <v>1</v>
      </c>
      <c r="E7894" t="str">
        <f>"1-426-1"</f>
        <v>1-426-1</v>
      </c>
      <c r="F7894" t="s">
        <v>15</v>
      </c>
      <c r="G7894" t="s">
        <v>16</v>
      </c>
      <c r="H7894" t="s">
        <v>17</v>
      </c>
      <c r="I7894">
        <v>1</v>
      </c>
      <c r="J7894">
        <v>0</v>
      </c>
      <c r="K7894">
        <v>0</v>
      </c>
    </row>
    <row r="7895" spans="1:11" x14ac:dyDescent="0.25">
      <c r="A7895" t="str">
        <f>"9881"</f>
        <v>9881</v>
      </c>
      <c r="B7895" t="str">
        <f t="shared" si="516"/>
        <v>1</v>
      </c>
      <c r="C7895" t="str">
        <f t="shared" si="518"/>
        <v>426</v>
      </c>
      <c r="D7895" t="str">
        <f>"18"</f>
        <v>18</v>
      </c>
      <c r="E7895" t="str">
        <f>"1-426-18"</f>
        <v>1-426-18</v>
      </c>
      <c r="F7895" t="s">
        <v>15</v>
      </c>
      <c r="G7895" t="s">
        <v>16</v>
      </c>
      <c r="H7895" t="s">
        <v>17</v>
      </c>
      <c r="I7895">
        <v>1</v>
      </c>
      <c r="J7895">
        <v>0</v>
      </c>
      <c r="K7895">
        <v>0</v>
      </c>
    </row>
    <row r="7896" spans="1:11" x14ac:dyDescent="0.25">
      <c r="A7896" t="str">
        <f>"9882"</f>
        <v>9882</v>
      </c>
      <c r="B7896" t="str">
        <f t="shared" ref="B7896:B7959" si="519">"1"</f>
        <v>1</v>
      </c>
      <c r="C7896" t="str">
        <f t="shared" si="518"/>
        <v>426</v>
      </c>
      <c r="D7896" t="str">
        <f>"19"</f>
        <v>19</v>
      </c>
      <c r="E7896" t="str">
        <f>"1-426-19"</f>
        <v>1-426-19</v>
      </c>
      <c r="F7896" t="s">
        <v>15</v>
      </c>
      <c r="G7896" t="s">
        <v>16</v>
      </c>
      <c r="H7896" t="s">
        <v>17</v>
      </c>
      <c r="I7896">
        <v>0</v>
      </c>
      <c r="J7896">
        <v>0</v>
      </c>
      <c r="K7896">
        <v>1</v>
      </c>
    </row>
    <row r="7897" spans="1:11" x14ac:dyDescent="0.25">
      <c r="A7897" t="str">
        <f>"9883"</f>
        <v>9883</v>
      </c>
      <c r="B7897" t="str">
        <f t="shared" si="519"/>
        <v>1</v>
      </c>
      <c r="C7897" t="str">
        <f t="shared" si="518"/>
        <v>426</v>
      </c>
      <c r="D7897" t="str">
        <f>"3"</f>
        <v>3</v>
      </c>
      <c r="E7897" t="str">
        <f>"1-426-3"</f>
        <v>1-426-3</v>
      </c>
      <c r="F7897" t="s">
        <v>15</v>
      </c>
      <c r="G7897" t="s">
        <v>16</v>
      </c>
      <c r="H7897" t="s">
        <v>17</v>
      </c>
      <c r="I7897">
        <v>1</v>
      </c>
      <c r="J7897">
        <v>0</v>
      </c>
      <c r="K7897">
        <v>0</v>
      </c>
    </row>
    <row r="7898" spans="1:11" x14ac:dyDescent="0.25">
      <c r="A7898" t="str">
        <f>"9884"</f>
        <v>9884</v>
      </c>
      <c r="B7898" t="str">
        <f t="shared" si="519"/>
        <v>1</v>
      </c>
      <c r="C7898" t="str">
        <f t="shared" si="518"/>
        <v>426</v>
      </c>
      <c r="D7898" t="str">
        <f>"20"</f>
        <v>20</v>
      </c>
      <c r="E7898" t="str">
        <f>"1-426-20"</f>
        <v>1-426-20</v>
      </c>
      <c r="F7898" t="s">
        <v>15</v>
      </c>
      <c r="G7898" t="s">
        <v>16</v>
      </c>
      <c r="H7898" t="s">
        <v>17</v>
      </c>
      <c r="I7898">
        <v>1</v>
      </c>
      <c r="J7898">
        <v>0</v>
      </c>
      <c r="K7898">
        <v>0</v>
      </c>
    </row>
    <row r="7899" spans="1:11" x14ac:dyDescent="0.25">
      <c r="A7899" t="str">
        <f>"9885"</f>
        <v>9885</v>
      </c>
      <c r="B7899" t="str">
        <f t="shared" si="519"/>
        <v>1</v>
      </c>
      <c r="C7899" t="str">
        <f t="shared" si="518"/>
        <v>426</v>
      </c>
      <c r="D7899" t="str">
        <f>"10"</f>
        <v>10</v>
      </c>
      <c r="E7899" t="str">
        <f>"1-426-10"</f>
        <v>1-426-10</v>
      </c>
      <c r="F7899" t="s">
        <v>15</v>
      </c>
      <c r="G7899" t="s">
        <v>16</v>
      </c>
      <c r="H7899" t="s">
        <v>17</v>
      </c>
      <c r="I7899">
        <v>1</v>
      </c>
      <c r="J7899">
        <v>0</v>
      </c>
      <c r="K7899">
        <v>0</v>
      </c>
    </row>
    <row r="7900" spans="1:11" x14ac:dyDescent="0.25">
      <c r="A7900" t="str">
        <f>"9886"</f>
        <v>9886</v>
      </c>
      <c r="B7900" t="str">
        <f t="shared" si="519"/>
        <v>1</v>
      </c>
      <c r="C7900" t="str">
        <f t="shared" si="518"/>
        <v>426</v>
      </c>
      <c r="D7900" t="str">
        <f>"21"</f>
        <v>21</v>
      </c>
      <c r="E7900" t="str">
        <f>"1-426-21"</f>
        <v>1-426-21</v>
      </c>
      <c r="F7900" t="s">
        <v>15</v>
      </c>
      <c r="G7900" t="s">
        <v>16</v>
      </c>
      <c r="H7900" t="s">
        <v>17</v>
      </c>
      <c r="I7900">
        <v>1</v>
      </c>
      <c r="J7900">
        <v>0</v>
      </c>
      <c r="K7900">
        <v>0</v>
      </c>
    </row>
    <row r="7901" spans="1:11" x14ac:dyDescent="0.25">
      <c r="A7901" t="str">
        <f>"9887"</f>
        <v>9887</v>
      </c>
      <c r="B7901" t="str">
        <f t="shared" si="519"/>
        <v>1</v>
      </c>
      <c r="C7901" t="str">
        <f t="shared" si="518"/>
        <v>426</v>
      </c>
      <c r="D7901" t="str">
        <f>"2"</f>
        <v>2</v>
      </c>
      <c r="E7901" t="str">
        <f>"1-426-2"</f>
        <v>1-426-2</v>
      </c>
      <c r="F7901" t="s">
        <v>15</v>
      </c>
      <c r="G7901" t="s">
        <v>16</v>
      </c>
      <c r="H7901" t="s">
        <v>17</v>
      </c>
      <c r="I7901">
        <v>0</v>
      </c>
      <c r="J7901">
        <v>0</v>
      </c>
      <c r="K7901">
        <v>1</v>
      </c>
    </row>
    <row r="7902" spans="1:11" x14ac:dyDescent="0.25">
      <c r="A7902" t="str">
        <f>"9888"</f>
        <v>9888</v>
      </c>
      <c r="B7902" t="str">
        <f t="shared" si="519"/>
        <v>1</v>
      </c>
      <c r="C7902" t="str">
        <f t="shared" si="518"/>
        <v>426</v>
      </c>
      <c r="D7902" t="str">
        <f>"22"</f>
        <v>22</v>
      </c>
      <c r="E7902" t="str">
        <f>"1-426-22"</f>
        <v>1-426-22</v>
      </c>
      <c r="F7902" t="s">
        <v>15</v>
      </c>
      <c r="G7902" t="s">
        <v>16</v>
      </c>
      <c r="H7902" t="s">
        <v>17</v>
      </c>
      <c r="I7902">
        <v>1</v>
      </c>
      <c r="J7902">
        <v>0</v>
      </c>
      <c r="K7902">
        <v>0</v>
      </c>
    </row>
    <row r="7903" spans="1:11" x14ac:dyDescent="0.25">
      <c r="A7903" t="str">
        <f>"9889"</f>
        <v>9889</v>
      </c>
      <c r="B7903" t="str">
        <f t="shared" si="519"/>
        <v>1</v>
      </c>
      <c r="C7903" t="str">
        <f t="shared" si="518"/>
        <v>426</v>
      </c>
      <c r="D7903" t="str">
        <f>"14"</f>
        <v>14</v>
      </c>
      <c r="E7903" t="str">
        <f>"1-426-14"</f>
        <v>1-426-14</v>
      </c>
      <c r="F7903" t="s">
        <v>15</v>
      </c>
      <c r="G7903" t="s">
        <v>16</v>
      </c>
      <c r="H7903" t="s">
        <v>17</v>
      </c>
      <c r="I7903">
        <v>1</v>
      </c>
      <c r="J7903">
        <v>0</v>
      </c>
      <c r="K7903">
        <v>0</v>
      </c>
    </row>
    <row r="7904" spans="1:11" x14ac:dyDescent="0.25">
      <c r="A7904" t="str">
        <f>"9890"</f>
        <v>9890</v>
      </c>
      <c r="B7904" t="str">
        <f t="shared" si="519"/>
        <v>1</v>
      </c>
      <c r="C7904" t="str">
        <f t="shared" si="518"/>
        <v>426</v>
      </c>
      <c r="D7904" t="str">
        <f>"23"</f>
        <v>23</v>
      </c>
      <c r="E7904" t="str">
        <f>"1-426-23"</f>
        <v>1-426-23</v>
      </c>
      <c r="F7904" t="s">
        <v>15</v>
      </c>
      <c r="G7904" t="s">
        <v>16</v>
      </c>
      <c r="H7904" t="s">
        <v>17</v>
      </c>
      <c r="I7904">
        <v>1</v>
      </c>
      <c r="J7904">
        <v>0</v>
      </c>
      <c r="K7904">
        <v>0</v>
      </c>
    </row>
    <row r="7905" spans="1:11" x14ac:dyDescent="0.25">
      <c r="A7905" t="str">
        <f>"9891"</f>
        <v>9891</v>
      </c>
      <c r="B7905" t="str">
        <f t="shared" si="519"/>
        <v>1</v>
      </c>
      <c r="C7905" t="str">
        <f t="shared" si="518"/>
        <v>426</v>
      </c>
      <c r="D7905" t="str">
        <f>"5"</f>
        <v>5</v>
      </c>
      <c r="E7905" t="str">
        <f>"1-426-5"</f>
        <v>1-426-5</v>
      </c>
      <c r="F7905" t="s">
        <v>15</v>
      </c>
      <c r="G7905" t="s">
        <v>16</v>
      </c>
      <c r="H7905" t="s">
        <v>17</v>
      </c>
      <c r="I7905">
        <v>1</v>
      </c>
      <c r="J7905">
        <v>0</v>
      </c>
      <c r="K7905">
        <v>0</v>
      </c>
    </row>
    <row r="7906" spans="1:11" x14ac:dyDescent="0.25">
      <c r="A7906" t="str">
        <f>"9892"</f>
        <v>9892</v>
      </c>
      <c r="B7906" t="str">
        <f t="shared" si="519"/>
        <v>1</v>
      </c>
      <c r="C7906" t="str">
        <f t="shared" si="518"/>
        <v>426</v>
      </c>
      <c r="D7906" t="str">
        <f>"25"</f>
        <v>25</v>
      </c>
      <c r="E7906" t="str">
        <f>"1-426-25"</f>
        <v>1-426-25</v>
      </c>
      <c r="F7906" t="s">
        <v>15</v>
      </c>
      <c r="G7906" t="s">
        <v>16</v>
      </c>
      <c r="H7906" t="s">
        <v>17</v>
      </c>
      <c r="I7906">
        <v>0</v>
      </c>
      <c r="J7906">
        <v>1</v>
      </c>
      <c r="K7906">
        <v>0</v>
      </c>
    </row>
    <row r="7907" spans="1:11" x14ac:dyDescent="0.25">
      <c r="A7907" t="str">
        <f>"9893"</f>
        <v>9893</v>
      </c>
      <c r="B7907" t="str">
        <f t="shared" si="519"/>
        <v>1</v>
      </c>
      <c r="C7907" t="str">
        <f t="shared" si="518"/>
        <v>426</v>
      </c>
      <c r="D7907" t="str">
        <f>"8"</f>
        <v>8</v>
      </c>
      <c r="E7907" t="str">
        <f>"1-426-8"</f>
        <v>1-426-8</v>
      </c>
      <c r="F7907" t="s">
        <v>15</v>
      </c>
      <c r="G7907" t="s">
        <v>16</v>
      </c>
      <c r="H7907" t="s">
        <v>17</v>
      </c>
      <c r="I7907">
        <v>1</v>
      </c>
      <c r="J7907">
        <v>0</v>
      </c>
      <c r="K7907">
        <v>0</v>
      </c>
    </row>
    <row r="7908" spans="1:11" x14ac:dyDescent="0.25">
      <c r="A7908" t="str">
        <f>"9894"</f>
        <v>9894</v>
      </c>
      <c r="B7908" t="str">
        <f t="shared" si="519"/>
        <v>1</v>
      </c>
      <c r="C7908" t="str">
        <f t="shared" si="518"/>
        <v>426</v>
      </c>
      <c r="D7908" t="str">
        <f>"6"</f>
        <v>6</v>
      </c>
      <c r="E7908" t="str">
        <f>"1-426-6"</f>
        <v>1-426-6</v>
      </c>
      <c r="F7908" t="s">
        <v>15</v>
      </c>
      <c r="G7908" t="s">
        <v>16</v>
      </c>
      <c r="H7908" t="s">
        <v>17</v>
      </c>
      <c r="I7908">
        <v>1</v>
      </c>
      <c r="J7908">
        <v>0</v>
      </c>
      <c r="K7908">
        <v>0</v>
      </c>
    </row>
    <row r="7909" spans="1:11" x14ac:dyDescent="0.25">
      <c r="A7909" t="str">
        <f>"9895"</f>
        <v>9895</v>
      </c>
      <c r="B7909" t="str">
        <f t="shared" si="519"/>
        <v>1</v>
      </c>
      <c r="C7909" t="str">
        <f t="shared" si="518"/>
        <v>426</v>
      </c>
      <c r="D7909" t="str">
        <f>"12"</f>
        <v>12</v>
      </c>
      <c r="E7909" t="str">
        <f>"1-426-12"</f>
        <v>1-426-12</v>
      </c>
      <c r="F7909" t="s">
        <v>15</v>
      </c>
      <c r="G7909" t="s">
        <v>16</v>
      </c>
      <c r="H7909" t="s">
        <v>17</v>
      </c>
      <c r="I7909">
        <v>1</v>
      </c>
      <c r="J7909">
        <v>0</v>
      </c>
      <c r="K7909">
        <v>0</v>
      </c>
    </row>
    <row r="7910" spans="1:11" x14ac:dyDescent="0.25">
      <c r="A7910" t="str">
        <f>"9896"</f>
        <v>9896</v>
      </c>
      <c r="B7910" t="str">
        <f t="shared" si="519"/>
        <v>1</v>
      </c>
      <c r="C7910" t="str">
        <f t="shared" si="518"/>
        <v>426</v>
      </c>
      <c r="D7910" t="str">
        <f>"9"</f>
        <v>9</v>
      </c>
      <c r="E7910" t="str">
        <f>"1-426-9"</f>
        <v>1-426-9</v>
      </c>
      <c r="F7910" t="s">
        <v>15</v>
      </c>
      <c r="G7910" t="s">
        <v>16</v>
      </c>
      <c r="H7910" t="s">
        <v>17</v>
      </c>
      <c r="I7910">
        <v>0</v>
      </c>
      <c r="J7910">
        <v>0</v>
      </c>
      <c r="K7910">
        <v>1</v>
      </c>
    </row>
    <row r="7911" spans="1:11" x14ac:dyDescent="0.25">
      <c r="A7911" t="str">
        <f>"9897"</f>
        <v>9897</v>
      </c>
      <c r="B7911" t="str">
        <f t="shared" si="519"/>
        <v>1</v>
      </c>
      <c r="C7911" t="str">
        <f t="shared" si="518"/>
        <v>426</v>
      </c>
      <c r="D7911" t="str">
        <f>"13"</f>
        <v>13</v>
      </c>
      <c r="E7911" t="str">
        <f>"1-426-13"</f>
        <v>1-426-13</v>
      </c>
      <c r="F7911" t="s">
        <v>15</v>
      </c>
      <c r="G7911" t="s">
        <v>16</v>
      </c>
      <c r="H7911" t="s">
        <v>17</v>
      </c>
      <c r="I7911">
        <v>1</v>
      </c>
      <c r="J7911">
        <v>0</v>
      </c>
      <c r="K7911">
        <v>0</v>
      </c>
    </row>
    <row r="7912" spans="1:11" x14ac:dyDescent="0.25">
      <c r="A7912" t="str">
        <f>"9898"</f>
        <v>9898</v>
      </c>
      <c r="B7912" t="str">
        <f t="shared" si="519"/>
        <v>1</v>
      </c>
      <c r="C7912" t="str">
        <f t="shared" si="518"/>
        <v>426</v>
      </c>
      <c r="D7912" t="str">
        <f>"11"</f>
        <v>11</v>
      </c>
      <c r="E7912" t="str">
        <f>"1-426-11"</f>
        <v>1-426-11</v>
      </c>
      <c r="F7912" t="s">
        <v>15</v>
      </c>
      <c r="G7912" t="s">
        <v>16</v>
      </c>
      <c r="H7912" t="s">
        <v>17</v>
      </c>
      <c r="I7912">
        <v>0</v>
      </c>
      <c r="J7912">
        <v>0</v>
      </c>
      <c r="K7912">
        <v>0</v>
      </c>
    </row>
    <row r="7913" spans="1:11" x14ac:dyDescent="0.25">
      <c r="A7913" t="str">
        <f>"9899"</f>
        <v>9899</v>
      </c>
      <c r="B7913" t="str">
        <f t="shared" si="519"/>
        <v>1</v>
      </c>
      <c r="C7913" t="str">
        <f t="shared" ref="C7913:C7937" si="520">"427"</f>
        <v>427</v>
      </c>
      <c r="D7913" t="str">
        <f>"25"</f>
        <v>25</v>
      </c>
      <c r="E7913" t="str">
        <f>"1-427-25"</f>
        <v>1-427-25</v>
      </c>
      <c r="F7913" t="s">
        <v>15</v>
      </c>
      <c r="G7913" t="s">
        <v>18</v>
      </c>
      <c r="H7913" t="s">
        <v>19</v>
      </c>
      <c r="I7913">
        <v>1</v>
      </c>
      <c r="J7913">
        <v>0</v>
      </c>
      <c r="K7913">
        <v>0</v>
      </c>
    </row>
    <row r="7914" spans="1:11" x14ac:dyDescent="0.25">
      <c r="A7914" t="str">
        <f>"9900"</f>
        <v>9900</v>
      </c>
      <c r="B7914" t="str">
        <f t="shared" si="519"/>
        <v>1</v>
      </c>
      <c r="C7914" t="str">
        <f t="shared" si="520"/>
        <v>427</v>
      </c>
      <c r="D7914" t="str">
        <f>"15"</f>
        <v>15</v>
      </c>
      <c r="E7914" t="str">
        <f>"1-427-15"</f>
        <v>1-427-15</v>
      </c>
      <c r="F7914" t="s">
        <v>15</v>
      </c>
      <c r="G7914" t="s">
        <v>18</v>
      </c>
      <c r="H7914" t="s">
        <v>19</v>
      </c>
      <c r="I7914">
        <v>0</v>
      </c>
      <c r="J7914">
        <v>1</v>
      </c>
      <c r="K7914">
        <v>0</v>
      </c>
    </row>
    <row r="7915" spans="1:11" x14ac:dyDescent="0.25">
      <c r="A7915" t="str">
        <f>"9901"</f>
        <v>9901</v>
      </c>
      <c r="B7915" t="str">
        <f t="shared" si="519"/>
        <v>1</v>
      </c>
      <c r="C7915" t="str">
        <f t="shared" si="520"/>
        <v>427</v>
      </c>
      <c r="D7915" t="str">
        <f>"4"</f>
        <v>4</v>
      </c>
      <c r="E7915" t="str">
        <f>"1-427-4"</f>
        <v>1-427-4</v>
      </c>
      <c r="F7915" t="s">
        <v>15</v>
      </c>
      <c r="G7915" t="s">
        <v>18</v>
      </c>
      <c r="H7915" t="s">
        <v>19</v>
      </c>
      <c r="I7915">
        <v>0</v>
      </c>
      <c r="J7915">
        <v>0</v>
      </c>
      <c r="K7915">
        <v>1</v>
      </c>
    </row>
    <row r="7916" spans="1:11" x14ac:dyDescent="0.25">
      <c r="A7916" t="str">
        <f>"9902"</f>
        <v>9902</v>
      </c>
      <c r="B7916" t="str">
        <f t="shared" si="519"/>
        <v>1</v>
      </c>
      <c r="C7916" t="str">
        <f t="shared" si="520"/>
        <v>427</v>
      </c>
      <c r="D7916" t="str">
        <f>"23"</f>
        <v>23</v>
      </c>
      <c r="E7916" t="str">
        <f>"1-427-23"</f>
        <v>1-427-23</v>
      </c>
      <c r="F7916" t="s">
        <v>15</v>
      </c>
      <c r="G7916" t="s">
        <v>18</v>
      </c>
      <c r="H7916" t="s">
        <v>19</v>
      </c>
      <c r="I7916">
        <v>1</v>
      </c>
      <c r="J7916">
        <v>0</v>
      </c>
      <c r="K7916">
        <v>0</v>
      </c>
    </row>
    <row r="7917" spans="1:11" x14ac:dyDescent="0.25">
      <c r="A7917" t="str">
        <f>"9903"</f>
        <v>9903</v>
      </c>
      <c r="B7917" t="str">
        <f t="shared" si="519"/>
        <v>1</v>
      </c>
      <c r="C7917" t="str">
        <f t="shared" si="520"/>
        <v>427</v>
      </c>
      <c r="D7917" t="str">
        <f>"16"</f>
        <v>16</v>
      </c>
      <c r="E7917" t="str">
        <f>"1-427-16"</f>
        <v>1-427-16</v>
      </c>
      <c r="F7917" t="s">
        <v>15</v>
      </c>
      <c r="G7917" t="s">
        <v>18</v>
      </c>
      <c r="H7917" t="s">
        <v>19</v>
      </c>
      <c r="I7917">
        <v>0</v>
      </c>
      <c r="J7917">
        <v>1</v>
      </c>
      <c r="K7917">
        <v>0</v>
      </c>
    </row>
    <row r="7918" spans="1:11" x14ac:dyDescent="0.25">
      <c r="A7918" t="str">
        <f>"9904"</f>
        <v>9904</v>
      </c>
      <c r="B7918" t="str">
        <f t="shared" si="519"/>
        <v>1</v>
      </c>
      <c r="C7918" t="str">
        <f t="shared" si="520"/>
        <v>427</v>
      </c>
      <c r="D7918" t="str">
        <f>"9"</f>
        <v>9</v>
      </c>
      <c r="E7918" t="str">
        <f>"1-427-9"</f>
        <v>1-427-9</v>
      </c>
      <c r="F7918" t="s">
        <v>15</v>
      </c>
      <c r="G7918" t="s">
        <v>18</v>
      </c>
      <c r="H7918" t="s">
        <v>19</v>
      </c>
      <c r="I7918">
        <v>0</v>
      </c>
      <c r="J7918">
        <v>0</v>
      </c>
      <c r="K7918">
        <v>1</v>
      </c>
    </row>
    <row r="7919" spans="1:11" x14ac:dyDescent="0.25">
      <c r="A7919" t="str">
        <f>"9905"</f>
        <v>9905</v>
      </c>
      <c r="B7919" t="str">
        <f t="shared" si="519"/>
        <v>1</v>
      </c>
      <c r="C7919" t="str">
        <f t="shared" si="520"/>
        <v>427</v>
      </c>
      <c r="D7919" t="str">
        <f>"17"</f>
        <v>17</v>
      </c>
      <c r="E7919" t="str">
        <f>"1-427-17"</f>
        <v>1-427-17</v>
      </c>
      <c r="F7919" t="s">
        <v>15</v>
      </c>
      <c r="G7919" t="s">
        <v>18</v>
      </c>
      <c r="H7919" t="s">
        <v>19</v>
      </c>
      <c r="I7919">
        <v>0</v>
      </c>
      <c r="J7919">
        <v>0</v>
      </c>
      <c r="K7919">
        <v>1</v>
      </c>
    </row>
    <row r="7920" spans="1:11" x14ac:dyDescent="0.25">
      <c r="A7920" t="str">
        <f>"9906"</f>
        <v>9906</v>
      </c>
      <c r="B7920" t="str">
        <f t="shared" si="519"/>
        <v>1</v>
      </c>
      <c r="C7920" t="str">
        <f t="shared" si="520"/>
        <v>427</v>
      </c>
      <c r="D7920" t="str">
        <f>"1"</f>
        <v>1</v>
      </c>
      <c r="E7920" t="str">
        <f>"1-427-1"</f>
        <v>1-427-1</v>
      </c>
      <c r="F7920" t="s">
        <v>15</v>
      </c>
      <c r="G7920" t="s">
        <v>18</v>
      </c>
      <c r="H7920" t="s">
        <v>19</v>
      </c>
      <c r="I7920">
        <v>1</v>
      </c>
      <c r="J7920">
        <v>0</v>
      </c>
      <c r="K7920">
        <v>0</v>
      </c>
    </row>
    <row r="7921" spans="1:11" x14ac:dyDescent="0.25">
      <c r="A7921" t="str">
        <f>"9907"</f>
        <v>9907</v>
      </c>
      <c r="B7921" t="str">
        <f t="shared" si="519"/>
        <v>1</v>
      </c>
      <c r="C7921" t="str">
        <f t="shared" si="520"/>
        <v>427</v>
      </c>
      <c r="D7921" t="str">
        <f>"18"</f>
        <v>18</v>
      </c>
      <c r="E7921" t="str">
        <f>"1-427-18"</f>
        <v>1-427-18</v>
      </c>
      <c r="F7921" t="s">
        <v>15</v>
      </c>
      <c r="G7921" t="s">
        <v>18</v>
      </c>
      <c r="H7921" t="s">
        <v>19</v>
      </c>
      <c r="I7921">
        <v>0</v>
      </c>
      <c r="J7921">
        <v>1</v>
      </c>
      <c r="K7921">
        <v>0</v>
      </c>
    </row>
    <row r="7922" spans="1:11" x14ac:dyDescent="0.25">
      <c r="A7922" t="str">
        <f>"9908"</f>
        <v>9908</v>
      </c>
      <c r="B7922" t="str">
        <f t="shared" si="519"/>
        <v>1</v>
      </c>
      <c r="C7922" t="str">
        <f t="shared" si="520"/>
        <v>427</v>
      </c>
      <c r="D7922" t="str">
        <f>"12"</f>
        <v>12</v>
      </c>
      <c r="E7922" t="str">
        <f>"1-427-12"</f>
        <v>1-427-12</v>
      </c>
      <c r="F7922" t="s">
        <v>15</v>
      </c>
      <c r="G7922" t="s">
        <v>18</v>
      </c>
      <c r="H7922" t="s">
        <v>19</v>
      </c>
      <c r="I7922">
        <v>1</v>
      </c>
      <c r="J7922">
        <v>0</v>
      </c>
      <c r="K7922">
        <v>0</v>
      </c>
    </row>
    <row r="7923" spans="1:11" x14ac:dyDescent="0.25">
      <c r="A7923" t="str">
        <f>"9909"</f>
        <v>9909</v>
      </c>
      <c r="B7923" t="str">
        <f t="shared" si="519"/>
        <v>1</v>
      </c>
      <c r="C7923" t="str">
        <f t="shared" si="520"/>
        <v>427</v>
      </c>
      <c r="D7923" t="str">
        <f>"19"</f>
        <v>19</v>
      </c>
      <c r="E7923" t="str">
        <f>"1-427-19"</f>
        <v>1-427-19</v>
      </c>
      <c r="F7923" t="s">
        <v>15</v>
      </c>
      <c r="G7923" t="s">
        <v>16</v>
      </c>
      <c r="H7923" t="s">
        <v>17</v>
      </c>
      <c r="I7923">
        <v>1</v>
      </c>
      <c r="J7923">
        <v>0</v>
      </c>
      <c r="K7923">
        <v>0</v>
      </c>
    </row>
    <row r="7924" spans="1:11" x14ac:dyDescent="0.25">
      <c r="A7924" t="str">
        <f>"9910"</f>
        <v>9910</v>
      </c>
      <c r="B7924" t="str">
        <f t="shared" si="519"/>
        <v>1</v>
      </c>
      <c r="C7924" t="str">
        <f t="shared" si="520"/>
        <v>427</v>
      </c>
      <c r="D7924" t="str">
        <f>"2"</f>
        <v>2</v>
      </c>
      <c r="E7924" t="str">
        <f>"1-427-2"</f>
        <v>1-427-2</v>
      </c>
      <c r="F7924" t="s">
        <v>15</v>
      </c>
      <c r="G7924" t="s">
        <v>18</v>
      </c>
      <c r="H7924" t="s">
        <v>19</v>
      </c>
      <c r="I7924">
        <v>0</v>
      </c>
      <c r="J7924">
        <v>0</v>
      </c>
      <c r="K7924">
        <v>1</v>
      </c>
    </row>
    <row r="7925" spans="1:11" x14ac:dyDescent="0.25">
      <c r="A7925" t="str">
        <f>"9911"</f>
        <v>9911</v>
      </c>
      <c r="B7925" t="str">
        <f t="shared" si="519"/>
        <v>1</v>
      </c>
      <c r="C7925" t="str">
        <f t="shared" si="520"/>
        <v>427</v>
      </c>
      <c r="D7925" t="str">
        <f>"20"</f>
        <v>20</v>
      </c>
      <c r="E7925" t="str">
        <f>"1-427-20"</f>
        <v>1-427-20</v>
      </c>
      <c r="F7925" t="s">
        <v>15</v>
      </c>
      <c r="G7925" t="s">
        <v>18</v>
      </c>
      <c r="H7925" t="s">
        <v>19</v>
      </c>
      <c r="I7925">
        <v>0</v>
      </c>
      <c r="J7925">
        <v>1</v>
      </c>
      <c r="K7925">
        <v>0</v>
      </c>
    </row>
    <row r="7926" spans="1:11" x14ac:dyDescent="0.25">
      <c r="A7926" t="str">
        <f>"9912"</f>
        <v>9912</v>
      </c>
      <c r="B7926" t="str">
        <f t="shared" si="519"/>
        <v>1</v>
      </c>
      <c r="C7926" t="str">
        <f t="shared" si="520"/>
        <v>427</v>
      </c>
      <c r="D7926" t="str">
        <f>"14"</f>
        <v>14</v>
      </c>
      <c r="E7926" t="str">
        <f>"1-427-14"</f>
        <v>1-427-14</v>
      </c>
      <c r="F7926" t="s">
        <v>15</v>
      </c>
      <c r="G7926" t="s">
        <v>18</v>
      </c>
      <c r="H7926" t="s">
        <v>19</v>
      </c>
      <c r="I7926">
        <v>0</v>
      </c>
      <c r="J7926">
        <v>1</v>
      </c>
      <c r="K7926">
        <v>0</v>
      </c>
    </row>
    <row r="7927" spans="1:11" x14ac:dyDescent="0.25">
      <c r="A7927" t="str">
        <f>"9913"</f>
        <v>9913</v>
      </c>
      <c r="B7927" t="str">
        <f t="shared" si="519"/>
        <v>1</v>
      </c>
      <c r="C7927" t="str">
        <f t="shared" si="520"/>
        <v>427</v>
      </c>
      <c r="D7927" t="str">
        <f>"21"</f>
        <v>21</v>
      </c>
      <c r="E7927" t="str">
        <f>"1-427-21"</f>
        <v>1-427-21</v>
      </c>
      <c r="F7927" t="s">
        <v>15</v>
      </c>
      <c r="G7927" t="s">
        <v>18</v>
      </c>
      <c r="H7927" t="s">
        <v>19</v>
      </c>
      <c r="I7927">
        <v>1</v>
      </c>
      <c r="J7927">
        <v>0</v>
      </c>
      <c r="K7927">
        <v>0</v>
      </c>
    </row>
    <row r="7928" spans="1:11" x14ac:dyDescent="0.25">
      <c r="A7928" t="str">
        <f>"9914"</f>
        <v>9914</v>
      </c>
      <c r="B7928" t="str">
        <f t="shared" si="519"/>
        <v>1</v>
      </c>
      <c r="C7928" t="str">
        <f t="shared" si="520"/>
        <v>427</v>
      </c>
      <c r="D7928" t="str">
        <f>"13"</f>
        <v>13</v>
      </c>
      <c r="E7928" t="str">
        <f>"1-427-13"</f>
        <v>1-427-13</v>
      </c>
      <c r="F7928" t="s">
        <v>15</v>
      </c>
      <c r="G7928" t="s">
        <v>18</v>
      </c>
      <c r="H7928" t="s">
        <v>19</v>
      </c>
      <c r="I7928">
        <v>1</v>
      </c>
      <c r="J7928">
        <v>0</v>
      </c>
      <c r="K7928">
        <v>0</v>
      </c>
    </row>
    <row r="7929" spans="1:11" x14ac:dyDescent="0.25">
      <c r="A7929" t="str">
        <f>"9915"</f>
        <v>9915</v>
      </c>
      <c r="B7929" t="str">
        <f t="shared" si="519"/>
        <v>1</v>
      </c>
      <c r="C7929" t="str">
        <f t="shared" si="520"/>
        <v>427</v>
      </c>
      <c r="D7929" t="str">
        <f>"22"</f>
        <v>22</v>
      </c>
      <c r="E7929" t="str">
        <f>"1-427-22"</f>
        <v>1-427-22</v>
      </c>
      <c r="F7929" t="s">
        <v>15</v>
      </c>
      <c r="G7929" t="s">
        <v>18</v>
      </c>
      <c r="H7929" t="s">
        <v>19</v>
      </c>
      <c r="I7929">
        <v>1</v>
      </c>
      <c r="J7929">
        <v>0</v>
      </c>
      <c r="K7929">
        <v>0</v>
      </c>
    </row>
    <row r="7930" spans="1:11" x14ac:dyDescent="0.25">
      <c r="A7930" t="str">
        <f>"9916"</f>
        <v>9916</v>
      </c>
      <c r="B7930" t="str">
        <f t="shared" si="519"/>
        <v>1</v>
      </c>
      <c r="C7930" t="str">
        <f t="shared" si="520"/>
        <v>427</v>
      </c>
      <c r="D7930" t="str">
        <f>"10"</f>
        <v>10</v>
      </c>
      <c r="E7930" t="str">
        <f>"1-427-10"</f>
        <v>1-427-10</v>
      </c>
      <c r="F7930" t="s">
        <v>15</v>
      </c>
      <c r="G7930" t="s">
        <v>18</v>
      </c>
      <c r="H7930" t="s">
        <v>19</v>
      </c>
      <c r="I7930">
        <v>0</v>
      </c>
      <c r="J7930">
        <v>0</v>
      </c>
      <c r="K7930">
        <v>1</v>
      </c>
    </row>
    <row r="7931" spans="1:11" x14ac:dyDescent="0.25">
      <c r="A7931" t="str">
        <f>"9917"</f>
        <v>9917</v>
      </c>
      <c r="B7931" t="str">
        <f t="shared" si="519"/>
        <v>1</v>
      </c>
      <c r="C7931" t="str">
        <f t="shared" si="520"/>
        <v>427</v>
      </c>
      <c r="D7931" t="str">
        <f>"24"</f>
        <v>24</v>
      </c>
      <c r="E7931" t="str">
        <f>"1-427-24"</f>
        <v>1-427-24</v>
      </c>
      <c r="F7931" t="s">
        <v>15</v>
      </c>
      <c r="G7931" t="s">
        <v>18</v>
      </c>
      <c r="H7931" t="s">
        <v>19</v>
      </c>
      <c r="I7931">
        <v>0</v>
      </c>
      <c r="J7931">
        <v>1</v>
      </c>
      <c r="K7931">
        <v>0</v>
      </c>
    </row>
    <row r="7932" spans="1:11" x14ac:dyDescent="0.25">
      <c r="A7932" t="str">
        <f>"9918"</f>
        <v>9918</v>
      </c>
      <c r="B7932" t="str">
        <f t="shared" si="519"/>
        <v>1</v>
      </c>
      <c r="C7932" t="str">
        <f t="shared" si="520"/>
        <v>427</v>
      </c>
      <c r="D7932" t="str">
        <f>"3"</f>
        <v>3</v>
      </c>
      <c r="E7932" t="str">
        <f>"1-427-3"</f>
        <v>1-427-3</v>
      </c>
      <c r="F7932" t="s">
        <v>15</v>
      </c>
      <c r="G7932" t="s">
        <v>18</v>
      </c>
      <c r="H7932" t="s">
        <v>19</v>
      </c>
      <c r="I7932">
        <v>0</v>
      </c>
      <c r="J7932">
        <v>0</v>
      </c>
      <c r="K7932">
        <v>1</v>
      </c>
    </row>
    <row r="7933" spans="1:11" x14ac:dyDescent="0.25">
      <c r="A7933" t="str">
        <f>"9919"</f>
        <v>9919</v>
      </c>
      <c r="B7933" t="str">
        <f t="shared" si="519"/>
        <v>1</v>
      </c>
      <c r="C7933" t="str">
        <f t="shared" si="520"/>
        <v>427</v>
      </c>
      <c r="D7933" t="str">
        <f>"7"</f>
        <v>7</v>
      </c>
      <c r="E7933" t="str">
        <f>"1-427-7"</f>
        <v>1-427-7</v>
      </c>
      <c r="F7933" t="s">
        <v>15</v>
      </c>
      <c r="G7933" t="s">
        <v>20</v>
      </c>
      <c r="H7933" t="s">
        <v>21</v>
      </c>
      <c r="I7933">
        <v>1</v>
      </c>
      <c r="J7933">
        <v>0</v>
      </c>
      <c r="K7933">
        <v>0</v>
      </c>
    </row>
    <row r="7934" spans="1:11" x14ac:dyDescent="0.25">
      <c r="A7934" t="str">
        <f>"9920"</f>
        <v>9920</v>
      </c>
      <c r="B7934" t="str">
        <f t="shared" si="519"/>
        <v>1</v>
      </c>
      <c r="C7934" t="str">
        <f t="shared" si="520"/>
        <v>427</v>
      </c>
      <c r="D7934" t="str">
        <f>"5"</f>
        <v>5</v>
      </c>
      <c r="E7934" t="str">
        <f>"1-427-5"</f>
        <v>1-427-5</v>
      </c>
      <c r="F7934" t="s">
        <v>15</v>
      </c>
      <c r="G7934" t="s">
        <v>18</v>
      </c>
      <c r="H7934" t="s">
        <v>19</v>
      </c>
      <c r="I7934">
        <v>0</v>
      </c>
      <c r="J7934">
        <v>0</v>
      </c>
      <c r="K7934">
        <v>1</v>
      </c>
    </row>
    <row r="7935" spans="1:11" x14ac:dyDescent="0.25">
      <c r="A7935" t="str">
        <f>"9921"</f>
        <v>9921</v>
      </c>
      <c r="B7935" t="str">
        <f t="shared" si="519"/>
        <v>1</v>
      </c>
      <c r="C7935" t="str">
        <f t="shared" si="520"/>
        <v>427</v>
      </c>
      <c r="D7935" t="str">
        <f>"11"</f>
        <v>11</v>
      </c>
      <c r="E7935" t="str">
        <f>"1-427-11"</f>
        <v>1-427-11</v>
      </c>
      <c r="F7935" t="s">
        <v>15</v>
      </c>
      <c r="G7935" t="s">
        <v>18</v>
      </c>
      <c r="H7935" t="s">
        <v>19</v>
      </c>
      <c r="I7935">
        <v>1</v>
      </c>
      <c r="J7935">
        <v>0</v>
      </c>
      <c r="K7935">
        <v>0</v>
      </c>
    </row>
    <row r="7936" spans="1:11" x14ac:dyDescent="0.25">
      <c r="A7936" t="str">
        <f>"9922"</f>
        <v>9922</v>
      </c>
      <c r="B7936" t="str">
        <f t="shared" si="519"/>
        <v>1</v>
      </c>
      <c r="C7936" t="str">
        <f t="shared" si="520"/>
        <v>427</v>
      </c>
      <c r="D7936" t="str">
        <f>"6"</f>
        <v>6</v>
      </c>
      <c r="E7936" t="str">
        <f>"1-427-6"</f>
        <v>1-427-6</v>
      </c>
      <c r="F7936" t="s">
        <v>15</v>
      </c>
      <c r="G7936" t="s">
        <v>18</v>
      </c>
      <c r="H7936" t="s">
        <v>19</v>
      </c>
      <c r="I7936">
        <v>1</v>
      </c>
      <c r="J7936">
        <v>0</v>
      </c>
      <c r="K7936">
        <v>0</v>
      </c>
    </row>
    <row r="7937" spans="1:11" x14ac:dyDescent="0.25">
      <c r="A7937" t="str">
        <f>"9923"</f>
        <v>9923</v>
      </c>
      <c r="B7937" t="str">
        <f t="shared" si="519"/>
        <v>1</v>
      </c>
      <c r="C7937" t="str">
        <f t="shared" si="520"/>
        <v>427</v>
      </c>
      <c r="D7937" t="str">
        <f>"8"</f>
        <v>8</v>
      </c>
      <c r="E7937" t="str">
        <f>"1-427-8"</f>
        <v>1-427-8</v>
      </c>
      <c r="F7937" t="s">
        <v>15</v>
      </c>
      <c r="G7937" t="s">
        <v>18</v>
      </c>
      <c r="H7937" t="s">
        <v>19</v>
      </c>
      <c r="I7937">
        <v>1</v>
      </c>
      <c r="J7937">
        <v>0</v>
      </c>
      <c r="K7937">
        <v>0</v>
      </c>
    </row>
    <row r="7938" spans="1:11" x14ac:dyDescent="0.25">
      <c r="A7938" t="str">
        <f>"9924"</f>
        <v>9924</v>
      </c>
      <c r="B7938" t="str">
        <f t="shared" si="519"/>
        <v>1</v>
      </c>
      <c r="C7938" t="str">
        <f t="shared" ref="C7938:C7962" si="521">"428"</f>
        <v>428</v>
      </c>
      <c r="D7938" t="str">
        <f>"17"</f>
        <v>17</v>
      </c>
      <c r="E7938" t="str">
        <f>"1-428-17"</f>
        <v>1-428-17</v>
      </c>
      <c r="F7938" t="s">
        <v>15</v>
      </c>
      <c r="G7938" t="s">
        <v>16</v>
      </c>
      <c r="H7938" t="s">
        <v>17</v>
      </c>
      <c r="I7938">
        <v>1</v>
      </c>
      <c r="J7938">
        <v>0</v>
      </c>
      <c r="K7938">
        <v>0</v>
      </c>
    </row>
    <row r="7939" spans="1:11" x14ac:dyDescent="0.25">
      <c r="A7939" t="str">
        <f>"9925"</f>
        <v>9925</v>
      </c>
      <c r="B7939" t="str">
        <f t="shared" si="519"/>
        <v>1</v>
      </c>
      <c r="C7939" t="str">
        <f t="shared" si="521"/>
        <v>428</v>
      </c>
      <c r="D7939" t="str">
        <f>"15"</f>
        <v>15</v>
      </c>
      <c r="E7939" t="str">
        <f>"1-428-15"</f>
        <v>1-428-15</v>
      </c>
      <c r="F7939" t="s">
        <v>15</v>
      </c>
      <c r="G7939" t="s">
        <v>16</v>
      </c>
      <c r="H7939" t="s">
        <v>17</v>
      </c>
      <c r="I7939">
        <v>0</v>
      </c>
      <c r="J7939">
        <v>1</v>
      </c>
      <c r="K7939">
        <v>0</v>
      </c>
    </row>
    <row r="7940" spans="1:11" x14ac:dyDescent="0.25">
      <c r="A7940" t="str">
        <f>"9926"</f>
        <v>9926</v>
      </c>
      <c r="B7940" t="str">
        <f t="shared" si="519"/>
        <v>1</v>
      </c>
      <c r="C7940" t="str">
        <f t="shared" si="521"/>
        <v>428</v>
      </c>
      <c r="D7940" t="str">
        <f>"1"</f>
        <v>1</v>
      </c>
      <c r="E7940" t="str">
        <f>"1-428-1"</f>
        <v>1-428-1</v>
      </c>
      <c r="F7940" t="s">
        <v>15</v>
      </c>
      <c r="G7940" t="s">
        <v>16</v>
      </c>
      <c r="H7940" t="s">
        <v>17</v>
      </c>
      <c r="I7940">
        <v>0</v>
      </c>
      <c r="J7940">
        <v>0</v>
      </c>
      <c r="K7940">
        <v>1</v>
      </c>
    </row>
    <row r="7941" spans="1:11" x14ac:dyDescent="0.25">
      <c r="A7941" t="str">
        <f>"9927"</f>
        <v>9927</v>
      </c>
      <c r="B7941" t="str">
        <f t="shared" si="519"/>
        <v>1</v>
      </c>
      <c r="C7941" t="str">
        <f t="shared" si="521"/>
        <v>428</v>
      </c>
      <c r="D7941" t="str">
        <f>"25"</f>
        <v>25</v>
      </c>
      <c r="E7941" t="str">
        <f>"1-428-25"</f>
        <v>1-428-25</v>
      </c>
      <c r="F7941" t="s">
        <v>15</v>
      </c>
      <c r="G7941" t="s">
        <v>20</v>
      </c>
      <c r="H7941" t="s">
        <v>21</v>
      </c>
      <c r="I7941">
        <v>0</v>
      </c>
      <c r="J7941">
        <v>1</v>
      </c>
      <c r="K7941">
        <v>0</v>
      </c>
    </row>
    <row r="7942" spans="1:11" x14ac:dyDescent="0.25">
      <c r="A7942" t="str">
        <f>"9928"</f>
        <v>9928</v>
      </c>
      <c r="B7942" t="str">
        <f t="shared" si="519"/>
        <v>1</v>
      </c>
      <c r="C7942" t="str">
        <f t="shared" si="521"/>
        <v>428</v>
      </c>
      <c r="D7942" t="str">
        <f>"16"</f>
        <v>16</v>
      </c>
      <c r="E7942" t="str">
        <f>"1-428-16"</f>
        <v>1-428-16</v>
      </c>
      <c r="F7942" t="s">
        <v>15</v>
      </c>
      <c r="G7942" t="s">
        <v>20</v>
      </c>
      <c r="H7942" t="s">
        <v>21</v>
      </c>
      <c r="I7942">
        <v>1</v>
      </c>
      <c r="J7942">
        <v>0</v>
      </c>
      <c r="K7942">
        <v>0</v>
      </c>
    </row>
    <row r="7943" spans="1:11" x14ac:dyDescent="0.25">
      <c r="A7943" t="str">
        <f>"9929"</f>
        <v>9929</v>
      </c>
      <c r="B7943" t="str">
        <f t="shared" si="519"/>
        <v>1</v>
      </c>
      <c r="C7943" t="str">
        <f t="shared" si="521"/>
        <v>428</v>
      </c>
      <c r="D7943" t="str">
        <f>"3"</f>
        <v>3</v>
      </c>
      <c r="E7943" t="str">
        <f>"1-428-3"</f>
        <v>1-428-3</v>
      </c>
      <c r="F7943" t="s">
        <v>15</v>
      </c>
      <c r="G7943" t="s">
        <v>16</v>
      </c>
      <c r="H7943" t="s">
        <v>17</v>
      </c>
      <c r="I7943">
        <v>0</v>
      </c>
      <c r="J7943">
        <v>0</v>
      </c>
      <c r="K7943">
        <v>1</v>
      </c>
    </row>
    <row r="7944" spans="1:11" x14ac:dyDescent="0.25">
      <c r="A7944" t="str">
        <f>"9930"</f>
        <v>9930</v>
      </c>
      <c r="B7944" t="str">
        <f t="shared" si="519"/>
        <v>1</v>
      </c>
      <c r="C7944" t="str">
        <f t="shared" si="521"/>
        <v>428</v>
      </c>
      <c r="D7944" t="str">
        <f>"18"</f>
        <v>18</v>
      </c>
      <c r="E7944" t="str">
        <f>"1-428-18"</f>
        <v>1-428-18</v>
      </c>
      <c r="F7944" t="s">
        <v>15</v>
      </c>
      <c r="G7944" t="s">
        <v>16</v>
      </c>
      <c r="H7944" t="s">
        <v>17</v>
      </c>
      <c r="I7944">
        <v>1</v>
      </c>
      <c r="J7944">
        <v>0</v>
      </c>
      <c r="K7944">
        <v>0</v>
      </c>
    </row>
    <row r="7945" spans="1:11" x14ac:dyDescent="0.25">
      <c r="A7945" t="str">
        <f>"9931"</f>
        <v>9931</v>
      </c>
      <c r="B7945" t="str">
        <f t="shared" si="519"/>
        <v>1</v>
      </c>
      <c r="C7945" t="str">
        <f t="shared" si="521"/>
        <v>428</v>
      </c>
      <c r="D7945" t="str">
        <f>"2"</f>
        <v>2</v>
      </c>
      <c r="E7945" t="str">
        <f>"1-428-2"</f>
        <v>1-428-2</v>
      </c>
      <c r="F7945" t="s">
        <v>15</v>
      </c>
      <c r="G7945" t="s">
        <v>16</v>
      </c>
      <c r="H7945" t="s">
        <v>17</v>
      </c>
      <c r="I7945">
        <v>1</v>
      </c>
      <c r="J7945">
        <v>0</v>
      </c>
      <c r="K7945">
        <v>0</v>
      </c>
    </row>
    <row r="7946" spans="1:11" x14ac:dyDescent="0.25">
      <c r="A7946" t="str">
        <f>"9932"</f>
        <v>9932</v>
      </c>
      <c r="B7946" t="str">
        <f t="shared" si="519"/>
        <v>1</v>
      </c>
      <c r="C7946" t="str">
        <f t="shared" si="521"/>
        <v>428</v>
      </c>
      <c r="D7946" t="str">
        <f>"19"</f>
        <v>19</v>
      </c>
      <c r="E7946" t="str">
        <f>"1-428-19"</f>
        <v>1-428-19</v>
      </c>
      <c r="F7946" t="s">
        <v>15</v>
      </c>
      <c r="G7946" t="s">
        <v>16</v>
      </c>
      <c r="H7946" t="s">
        <v>17</v>
      </c>
      <c r="I7946">
        <v>1</v>
      </c>
      <c r="J7946">
        <v>0</v>
      </c>
      <c r="K7946">
        <v>0</v>
      </c>
    </row>
    <row r="7947" spans="1:11" x14ac:dyDescent="0.25">
      <c r="A7947" t="str">
        <f>"9933"</f>
        <v>9933</v>
      </c>
      <c r="B7947" t="str">
        <f t="shared" si="519"/>
        <v>1</v>
      </c>
      <c r="C7947" t="str">
        <f t="shared" si="521"/>
        <v>428</v>
      </c>
      <c r="D7947" t="str">
        <f>"10"</f>
        <v>10</v>
      </c>
      <c r="E7947" t="str">
        <f>"1-428-10"</f>
        <v>1-428-10</v>
      </c>
      <c r="F7947" t="s">
        <v>15</v>
      </c>
      <c r="G7947" t="s">
        <v>16</v>
      </c>
      <c r="H7947" t="s">
        <v>17</v>
      </c>
      <c r="I7947">
        <v>0</v>
      </c>
      <c r="J7947">
        <v>1</v>
      </c>
      <c r="K7947">
        <v>0</v>
      </c>
    </row>
    <row r="7948" spans="1:11" x14ac:dyDescent="0.25">
      <c r="A7948" t="str">
        <f>"9934"</f>
        <v>9934</v>
      </c>
      <c r="B7948" t="str">
        <f t="shared" si="519"/>
        <v>1</v>
      </c>
      <c r="C7948" t="str">
        <f t="shared" si="521"/>
        <v>428</v>
      </c>
      <c r="D7948" t="str">
        <f>"20"</f>
        <v>20</v>
      </c>
      <c r="E7948" t="str">
        <f>"1-428-20"</f>
        <v>1-428-20</v>
      </c>
      <c r="F7948" t="s">
        <v>15</v>
      </c>
      <c r="G7948" t="s">
        <v>16</v>
      </c>
      <c r="H7948" t="s">
        <v>17</v>
      </c>
      <c r="I7948">
        <v>1</v>
      </c>
      <c r="J7948">
        <v>0</v>
      </c>
      <c r="K7948">
        <v>0</v>
      </c>
    </row>
    <row r="7949" spans="1:11" x14ac:dyDescent="0.25">
      <c r="A7949" t="str">
        <f>"9935"</f>
        <v>9935</v>
      </c>
      <c r="B7949" t="str">
        <f t="shared" si="519"/>
        <v>1</v>
      </c>
      <c r="C7949" t="str">
        <f t="shared" si="521"/>
        <v>428</v>
      </c>
      <c r="D7949" t="str">
        <f>"13"</f>
        <v>13</v>
      </c>
      <c r="E7949" t="str">
        <f>"1-428-13"</f>
        <v>1-428-13</v>
      </c>
      <c r="F7949" t="s">
        <v>15</v>
      </c>
      <c r="G7949" t="s">
        <v>16</v>
      </c>
      <c r="H7949" t="s">
        <v>17</v>
      </c>
      <c r="I7949">
        <v>1</v>
      </c>
      <c r="J7949">
        <v>0</v>
      </c>
      <c r="K7949">
        <v>0</v>
      </c>
    </row>
    <row r="7950" spans="1:11" x14ac:dyDescent="0.25">
      <c r="A7950" t="str">
        <f>"9936"</f>
        <v>9936</v>
      </c>
      <c r="B7950" t="str">
        <f t="shared" si="519"/>
        <v>1</v>
      </c>
      <c r="C7950" t="str">
        <f t="shared" si="521"/>
        <v>428</v>
      </c>
      <c r="D7950" t="str">
        <f>"21"</f>
        <v>21</v>
      </c>
      <c r="E7950" t="str">
        <f>"1-428-21"</f>
        <v>1-428-21</v>
      </c>
      <c r="F7950" t="s">
        <v>15</v>
      </c>
      <c r="G7950" t="s">
        <v>16</v>
      </c>
      <c r="H7950" t="s">
        <v>17</v>
      </c>
      <c r="I7950">
        <v>0</v>
      </c>
      <c r="J7950">
        <v>0</v>
      </c>
      <c r="K7950">
        <v>1</v>
      </c>
    </row>
    <row r="7951" spans="1:11" x14ac:dyDescent="0.25">
      <c r="A7951" t="str">
        <f>"9937"</f>
        <v>9937</v>
      </c>
      <c r="B7951" t="str">
        <f t="shared" si="519"/>
        <v>1</v>
      </c>
      <c r="C7951" t="str">
        <f t="shared" si="521"/>
        <v>428</v>
      </c>
      <c r="D7951" t="str">
        <f>"4"</f>
        <v>4</v>
      </c>
      <c r="E7951" t="str">
        <f>"1-428-4"</f>
        <v>1-428-4</v>
      </c>
      <c r="F7951" t="s">
        <v>15</v>
      </c>
      <c r="G7951" t="s">
        <v>16</v>
      </c>
      <c r="H7951" t="s">
        <v>17</v>
      </c>
      <c r="I7951">
        <v>0</v>
      </c>
      <c r="J7951">
        <v>1</v>
      </c>
      <c r="K7951">
        <v>0</v>
      </c>
    </row>
    <row r="7952" spans="1:11" x14ac:dyDescent="0.25">
      <c r="A7952" t="str">
        <f>"9938"</f>
        <v>9938</v>
      </c>
      <c r="B7952" t="str">
        <f t="shared" si="519"/>
        <v>1</v>
      </c>
      <c r="C7952" t="str">
        <f t="shared" si="521"/>
        <v>428</v>
      </c>
      <c r="D7952" t="str">
        <f>"22"</f>
        <v>22</v>
      </c>
      <c r="E7952" t="str">
        <f>"1-428-22"</f>
        <v>1-428-22</v>
      </c>
      <c r="F7952" t="s">
        <v>15</v>
      </c>
      <c r="G7952" t="s">
        <v>16</v>
      </c>
      <c r="H7952" t="s">
        <v>17</v>
      </c>
      <c r="I7952">
        <v>1</v>
      </c>
      <c r="J7952">
        <v>0</v>
      </c>
      <c r="K7952">
        <v>0</v>
      </c>
    </row>
    <row r="7953" spans="1:11" x14ac:dyDescent="0.25">
      <c r="A7953" t="str">
        <f>"9939"</f>
        <v>9939</v>
      </c>
      <c r="B7953" t="str">
        <f t="shared" si="519"/>
        <v>1</v>
      </c>
      <c r="C7953" t="str">
        <f t="shared" si="521"/>
        <v>428</v>
      </c>
      <c r="D7953" t="str">
        <f>"8"</f>
        <v>8</v>
      </c>
      <c r="E7953" t="str">
        <f>"1-428-8"</f>
        <v>1-428-8</v>
      </c>
      <c r="F7953" t="s">
        <v>15</v>
      </c>
      <c r="G7953" t="s">
        <v>16</v>
      </c>
      <c r="H7953" t="s">
        <v>17</v>
      </c>
      <c r="I7953">
        <v>0</v>
      </c>
      <c r="J7953">
        <v>1</v>
      </c>
      <c r="K7953">
        <v>0</v>
      </c>
    </row>
    <row r="7954" spans="1:11" x14ac:dyDescent="0.25">
      <c r="A7954" t="str">
        <f>"9940"</f>
        <v>9940</v>
      </c>
      <c r="B7954" t="str">
        <f t="shared" si="519"/>
        <v>1</v>
      </c>
      <c r="C7954" t="str">
        <f t="shared" si="521"/>
        <v>428</v>
      </c>
      <c r="D7954" t="str">
        <f>"23"</f>
        <v>23</v>
      </c>
      <c r="E7954" t="str">
        <f>"1-428-23"</f>
        <v>1-428-23</v>
      </c>
      <c r="F7954" t="s">
        <v>15</v>
      </c>
      <c r="G7954" t="s">
        <v>16</v>
      </c>
      <c r="H7954" t="s">
        <v>17</v>
      </c>
      <c r="I7954">
        <v>1</v>
      </c>
      <c r="J7954">
        <v>0</v>
      </c>
      <c r="K7954">
        <v>0</v>
      </c>
    </row>
    <row r="7955" spans="1:11" x14ac:dyDescent="0.25">
      <c r="A7955" t="str">
        <f>"9941"</f>
        <v>9941</v>
      </c>
      <c r="B7955" t="str">
        <f t="shared" si="519"/>
        <v>1</v>
      </c>
      <c r="C7955" t="str">
        <f t="shared" si="521"/>
        <v>428</v>
      </c>
      <c r="D7955" t="str">
        <f>"6"</f>
        <v>6</v>
      </c>
      <c r="E7955" t="str">
        <f>"1-428-6"</f>
        <v>1-428-6</v>
      </c>
      <c r="F7955" t="s">
        <v>15</v>
      </c>
      <c r="G7955" t="s">
        <v>18</v>
      </c>
      <c r="H7955" t="s">
        <v>19</v>
      </c>
      <c r="I7955">
        <v>1</v>
      </c>
      <c r="J7955">
        <v>0</v>
      </c>
      <c r="K7955">
        <v>0</v>
      </c>
    </row>
    <row r="7956" spans="1:11" x14ac:dyDescent="0.25">
      <c r="A7956" t="str">
        <f>"9942"</f>
        <v>9942</v>
      </c>
      <c r="B7956" t="str">
        <f t="shared" si="519"/>
        <v>1</v>
      </c>
      <c r="C7956" t="str">
        <f t="shared" si="521"/>
        <v>428</v>
      </c>
      <c r="D7956" t="str">
        <f>"24"</f>
        <v>24</v>
      </c>
      <c r="E7956" t="str">
        <f>"1-428-24"</f>
        <v>1-428-24</v>
      </c>
      <c r="F7956" t="s">
        <v>15</v>
      </c>
      <c r="G7956" t="s">
        <v>16</v>
      </c>
      <c r="H7956" t="s">
        <v>17</v>
      </c>
      <c r="I7956">
        <v>1</v>
      </c>
      <c r="J7956">
        <v>0</v>
      </c>
      <c r="K7956">
        <v>0</v>
      </c>
    </row>
    <row r="7957" spans="1:11" x14ac:dyDescent="0.25">
      <c r="A7957" t="str">
        <f>"9943"</f>
        <v>9943</v>
      </c>
      <c r="B7957" t="str">
        <f t="shared" si="519"/>
        <v>1</v>
      </c>
      <c r="C7957" t="str">
        <f t="shared" si="521"/>
        <v>428</v>
      </c>
      <c r="D7957" t="str">
        <f>"12"</f>
        <v>12</v>
      </c>
      <c r="E7957" t="str">
        <f>"1-428-12"</f>
        <v>1-428-12</v>
      </c>
      <c r="F7957" t="s">
        <v>15</v>
      </c>
      <c r="G7957" t="s">
        <v>16</v>
      </c>
      <c r="H7957" t="s">
        <v>17</v>
      </c>
      <c r="I7957">
        <v>1</v>
      </c>
      <c r="J7957">
        <v>0</v>
      </c>
      <c r="K7957">
        <v>0</v>
      </c>
    </row>
    <row r="7958" spans="1:11" x14ac:dyDescent="0.25">
      <c r="A7958" t="str">
        <f>"9944"</f>
        <v>9944</v>
      </c>
      <c r="B7958" t="str">
        <f t="shared" si="519"/>
        <v>1</v>
      </c>
      <c r="C7958" t="str">
        <f t="shared" si="521"/>
        <v>428</v>
      </c>
      <c r="D7958" t="str">
        <f>"5"</f>
        <v>5</v>
      </c>
      <c r="E7958" t="str">
        <f>"1-428-5"</f>
        <v>1-428-5</v>
      </c>
      <c r="F7958" t="s">
        <v>15</v>
      </c>
      <c r="G7958" t="s">
        <v>18</v>
      </c>
      <c r="H7958" t="s">
        <v>19</v>
      </c>
      <c r="I7958">
        <v>1</v>
      </c>
      <c r="J7958">
        <v>0</v>
      </c>
      <c r="K7958">
        <v>0</v>
      </c>
    </row>
    <row r="7959" spans="1:11" x14ac:dyDescent="0.25">
      <c r="A7959" t="str">
        <f>"9945"</f>
        <v>9945</v>
      </c>
      <c r="B7959" t="str">
        <f t="shared" si="519"/>
        <v>1</v>
      </c>
      <c r="C7959" t="str">
        <f t="shared" si="521"/>
        <v>428</v>
      </c>
      <c r="D7959" t="str">
        <f>"7"</f>
        <v>7</v>
      </c>
      <c r="E7959" t="str">
        <f>"1-428-7"</f>
        <v>1-428-7</v>
      </c>
      <c r="F7959" t="s">
        <v>15</v>
      </c>
      <c r="G7959" t="s">
        <v>16</v>
      </c>
      <c r="H7959" t="s">
        <v>17</v>
      </c>
      <c r="I7959">
        <v>1</v>
      </c>
      <c r="J7959">
        <v>0</v>
      </c>
      <c r="K7959">
        <v>0</v>
      </c>
    </row>
    <row r="7960" spans="1:11" x14ac:dyDescent="0.25">
      <c r="A7960" t="str">
        <f>"9946"</f>
        <v>9946</v>
      </c>
      <c r="B7960" t="str">
        <f t="shared" ref="B7960:B7994" si="522">"1"</f>
        <v>1</v>
      </c>
      <c r="C7960" t="str">
        <f t="shared" si="521"/>
        <v>428</v>
      </c>
      <c r="D7960" t="str">
        <f>"9"</f>
        <v>9</v>
      </c>
      <c r="E7960" t="str">
        <f>"1-428-9"</f>
        <v>1-428-9</v>
      </c>
      <c r="F7960" t="s">
        <v>15</v>
      </c>
      <c r="G7960" t="s">
        <v>16</v>
      </c>
      <c r="H7960" t="s">
        <v>17</v>
      </c>
      <c r="I7960">
        <v>1</v>
      </c>
      <c r="J7960">
        <v>0</v>
      </c>
      <c r="K7960">
        <v>0</v>
      </c>
    </row>
    <row r="7961" spans="1:11" x14ac:dyDescent="0.25">
      <c r="A7961" t="str">
        <f>"9947"</f>
        <v>9947</v>
      </c>
      <c r="B7961" t="str">
        <f t="shared" si="522"/>
        <v>1</v>
      </c>
      <c r="C7961" t="str">
        <f t="shared" si="521"/>
        <v>428</v>
      </c>
      <c r="D7961" t="str">
        <f>"11"</f>
        <v>11</v>
      </c>
      <c r="E7961" t="str">
        <f>"1-428-11"</f>
        <v>1-428-11</v>
      </c>
      <c r="F7961" t="s">
        <v>15</v>
      </c>
      <c r="G7961" t="s">
        <v>16</v>
      </c>
      <c r="H7961" t="s">
        <v>17</v>
      </c>
      <c r="I7961">
        <v>1</v>
      </c>
      <c r="J7961">
        <v>0</v>
      </c>
      <c r="K7961">
        <v>0</v>
      </c>
    </row>
    <row r="7962" spans="1:11" x14ac:dyDescent="0.25">
      <c r="A7962" t="str">
        <f>"9948"</f>
        <v>9948</v>
      </c>
      <c r="B7962" t="str">
        <f t="shared" si="522"/>
        <v>1</v>
      </c>
      <c r="C7962" t="str">
        <f t="shared" si="521"/>
        <v>428</v>
      </c>
      <c r="D7962" t="str">
        <f>"14"</f>
        <v>14</v>
      </c>
      <c r="E7962" t="str">
        <f>"1-428-14"</f>
        <v>1-428-14</v>
      </c>
      <c r="F7962" t="s">
        <v>15</v>
      </c>
      <c r="G7962" t="s">
        <v>18</v>
      </c>
      <c r="H7962" t="s">
        <v>19</v>
      </c>
      <c r="I7962">
        <v>0</v>
      </c>
      <c r="J7962">
        <v>0</v>
      </c>
      <c r="K7962">
        <v>1</v>
      </c>
    </row>
    <row r="7963" spans="1:11" x14ac:dyDescent="0.25">
      <c r="A7963" t="str">
        <f>"9951"</f>
        <v>9951</v>
      </c>
      <c r="B7963" t="str">
        <f t="shared" si="522"/>
        <v>1</v>
      </c>
      <c r="C7963" t="str">
        <f>"429"</f>
        <v>429</v>
      </c>
      <c r="D7963" t="str">
        <f>"3"</f>
        <v>3</v>
      </c>
      <c r="E7963" t="str">
        <f>"1-429-3"</f>
        <v>1-429-3</v>
      </c>
      <c r="F7963" t="s">
        <v>15</v>
      </c>
      <c r="G7963" t="s">
        <v>20</v>
      </c>
      <c r="H7963" t="s">
        <v>21</v>
      </c>
      <c r="I7963">
        <v>1</v>
      </c>
      <c r="J7963">
        <v>0</v>
      </c>
      <c r="K7963">
        <v>0</v>
      </c>
    </row>
    <row r="7964" spans="1:11" x14ac:dyDescent="0.25">
      <c r="A7964" t="str">
        <f>"9952"</f>
        <v>9952</v>
      </c>
      <c r="B7964" t="str">
        <f t="shared" si="522"/>
        <v>1</v>
      </c>
      <c r="C7964" t="str">
        <f>"429"</f>
        <v>429</v>
      </c>
      <c r="D7964" t="str">
        <f>"4"</f>
        <v>4</v>
      </c>
      <c r="E7964" t="str">
        <f>"1-429-4"</f>
        <v>1-429-4</v>
      </c>
      <c r="F7964" t="s">
        <v>15</v>
      </c>
      <c r="G7964" t="s">
        <v>18</v>
      </c>
      <c r="H7964" t="s">
        <v>19</v>
      </c>
      <c r="I7964">
        <v>0</v>
      </c>
      <c r="J7964">
        <v>0</v>
      </c>
      <c r="K7964">
        <v>1</v>
      </c>
    </row>
    <row r="7965" spans="1:11" x14ac:dyDescent="0.25">
      <c r="A7965" t="str">
        <f>"9954"</f>
        <v>9954</v>
      </c>
      <c r="B7965" t="str">
        <f t="shared" si="522"/>
        <v>1</v>
      </c>
      <c r="C7965" t="str">
        <f t="shared" ref="C7965:C7975" si="523">"431"</f>
        <v>431</v>
      </c>
      <c r="D7965" t="str">
        <f>"15"</f>
        <v>15</v>
      </c>
      <c r="E7965" t="str">
        <f>"1-431-15"</f>
        <v>1-431-15</v>
      </c>
      <c r="F7965" t="s">
        <v>15</v>
      </c>
      <c r="G7965" t="s">
        <v>20</v>
      </c>
      <c r="H7965" t="s">
        <v>21</v>
      </c>
      <c r="I7965">
        <v>0</v>
      </c>
      <c r="J7965">
        <v>0</v>
      </c>
      <c r="K7965">
        <v>1</v>
      </c>
    </row>
    <row r="7966" spans="1:11" x14ac:dyDescent="0.25">
      <c r="A7966" t="str">
        <f>"9955"</f>
        <v>9955</v>
      </c>
      <c r="B7966" t="str">
        <f t="shared" si="522"/>
        <v>1</v>
      </c>
      <c r="C7966" t="str">
        <f t="shared" si="523"/>
        <v>431</v>
      </c>
      <c r="D7966" t="str">
        <f>"4"</f>
        <v>4</v>
      </c>
      <c r="E7966" t="str">
        <f>"1-431-4"</f>
        <v>1-431-4</v>
      </c>
      <c r="F7966" t="s">
        <v>15</v>
      </c>
      <c r="G7966" t="s">
        <v>20</v>
      </c>
      <c r="H7966" t="s">
        <v>21</v>
      </c>
      <c r="I7966">
        <v>1</v>
      </c>
      <c r="J7966">
        <v>0</v>
      </c>
      <c r="K7966">
        <v>0</v>
      </c>
    </row>
    <row r="7967" spans="1:11" x14ac:dyDescent="0.25">
      <c r="A7967" t="str">
        <f>"9957"</f>
        <v>9957</v>
      </c>
      <c r="B7967" t="str">
        <f t="shared" si="522"/>
        <v>1</v>
      </c>
      <c r="C7967" t="str">
        <f t="shared" si="523"/>
        <v>431</v>
      </c>
      <c r="D7967" t="str">
        <f>"6"</f>
        <v>6</v>
      </c>
      <c r="E7967" t="str">
        <f>"1-431-6"</f>
        <v>1-431-6</v>
      </c>
      <c r="F7967" t="s">
        <v>15</v>
      </c>
      <c r="G7967" t="s">
        <v>18</v>
      </c>
      <c r="H7967" t="s">
        <v>19</v>
      </c>
      <c r="I7967">
        <v>1</v>
      </c>
      <c r="J7967">
        <v>0</v>
      </c>
      <c r="K7967">
        <v>0</v>
      </c>
    </row>
    <row r="7968" spans="1:11" x14ac:dyDescent="0.25">
      <c r="A7968" t="str">
        <f>"9960"</f>
        <v>9960</v>
      </c>
      <c r="B7968" t="str">
        <f t="shared" si="522"/>
        <v>1</v>
      </c>
      <c r="C7968" t="str">
        <f t="shared" si="523"/>
        <v>431</v>
      </c>
      <c r="D7968" t="str">
        <f>"11"</f>
        <v>11</v>
      </c>
      <c r="E7968" t="str">
        <f>"1-431-11"</f>
        <v>1-431-11</v>
      </c>
      <c r="F7968" t="s">
        <v>15</v>
      </c>
      <c r="G7968" t="s">
        <v>16</v>
      </c>
      <c r="H7968" t="s">
        <v>17</v>
      </c>
      <c r="I7968">
        <v>1</v>
      </c>
      <c r="J7968">
        <v>0</v>
      </c>
      <c r="K7968">
        <v>0</v>
      </c>
    </row>
    <row r="7969" spans="1:11" x14ac:dyDescent="0.25">
      <c r="A7969" t="str">
        <f>"9962"</f>
        <v>9962</v>
      </c>
      <c r="B7969" t="str">
        <f t="shared" si="522"/>
        <v>1</v>
      </c>
      <c r="C7969" t="str">
        <f t="shared" si="523"/>
        <v>431</v>
      </c>
      <c r="D7969" t="str">
        <f>"1"</f>
        <v>1</v>
      </c>
      <c r="E7969" t="str">
        <f>"1-431-1"</f>
        <v>1-431-1</v>
      </c>
      <c r="F7969" t="s">
        <v>15</v>
      </c>
      <c r="G7969" t="s">
        <v>18</v>
      </c>
      <c r="H7969" t="s">
        <v>19</v>
      </c>
      <c r="I7969">
        <v>0</v>
      </c>
      <c r="J7969">
        <v>1</v>
      </c>
      <c r="K7969">
        <v>0</v>
      </c>
    </row>
    <row r="7970" spans="1:11" x14ac:dyDescent="0.25">
      <c r="A7970" t="str">
        <f>"9968"</f>
        <v>9968</v>
      </c>
      <c r="B7970" t="str">
        <f t="shared" si="522"/>
        <v>1</v>
      </c>
      <c r="C7970" t="str">
        <f t="shared" si="523"/>
        <v>431</v>
      </c>
      <c r="D7970" t="str">
        <f>"7"</f>
        <v>7</v>
      </c>
      <c r="E7970" t="str">
        <f>"1-431-7"</f>
        <v>1-431-7</v>
      </c>
      <c r="F7970" t="s">
        <v>15</v>
      </c>
      <c r="G7970" t="s">
        <v>18</v>
      </c>
      <c r="H7970" t="s">
        <v>19</v>
      </c>
      <c r="I7970">
        <v>0</v>
      </c>
      <c r="J7970">
        <v>0</v>
      </c>
      <c r="K7970">
        <v>1</v>
      </c>
    </row>
    <row r="7971" spans="1:11" x14ac:dyDescent="0.25">
      <c r="A7971" t="str">
        <f>"9969"</f>
        <v>9969</v>
      </c>
      <c r="B7971" t="str">
        <f t="shared" si="522"/>
        <v>1</v>
      </c>
      <c r="C7971" t="str">
        <f t="shared" si="523"/>
        <v>431</v>
      </c>
      <c r="D7971" t="str">
        <f>"9"</f>
        <v>9</v>
      </c>
      <c r="E7971" t="str">
        <f>"1-431-9"</f>
        <v>1-431-9</v>
      </c>
      <c r="F7971" t="s">
        <v>15</v>
      </c>
      <c r="G7971" t="s">
        <v>20</v>
      </c>
      <c r="H7971" t="s">
        <v>21</v>
      </c>
      <c r="I7971">
        <v>0</v>
      </c>
      <c r="J7971">
        <v>1</v>
      </c>
      <c r="K7971">
        <v>0</v>
      </c>
    </row>
    <row r="7972" spans="1:11" x14ac:dyDescent="0.25">
      <c r="A7972" t="str">
        <f>"9970"</f>
        <v>9970</v>
      </c>
      <c r="B7972" t="str">
        <f t="shared" si="522"/>
        <v>1</v>
      </c>
      <c r="C7972" t="str">
        <f t="shared" si="523"/>
        <v>431</v>
      </c>
      <c r="D7972" t="str">
        <f>"3"</f>
        <v>3</v>
      </c>
      <c r="E7972" t="str">
        <f>"1-431-3"</f>
        <v>1-431-3</v>
      </c>
      <c r="F7972" t="s">
        <v>15</v>
      </c>
      <c r="G7972" t="s">
        <v>16</v>
      </c>
      <c r="H7972" t="s">
        <v>17</v>
      </c>
      <c r="I7972">
        <v>0</v>
      </c>
      <c r="J7972">
        <v>1</v>
      </c>
      <c r="K7972">
        <v>0</v>
      </c>
    </row>
    <row r="7973" spans="1:11" x14ac:dyDescent="0.25">
      <c r="A7973" t="str">
        <f>"9971"</f>
        <v>9971</v>
      </c>
      <c r="B7973" t="str">
        <f t="shared" si="522"/>
        <v>1</v>
      </c>
      <c r="C7973" t="str">
        <f t="shared" si="523"/>
        <v>431</v>
      </c>
      <c r="D7973" t="str">
        <f>"14"</f>
        <v>14</v>
      </c>
      <c r="E7973" t="str">
        <f>"1-431-14"</f>
        <v>1-431-14</v>
      </c>
      <c r="F7973" t="s">
        <v>15</v>
      </c>
      <c r="G7973" t="s">
        <v>20</v>
      </c>
      <c r="H7973" t="s">
        <v>21</v>
      </c>
      <c r="I7973">
        <v>0</v>
      </c>
      <c r="J7973">
        <v>0</v>
      </c>
      <c r="K7973">
        <v>1</v>
      </c>
    </row>
    <row r="7974" spans="1:11" x14ac:dyDescent="0.25">
      <c r="A7974" t="str">
        <f>"9973"</f>
        <v>9973</v>
      </c>
      <c r="B7974" t="str">
        <f t="shared" si="522"/>
        <v>1</v>
      </c>
      <c r="C7974" t="str">
        <f t="shared" si="523"/>
        <v>431</v>
      </c>
      <c r="D7974" t="str">
        <f>"10"</f>
        <v>10</v>
      </c>
      <c r="E7974" t="str">
        <f>"1-431-10"</f>
        <v>1-431-10</v>
      </c>
      <c r="F7974" t="s">
        <v>15</v>
      </c>
      <c r="G7974" t="s">
        <v>20</v>
      </c>
      <c r="H7974" t="s">
        <v>21</v>
      </c>
      <c r="I7974">
        <v>0</v>
      </c>
      <c r="J7974">
        <v>0</v>
      </c>
      <c r="K7974">
        <v>1</v>
      </c>
    </row>
    <row r="7975" spans="1:11" x14ac:dyDescent="0.25">
      <c r="A7975" t="str">
        <f>"9974"</f>
        <v>9974</v>
      </c>
      <c r="B7975" t="str">
        <f t="shared" si="522"/>
        <v>1</v>
      </c>
      <c r="C7975" t="str">
        <f t="shared" si="523"/>
        <v>431</v>
      </c>
      <c r="D7975" t="str">
        <f>"18"</f>
        <v>18</v>
      </c>
      <c r="E7975" t="str">
        <f>"1-431-18"</f>
        <v>1-431-18</v>
      </c>
      <c r="F7975" t="s">
        <v>15</v>
      </c>
      <c r="G7975" t="s">
        <v>16</v>
      </c>
      <c r="H7975" t="s">
        <v>17</v>
      </c>
      <c r="I7975">
        <v>0</v>
      </c>
      <c r="J7975">
        <v>1</v>
      </c>
      <c r="K7975">
        <v>0</v>
      </c>
    </row>
    <row r="7976" spans="1:11" x14ac:dyDescent="0.25">
      <c r="A7976" t="str">
        <f>"9975"</f>
        <v>9975</v>
      </c>
      <c r="B7976" t="str">
        <f t="shared" si="522"/>
        <v>1</v>
      </c>
      <c r="C7976" t="str">
        <f t="shared" ref="C7976:C7994" si="524">"432"</f>
        <v>432</v>
      </c>
      <c r="D7976" t="str">
        <f>"23"</f>
        <v>23</v>
      </c>
      <c r="E7976" t="str">
        <f>"1-432-23"</f>
        <v>1-432-23</v>
      </c>
      <c r="F7976" t="s">
        <v>15</v>
      </c>
      <c r="G7976" t="s">
        <v>20</v>
      </c>
      <c r="H7976" t="s">
        <v>21</v>
      </c>
      <c r="I7976">
        <v>0</v>
      </c>
      <c r="J7976">
        <v>1</v>
      </c>
      <c r="K7976">
        <v>0</v>
      </c>
    </row>
    <row r="7977" spans="1:11" x14ac:dyDescent="0.25">
      <c r="A7977" t="str">
        <f>"9976"</f>
        <v>9976</v>
      </c>
      <c r="B7977" t="str">
        <f t="shared" si="522"/>
        <v>1</v>
      </c>
      <c r="C7977" t="str">
        <f t="shared" si="524"/>
        <v>432</v>
      </c>
      <c r="D7977" t="str">
        <f>"15"</f>
        <v>15</v>
      </c>
      <c r="E7977" t="str">
        <f>"1-432-15"</f>
        <v>1-432-15</v>
      </c>
      <c r="F7977" t="s">
        <v>15</v>
      </c>
      <c r="G7977" t="s">
        <v>18</v>
      </c>
      <c r="H7977" t="s">
        <v>19</v>
      </c>
      <c r="I7977">
        <v>1</v>
      </c>
      <c r="J7977">
        <v>0</v>
      </c>
      <c r="K7977">
        <v>0</v>
      </c>
    </row>
    <row r="7978" spans="1:11" x14ac:dyDescent="0.25">
      <c r="A7978" t="str">
        <f>"9979"</f>
        <v>9979</v>
      </c>
      <c r="B7978" t="str">
        <f t="shared" si="522"/>
        <v>1</v>
      </c>
      <c r="C7978" t="str">
        <f t="shared" si="524"/>
        <v>432</v>
      </c>
      <c r="D7978" t="str">
        <f>"17"</f>
        <v>17</v>
      </c>
      <c r="E7978" t="str">
        <f>"1-432-17"</f>
        <v>1-432-17</v>
      </c>
      <c r="F7978" t="s">
        <v>15</v>
      </c>
      <c r="G7978" t="s">
        <v>16</v>
      </c>
      <c r="H7978" t="s">
        <v>17</v>
      </c>
      <c r="I7978">
        <v>0</v>
      </c>
      <c r="J7978">
        <v>1</v>
      </c>
      <c r="K7978">
        <v>0</v>
      </c>
    </row>
    <row r="7979" spans="1:11" x14ac:dyDescent="0.25">
      <c r="A7979" t="str">
        <f>"9981"</f>
        <v>9981</v>
      </c>
      <c r="B7979" t="str">
        <f t="shared" si="522"/>
        <v>1</v>
      </c>
      <c r="C7979" t="str">
        <f t="shared" si="524"/>
        <v>432</v>
      </c>
      <c r="D7979" t="str">
        <f>"18"</f>
        <v>18</v>
      </c>
      <c r="E7979" t="str">
        <f>"1-432-18"</f>
        <v>1-432-18</v>
      </c>
      <c r="F7979" t="s">
        <v>15</v>
      </c>
      <c r="G7979" t="s">
        <v>16</v>
      </c>
      <c r="H7979" t="s">
        <v>17</v>
      </c>
      <c r="I7979">
        <v>1</v>
      </c>
      <c r="J7979">
        <v>0</v>
      </c>
      <c r="K7979">
        <v>0</v>
      </c>
    </row>
    <row r="7980" spans="1:11" x14ac:dyDescent="0.25">
      <c r="A7980" t="str">
        <f>"9983"</f>
        <v>9983</v>
      </c>
      <c r="B7980" t="str">
        <f t="shared" si="522"/>
        <v>1</v>
      </c>
      <c r="C7980" t="str">
        <f t="shared" si="524"/>
        <v>432</v>
      </c>
      <c r="D7980" t="str">
        <f>"19"</f>
        <v>19</v>
      </c>
      <c r="E7980" t="str">
        <f>"1-432-19"</f>
        <v>1-432-19</v>
      </c>
      <c r="F7980" t="s">
        <v>15</v>
      </c>
      <c r="G7980" t="s">
        <v>16</v>
      </c>
      <c r="H7980" t="s">
        <v>17</v>
      </c>
      <c r="I7980">
        <v>1</v>
      </c>
      <c r="J7980">
        <v>0</v>
      </c>
      <c r="K7980">
        <v>0</v>
      </c>
    </row>
    <row r="7981" spans="1:11" x14ac:dyDescent="0.25">
      <c r="A7981" t="str">
        <f>"9985"</f>
        <v>9985</v>
      </c>
      <c r="B7981" t="str">
        <f t="shared" si="522"/>
        <v>1</v>
      </c>
      <c r="C7981" t="str">
        <f t="shared" si="524"/>
        <v>432</v>
      </c>
      <c r="D7981" t="str">
        <f>"20"</f>
        <v>20</v>
      </c>
      <c r="E7981" t="str">
        <f>"1-432-20"</f>
        <v>1-432-20</v>
      </c>
      <c r="F7981" t="s">
        <v>15</v>
      </c>
      <c r="G7981" t="s">
        <v>16</v>
      </c>
      <c r="H7981" t="s">
        <v>17</v>
      </c>
      <c r="I7981">
        <v>0</v>
      </c>
      <c r="J7981">
        <v>0</v>
      </c>
      <c r="K7981">
        <v>1</v>
      </c>
    </row>
    <row r="7982" spans="1:11" x14ac:dyDescent="0.25">
      <c r="A7982" t="str">
        <f>"9987"</f>
        <v>9987</v>
      </c>
      <c r="B7982" t="str">
        <f t="shared" si="522"/>
        <v>1</v>
      </c>
      <c r="C7982" t="str">
        <f t="shared" si="524"/>
        <v>432</v>
      </c>
      <c r="D7982" t="str">
        <f>"21"</f>
        <v>21</v>
      </c>
      <c r="E7982" t="str">
        <f>"1-432-21"</f>
        <v>1-432-21</v>
      </c>
      <c r="F7982" t="s">
        <v>15</v>
      </c>
      <c r="G7982" t="s">
        <v>20</v>
      </c>
      <c r="H7982" t="s">
        <v>21</v>
      </c>
      <c r="I7982">
        <v>1</v>
      </c>
      <c r="J7982">
        <v>0</v>
      </c>
      <c r="K7982">
        <v>0</v>
      </c>
    </row>
    <row r="7983" spans="1:11" x14ac:dyDescent="0.25">
      <c r="A7983" t="str">
        <f>"9988"</f>
        <v>9988</v>
      </c>
      <c r="B7983" t="str">
        <f t="shared" si="522"/>
        <v>1</v>
      </c>
      <c r="C7983" t="str">
        <f t="shared" si="524"/>
        <v>432</v>
      </c>
      <c r="D7983" t="str">
        <f>"14"</f>
        <v>14</v>
      </c>
      <c r="E7983" t="str">
        <f>"1-432-14"</f>
        <v>1-432-14</v>
      </c>
      <c r="F7983" t="s">
        <v>15</v>
      </c>
      <c r="G7983" t="s">
        <v>18</v>
      </c>
      <c r="H7983" t="s">
        <v>19</v>
      </c>
      <c r="I7983">
        <v>0</v>
      </c>
      <c r="J7983">
        <v>1</v>
      </c>
      <c r="K7983">
        <v>0</v>
      </c>
    </row>
    <row r="7984" spans="1:11" x14ac:dyDescent="0.25">
      <c r="A7984" t="str">
        <f>"9989"</f>
        <v>9989</v>
      </c>
      <c r="B7984" t="str">
        <f t="shared" si="522"/>
        <v>1</v>
      </c>
      <c r="C7984" t="str">
        <f t="shared" si="524"/>
        <v>432</v>
      </c>
      <c r="D7984" t="str">
        <f>"7"</f>
        <v>7</v>
      </c>
      <c r="E7984" t="str">
        <f>"1-432-7"</f>
        <v>1-432-7</v>
      </c>
      <c r="F7984" t="s">
        <v>15</v>
      </c>
      <c r="G7984" t="s">
        <v>18</v>
      </c>
      <c r="H7984" t="s">
        <v>19</v>
      </c>
      <c r="I7984">
        <v>0</v>
      </c>
      <c r="J7984">
        <v>1</v>
      </c>
      <c r="K7984">
        <v>0</v>
      </c>
    </row>
    <row r="7985" spans="1:11" x14ac:dyDescent="0.25">
      <c r="A7985" t="str">
        <f>"9990"</f>
        <v>9990</v>
      </c>
      <c r="B7985" t="str">
        <f t="shared" si="522"/>
        <v>1</v>
      </c>
      <c r="C7985" t="str">
        <f t="shared" si="524"/>
        <v>432</v>
      </c>
      <c r="D7985" t="str">
        <f>"25"</f>
        <v>25</v>
      </c>
      <c r="E7985" t="str">
        <f>"1-432-25"</f>
        <v>1-432-25</v>
      </c>
      <c r="F7985" t="s">
        <v>15</v>
      </c>
      <c r="G7985" t="s">
        <v>20</v>
      </c>
      <c r="H7985" t="s">
        <v>21</v>
      </c>
      <c r="I7985">
        <v>0</v>
      </c>
      <c r="J7985">
        <v>0</v>
      </c>
      <c r="K7985">
        <v>1</v>
      </c>
    </row>
    <row r="7986" spans="1:11" x14ac:dyDescent="0.25">
      <c r="A7986" t="str">
        <f>"9991"</f>
        <v>9991</v>
      </c>
      <c r="B7986" t="str">
        <f t="shared" si="522"/>
        <v>1</v>
      </c>
      <c r="C7986" t="str">
        <f t="shared" si="524"/>
        <v>432</v>
      </c>
      <c r="D7986" t="str">
        <f>"12"</f>
        <v>12</v>
      </c>
      <c r="E7986" t="str">
        <f>"1-432-12"</f>
        <v>1-432-12</v>
      </c>
      <c r="F7986" t="s">
        <v>15</v>
      </c>
      <c r="G7986" t="s">
        <v>18</v>
      </c>
      <c r="H7986" t="s">
        <v>19</v>
      </c>
      <c r="I7986">
        <v>1</v>
      </c>
      <c r="J7986">
        <v>0</v>
      </c>
      <c r="K7986">
        <v>0</v>
      </c>
    </row>
    <row r="7987" spans="1:11" x14ac:dyDescent="0.25">
      <c r="A7987" t="str">
        <f>"9993"</f>
        <v>9993</v>
      </c>
      <c r="B7987" t="str">
        <f t="shared" si="522"/>
        <v>1</v>
      </c>
      <c r="C7987" t="str">
        <f t="shared" si="524"/>
        <v>432</v>
      </c>
      <c r="D7987" t="str">
        <f>"13"</f>
        <v>13</v>
      </c>
      <c r="E7987" t="str">
        <f>"1-432-13"</f>
        <v>1-432-13</v>
      </c>
      <c r="F7987" t="s">
        <v>15</v>
      </c>
      <c r="G7987" t="s">
        <v>18</v>
      </c>
      <c r="H7987" t="s">
        <v>19</v>
      </c>
      <c r="I7987">
        <v>1</v>
      </c>
      <c r="J7987">
        <v>0</v>
      </c>
      <c r="K7987">
        <v>0</v>
      </c>
    </row>
    <row r="7988" spans="1:11" x14ac:dyDescent="0.25">
      <c r="A7988" t="str">
        <f>"9995"</f>
        <v>9995</v>
      </c>
      <c r="B7988" t="str">
        <f t="shared" si="522"/>
        <v>1</v>
      </c>
      <c r="C7988" t="str">
        <f t="shared" si="524"/>
        <v>432</v>
      </c>
      <c r="D7988" t="str">
        <f>"8"</f>
        <v>8</v>
      </c>
      <c r="E7988" t="str">
        <f>"1-432-8"</f>
        <v>1-432-8</v>
      </c>
      <c r="F7988" t="s">
        <v>15</v>
      </c>
      <c r="G7988" t="s">
        <v>18</v>
      </c>
      <c r="H7988" t="s">
        <v>19</v>
      </c>
      <c r="I7988">
        <v>0</v>
      </c>
      <c r="J7988">
        <v>1</v>
      </c>
      <c r="K7988">
        <v>0</v>
      </c>
    </row>
    <row r="7989" spans="1:11" x14ac:dyDescent="0.25">
      <c r="A7989" t="str">
        <f>"9997"</f>
        <v>9997</v>
      </c>
      <c r="B7989" t="str">
        <f t="shared" si="522"/>
        <v>1</v>
      </c>
      <c r="C7989" t="str">
        <f t="shared" si="524"/>
        <v>432</v>
      </c>
      <c r="D7989" t="str">
        <f>"11"</f>
        <v>11</v>
      </c>
      <c r="E7989" t="str">
        <f>"1-432-11"</f>
        <v>1-432-11</v>
      </c>
      <c r="F7989" t="s">
        <v>15</v>
      </c>
      <c r="G7989" t="s">
        <v>18</v>
      </c>
      <c r="H7989" t="s">
        <v>19</v>
      </c>
      <c r="I7989">
        <v>0</v>
      </c>
      <c r="J7989">
        <v>1</v>
      </c>
      <c r="K7989">
        <v>0</v>
      </c>
    </row>
    <row r="7990" spans="1:11" x14ac:dyDescent="0.25">
      <c r="A7990" t="str">
        <f>"9999"</f>
        <v>9999</v>
      </c>
      <c r="B7990" t="str">
        <f t="shared" si="522"/>
        <v>1</v>
      </c>
      <c r="C7990" t="str">
        <f t="shared" si="524"/>
        <v>432</v>
      </c>
      <c r="D7990" t="str">
        <f>"6"</f>
        <v>6</v>
      </c>
      <c r="E7990" t="str">
        <f>"1-432-6"</f>
        <v>1-432-6</v>
      </c>
      <c r="F7990" t="s">
        <v>15</v>
      </c>
      <c r="G7990" t="s">
        <v>18</v>
      </c>
      <c r="H7990" t="s">
        <v>19</v>
      </c>
      <c r="I7990">
        <v>1</v>
      </c>
      <c r="J7990">
        <v>0</v>
      </c>
      <c r="K7990">
        <v>0</v>
      </c>
    </row>
    <row r="7991" spans="1:11" x14ac:dyDescent="0.25">
      <c r="A7991" t="str">
        <f>"10001"</f>
        <v>10001</v>
      </c>
      <c r="B7991" t="str">
        <f t="shared" si="522"/>
        <v>1</v>
      </c>
      <c r="C7991" t="str">
        <f t="shared" si="524"/>
        <v>432</v>
      </c>
      <c r="D7991" t="str">
        <f>"9"</f>
        <v>9</v>
      </c>
      <c r="E7991" t="str">
        <f>"1-432-9"</f>
        <v>1-432-9</v>
      </c>
      <c r="F7991" t="s">
        <v>15</v>
      </c>
      <c r="G7991" t="s">
        <v>18</v>
      </c>
      <c r="H7991" t="s">
        <v>19</v>
      </c>
      <c r="I7991">
        <v>1</v>
      </c>
      <c r="J7991">
        <v>0</v>
      </c>
      <c r="K7991">
        <v>0</v>
      </c>
    </row>
    <row r="7992" spans="1:11" x14ac:dyDescent="0.25">
      <c r="A7992" t="str">
        <f>"10002"</f>
        <v>10002</v>
      </c>
      <c r="B7992" t="str">
        <f t="shared" si="522"/>
        <v>1</v>
      </c>
      <c r="C7992" t="str">
        <f t="shared" si="524"/>
        <v>432</v>
      </c>
      <c r="D7992" t="str">
        <f>"16"</f>
        <v>16</v>
      </c>
      <c r="E7992" t="str">
        <f>"1-432-16"</f>
        <v>1-432-16</v>
      </c>
      <c r="F7992" t="s">
        <v>15</v>
      </c>
      <c r="G7992" t="s">
        <v>16</v>
      </c>
      <c r="H7992" t="s">
        <v>17</v>
      </c>
      <c r="I7992">
        <v>0</v>
      </c>
      <c r="J7992">
        <v>0</v>
      </c>
      <c r="K7992">
        <v>0</v>
      </c>
    </row>
    <row r="7993" spans="1:11" x14ac:dyDescent="0.25">
      <c r="A7993" t="str">
        <f>"10003"</f>
        <v>10003</v>
      </c>
      <c r="B7993" t="str">
        <f t="shared" si="522"/>
        <v>1</v>
      </c>
      <c r="C7993" t="str">
        <f t="shared" si="524"/>
        <v>432</v>
      </c>
      <c r="D7993" t="str">
        <f>"22"</f>
        <v>22</v>
      </c>
      <c r="E7993" t="str">
        <f>"1-432-22"</f>
        <v>1-432-22</v>
      </c>
      <c r="F7993" t="s">
        <v>15</v>
      </c>
      <c r="G7993" t="s">
        <v>20</v>
      </c>
      <c r="H7993" t="s">
        <v>21</v>
      </c>
      <c r="I7993">
        <v>0</v>
      </c>
      <c r="J7993">
        <v>0</v>
      </c>
      <c r="K7993">
        <v>0</v>
      </c>
    </row>
    <row r="7994" spans="1:11" x14ac:dyDescent="0.25">
      <c r="A7994" t="str">
        <f>"10004"</f>
        <v>10004</v>
      </c>
      <c r="B7994" t="str">
        <f t="shared" si="522"/>
        <v>1</v>
      </c>
      <c r="C7994" t="str">
        <f t="shared" si="524"/>
        <v>432</v>
      </c>
      <c r="D7994" t="str">
        <f>"24"</f>
        <v>24</v>
      </c>
      <c r="E7994" t="str">
        <f>"1-432-24"</f>
        <v>1-432-24</v>
      </c>
      <c r="F7994" t="s">
        <v>15</v>
      </c>
      <c r="G7994" t="s">
        <v>20</v>
      </c>
      <c r="H7994" t="s">
        <v>21</v>
      </c>
      <c r="I7994">
        <v>0</v>
      </c>
      <c r="J7994">
        <v>0</v>
      </c>
      <c r="K7994">
        <v>0</v>
      </c>
    </row>
  </sheetData>
  <sheetProtection password="BCAE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CVR_Export_20220824151224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Loy</dc:creator>
  <cp:lastModifiedBy>Rene Loy</cp:lastModifiedBy>
  <dcterms:created xsi:type="dcterms:W3CDTF">2022-08-24T22:14:49Z</dcterms:created>
  <dcterms:modified xsi:type="dcterms:W3CDTF">2022-08-24T22:29:16Z</dcterms:modified>
</cp:coreProperties>
</file>