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B00BCEE6-937A-A44F-A514-E1EBB6C72DED}" xr6:coauthVersionLast="47" xr6:coauthVersionMax="47" xr10:uidLastSave="{00000000-0000-0000-0000-000000000000}"/>
  <bookViews>
    <workbookView xWindow="9900" yWindow="4120" windowWidth="23040" windowHeight="10520" activeTab="1" xr2:uid="{00000000-000D-0000-FFFF-FFFF00000000}"/>
  </bookViews>
  <sheets>
    <sheet name="Throughput Formula" sheetId="2" r:id="rId1"/>
    <sheet name="Throughput Volu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K5" i="2" s="1"/>
  <c r="C5" i="2"/>
  <c r="G3" i="2"/>
  <c r="L6" i="2" s="1"/>
  <c r="J6" i="2"/>
  <c r="K6" i="2" s="1"/>
  <c r="C6" i="2"/>
  <c r="J7" i="2"/>
  <c r="K7" i="2" s="1"/>
  <c r="C7" i="2"/>
  <c r="C8" i="2"/>
  <c r="J8" i="2"/>
  <c r="K8" i="2" s="1"/>
  <c r="C9" i="2"/>
  <c r="J9" i="2"/>
  <c r="K9" i="2" s="1"/>
  <c r="C10" i="2"/>
  <c r="J10" i="2"/>
  <c r="K10" i="2" s="1"/>
  <c r="C11" i="2"/>
  <c r="J11" i="2"/>
  <c r="K11" i="2" s="1"/>
  <c r="C12" i="2"/>
  <c r="J12" i="2"/>
  <c r="K12" i="2" s="1"/>
  <c r="C13" i="2"/>
  <c r="J13" i="2"/>
  <c r="K13" i="2" s="1"/>
  <c r="C14" i="2"/>
  <c r="J14" i="2"/>
  <c r="K14" i="2" s="1"/>
  <c r="C15" i="2"/>
  <c r="J15" i="2"/>
  <c r="K15" i="2" s="1"/>
  <c r="C16" i="2"/>
  <c r="J16" i="2"/>
  <c r="K16" i="2" s="1"/>
  <c r="C17" i="2"/>
  <c r="J17" i="2"/>
  <c r="K17" i="2" s="1"/>
  <c r="C18" i="2"/>
  <c r="L18" i="2" s="1"/>
  <c r="J18" i="2"/>
  <c r="K18" i="2" s="1"/>
  <c r="C19" i="2"/>
  <c r="J19" i="2"/>
  <c r="K19" i="2" s="1"/>
  <c r="C4" i="2"/>
  <c r="J4" i="2"/>
  <c r="K4" i="2"/>
  <c r="L26" i="1"/>
  <c r="G26" i="1"/>
  <c r="L19" i="1"/>
  <c r="G19" i="1"/>
  <c r="L12" i="1"/>
  <c r="L29" i="1" s="1"/>
  <c r="G12" i="1"/>
  <c r="G29" i="1" s="1"/>
  <c r="B12" i="1"/>
  <c r="B29" i="1" s="1"/>
  <c r="O25" i="1"/>
  <c r="P25" i="1" s="1"/>
  <c r="M25" i="1"/>
  <c r="M24" i="1"/>
  <c r="O24" i="1"/>
  <c r="P24" i="1" s="1"/>
  <c r="H25" i="1"/>
  <c r="J25" i="1"/>
  <c r="K25" i="1"/>
  <c r="H24" i="1"/>
  <c r="J24" i="1" s="1"/>
  <c r="K24" i="1" s="1"/>
  <c r="M17" i="1"/>
  <c r="O17" i="1"/>
  <c r="P17" i="1" s="1"/>
  <c r="M18" i="1"/>
  <c r="H18" i="1"/>
  <c r="J18" i="1" s="1"/>
  <c r="K18" i="1" s="1"/>
  <c r="C18" i="1"/>
  <c r="E18" i="1" s="1"/>
  <c r="F18" i="1" s="1"/>
  <c r="M11" i="1"/>
  <c r="H11" i="1"/>
  <c r="J11" i="1"/>
  <c r="K11" i="1"/>
  <c r="C11" i="1"/>
  <c r="E11" i="1"/>
  <c r="F11" i="1" s="1"/>
  <c r="C25" i="1"/>
  <c r="E25" i="1" s="1"/>
  <c r="F25" i="1" s="1"/>
  <c r="C24" i="1"/>
  <c r="E24" i="1"/>
  <c r="F24" i="1"/>
  <c r="O18" i="1"/>
  <c r="P18" i="1" s="1"/>
  <c r="E17" i="1"/>
  <c r="F17" i="1"/>
  <c r="I17" i="1"/>
  <c r="J17" i="1" s="1"/>
  <c r="K17" i="1" s="1"/>
  <c r="O11" i="1"/>
  <c r="P11" i="1" s="1"/>
  <c r="O10" i="1"/>
  <c r="P10" i="1" s="1"/>
  <c r="E10" i="1"/>
  <c r="F10" i="1"/>
  <c r="J10" i="1"/>
  <c r="K10" i="1"/>
  <c r="L14" i="2" l="1"/>
  <c r="M14" i="2" s="1"/>
  <c r="L10" i="2"/>
  <c r="M10" i="2" s="1"/>
  <c r="M18" i="2"/>
  <c r="M6" i="2"/>
  <c r="L19" i="2"/>
  <c r="M19" i="2" s="1"/>
  <c r="L15" i="2"/>
  <c r="M15" i="2" s="1"/>
  <c r="L11" i="2"/>
  <c r="M11" i="2" s="1"/>
  <c r="L5" i="2"/>
  <c r="M5" i="2" s="1"/>
  <c r="L17" i="2"/>
  <c r="M17" i="2" s="1"/>
  <c r="L13" i="2"/>
  <c r="M13" i="2" s="1"/>
  <c r="L9" i="2"/>
  <c r="M9" i="2" s="1"/>
  <c r="L7" i="2"/>
  <c r="M7" i="2" s="1"/>
  <c r="L4" i="2"/>
  <c r="M4" i="2" s="1"/>
  <c r="L16" i="2"/>
  <c r="M16" i="2" s="1"/>
  <c r="L12" i="2"/>
  <c r="M12" i="2" s="1"/>
  <c r="L8" i="2"/>
  <c r="M8" i="2" s="1"/>
</calcChain>
</file>

<file path=xl/sharedStrings.xml><?xml version="1.0" encoding="utf-8"?>
<sst xmlns="http://schemas.openxmlformats.org/spreadsheetml/2006/main" count="73" uniqueCount="64">
  <si>
    <t>Phase 1 Sites</t>
  </si>
  <si>
    <t>Phase 2 Sites</t>
  </si>
  <si>
    <t>Ph 3 = ED</t>
  </si>
  <si>
    <t>Phase 3 Sites</t>
  </si>
  <si>
    <t>Ph 1 = E-15 to E-5</t>
  </si>
  <si>
    <t>Ph 2 = E - 5 to E-1</t>
  </si>
  <si>
    <t>2016 Registered Active Voters</t>
  </si>
  <si>
    <t>2016 Ballots Casted</t>
  </si>
  <si>
    <t>2016 IP Voters</t>
  </si>
  <si>
    <t>Proposed</t>
  </si>
  <si>
    <t>Daily Max Voters</t>
  </si>
  <si>
    <t>Daily Over Capacity</t>
  </si>
  <si>
    <t>Daily Capacity</t>
  </si>
  <si>
    <t>Daily Over Cap</t>
  </si>
  <si>
    <t>Daily % over Cap</t>
  </si>
  <si>
    <t>Daily % Over Cap</t>
  </si>
  <si>
    <t>Daily Cap</t>
  </si>
  <si>
    <t>Min</t>
  </si>
  <si>
    <t>Phase 1 Check In  (5 min)</t>
  </si>
  <si>
    <t>Stations*Hours open*(60/min per voter)</t>
  </si>
  <si>
    <t>Phase 1 Check In  (7 min)</t>
  </si>
  <si>
    <t>P3 Hours of Op</t>
  </si>
  <si>
    <t>P2 Hours of Op</t>
  </si>
  <si>
    <t>Total Hrs of Op</t>
  </si>
  <si>
    <t>P1 Hours of Op (hrs * sites)</t>
  </si>
  <si>
    <t>P1 Minimum</t>
  </si>
  <si>
    <t>2018 Anticipated Max. Daily Voters</t>
  </si>
  <si>
    <t>Peak Multiplier</t>
  </si>
  <si>
    <t>Median Volume</t>
  </si>
  <si>
    <t>Est Pop Incr.</t>
  </si>
  <si>
    <t>B+(B*C3)</t>
  </si>
  <si>
    <t>I/J</t>
  </si>
  <si>
    <t>Peak WebSCORE Stations Needed</t>
  </si>
  <si>
    <t>Median WebSCORE Stations Needed</t>
  </si>
  <si>
    <t>(H+I)/2</t>
  </si>
  <si>
    <t>D/(G*E)</t>
  </si>
  <si>
    <t>K*L</t>
  </si>
  <si>
    <t>2016 ACTUAL NUMBERS</t>
  </si>
  <si>
    <t>VSPC SITES AS PROPOSED IN REDUCTION BILL</t>
  </si>
  <si>
    <t>VSPC SITES IN LINE WITH THE DATA</t>
  </si>
  <si>
    <t>Denver</t>
  </si>
  <si>
    <t>El Paso</t>
  </si>
  <si>
    <t>Jefferson</t>
  </si>
  <si>
    <t>Arapahoe</t>
  </si>
  <si>
    <t>Adams</t>
  </si>
  <si>
    <t>Larimer</t>
  </si>
  <si>
    <t>Boulder</t>
  </si>
  <si>
    <t>Douglas</t>
  </si>
  <si>
    <t>Weld</t>
  </si>
  <si>
    <t>Pueblo</t>
  </si>
  <si>
    <t>Mesa</t>
  </si>
  <si>
    <t>Broomfield</t>
  </si>
  <si>
    <t>La Plata</t>
  </si>
  <si>
    <t>Garfield</t>
  </si>
  <si>
    <t>Eagle</t>
  </si>
  <si>
    <t>Fremont</t>
  </si>
  <si>
    <t>2016 Election Day In-Person Voters</t>
  </si>
  <si>
    <t>2016 Actual WebSCORE Stations</t>
  </si>
  <si>
    <t>Hours Open</t>
  </si>
  <si>
    <r>
      <rPr>
        <sz val="12"/>
        <color theme="1"/>
        <rFont val="Arial Narrow"/>
        <family val="2"/>
      </rPr>
      <t>Voter Volume</t>
    </r>
    <r>
      <rPr>
        <b/>
        <sz val="12"/>
        <color theme="1"/>
        <rFont val="Arial Narrow"/>
        <family val="2"/>
      </rPr>
      <t xml:space="preserve"> Low Hour</t>
    </r>
  </si>
  <si>
    <r>
      <rPr>
        <sz val="12"/>
        <color theme="1"/>
        <rFont val="Arial Narrow"/>
        <family val="2"/>
      </rPr>
      <t xml:space="preserve">Voter Volume </t>
    </r>
    <r>
      <rPr>
        <b/>
        <sz val="12"/>
        <color theme="1"/>
        <rFont val="Arial Narrow"/>
        <family val="2"/>
      </rPr>
      <t>Peak Hour</t>
    </r>
  </si>
  <si>
    <t>COUNTY</t>
  </si>
  <si>
    <t>Minutes/ Transaction</t>
  </si>
  <si>
    <t>Transactions/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</si>
</sst>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5" tint="0.79998168889431442"/>
      </patternFill>
    </fill>
    <fill>
      <patternFill patternType="solid">
        <fgColor rgb="FFFFF5EB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164" fontId="2" fillId="2" borderId="0" xfId="1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64" fontId="2" fillId="3" borderId="0" xfId="1" applyNumberFormat="1" applyFont="1" applyFill="1" applyAlignment="1">
      <alignment wrapText="1"/>
    </xf>
    <xf numFmtId="164" fontId="2" fillId="4" borderId="0" xfId="1" applyNumberFormat="1" applyFont="1" applyFill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3" fontId="2" fillId="2" borderId="0" xfId="0" applyNumberFormat="1" applyFont="1" applyFill="1" applyAlignment="1">
      <alignment wrapText="1"/>
    </xf>
    <xf numFmtId="9" fontId="0" fillId="0" borderId="0" xfId="0" applyNumberFormat="1"/>
    <xf numFmtId="9" fontId="0" fillId="0" borderId="0" xfId="0" applyNumberFormat="1" applyAlignment="1">
      <alignment wrapText="1"/>
    </xf>
    <xf numFmtId="9" fontId="2" fillId="2" borderId="0" xfId="0" applyNumberFormat="1" applyFont="1" applyFill="1" applyAlignment="1">
      <alignment wrapText="1"/>
    </xf>
    <xf numFmtId="9" fontId="0" fillId="0" borderId="0" xfId="1" applyNumberFormat="1" applyFont="1"/>
    <xf numFmtId="9" fontId="0" fillId="0" borderId="0" xfId="1" applyNumberFormat="1" applyFont="1" applyAlignment="1">
      <alignment wrapText="1"/>
    </xf>
    <xf numFmtId="9" fontId="2" fillId="3" borderId="0" xfId="1" applyNumberFormat="1" applyFont="1" applyFill="1" applyAlignment="1">
      <alignment wrapText="1"/>
    </xf>
    <xf numFmtId="9" fontId="2" fillId="4" borderId="0" xfId="1" applyNumberFormat="1" applyFont="1" applyFill="1" applyAlignment="1">
      <alignment wrapText="1"/>
    </xf>
    <xf numFmtId="3" fontId="0" fillId="0" borderId="0" xfId="1" applyNumberFormat="1" applyFont="1"/>
    <xf numFmtId="0" fontId="2" fillId="4" borderId="0" xfId="1" applyNumberFormat="1" applyFont="1" applyFill="1" applyAlignment="1">
      <alignment wrapText="1"/>
    </xf>
    <xf numFmtId="0" fontId="3" fillId="0" borderId="0" xfId="0" applyFont="1"/>
    <xf numFmtId="0" fontId="3" fillId="0" borderId="0" xfId="0" applyFont="1" applyFill="1"/>
    <xf numFmtId="0" fontId="3" fillId="0" borderId="2" xfId="0" applyFont="1" applyBorder="1"/>
    <xf numFmtId="3" fontId="3" fillId="5" borderId="2" xfId="0" applyNumberFormat="1" applyFont="1" applyFill="1" applyBorder="1"/>
    <xf numFmtId="0" fontId="3" fillId="0" borderId="2" xfId="0" applyFont="1" applyFill="1" applyBorder="1"/>
    <xf numFmtId="0" fontId="3" fillId="7" borderId="2" xfId="0" applyFont="1" applyFill="1" applyBorder="1"/>
    <xf numFmtId="1" fontId="3" fillId="5" borderId="2" xfId="0" applyNumberFormat="1" applyFont="1" applyFill="1" applyBorder="1"/>
    <xf numFmtId="3" fontId="3" fillId="6" borderId="3" xfId="0" applyNumberFormat="1" applyFont="1" applyFill="1" applyBorder="1"/>
    <xf numFmtId="3" fontId="3" fillId="7" borderId="3" xfId="0" applyNumberFormat="1" applyFont="1" applyFill="1" applyBorder="1"/>
    <xf numFmtId="165" fontId="3" fillId="7" borderId="3" xfId="0" applyNumberFormat="1" applyFont="1" applyFill="1" applyBorder="1"/>
    <xf numFmtId="1" fontId="3" fillId="5" borderId="3" xfId="0" applyNumberFormat="1" applyFont="1" applyFill="1" applyBorder="1"/>
    <xf numFmtId="3" fontId="3" fillId="6" borderId="12" xfId="0" applyNumberFormat="1" applyFont="1" applyFill="1" applyBorder="1"/>
    <xf numFmtId="3" fontId="3" fillId="0" borderId="14" xfId="0" applyNumberFormat="1" applyFont="1" applyBorder="1"/>
    <xf numFmtId="0" fontId="3" fillId="0" borderId="15" xfId="0" applyFont="1" applyFill="1" applyBorder="1"/>
    <xf numFmtId="3" fontId="3" fillId="0" borderId="14" xfId="0" applyNumberFormat="1" applyFont="1" applyFill="1" applyBorder="1"/>
    <xf numFmtId="3" fontId="3" fillId="0" borderId="16" xfId="0" applyNumberFormat="1" applyFont="1" applyBorder="1"/>
    <xf numFmtId="0" fontId="3" fillId="7" borderId="19" xfId="0" applyFont="1" applyFill="1" applyBorder="1"/>
    <xf numFmtId="0" fontId="3" fillId="0" borderId="19" xfId="0" applyFont="1" applyBorder="1"/>
    <xf numFmtId="1" fontId="3" fillId="5" borderId="19" xfId="0" applyNumberFormat="1" applyFont="1" applyFill="1" applyBorder="1"/>
    <xf numFmtId="0" fontId="4" fillId="8" borderId="4" xfId="0" applyFont="1" applyFill="1" applyBorder="1"/>
    <xf numFmtId="0" fontId="4" fillId="8" borderId="10" xfId="0" applyFont="1" applyFill="1" applyBorder="1" applyAlignment="1">
      <alignment vertical="center"/>
    </xf>
    <xf numFmtId="0" fontId="4" fillId="8" borderId="9" xfId="0" applyFont="1" applyFill="1" applyBorder="1" applyAlignment="1">
      <alignment vertical="center"/>
    </xf>
    <xf numFmtId="0" fontId="4" fillId="8" borderId="11" xfId="0" applyFont="1" applyFill="1" applyBorder="1" applyAlignment="1">
      <alignment vertical="center"/>
    </xf>
    <xf numFmtId="3" fontId="3" fillId="5" borderId="3" xfId="0" applyNumberFormat="1" applyFont="1" applyFill="1" applyBorder="1"/>
    <xf numFmtId="3" fontId="3" fillId="5" borderId="19" xfId="0" applyNumberFormat="1" applyFont="1" applyFill="1" applyBorder="1"/>
    <xf numFmtId="3" fontId="3" fillId="0" borderId="0" xfId="0" applyNumberFormat="1" applyFont="1"/>
    <xf numFmtId="0" fontId="3" fillId="0" borderId="0" xfId="0" applyFont="1" applyAlignment="1">
      <alignment textRotation="90"/>
    </xf>
    <xf numFmtId="4" fontId="3" fillId="5" borderId="3" xfId="0" applyNumberFormat="1" applyFont="1" applyFill="1" applyBorder="1" applyAlignment="1"/>
    <xf numFmtId="4" fontId="3" fillId="5" borderId="2" xfId="0" applyNumberFormat="1" applyFont="1" applyFill="1" applyBorder="1" applyAlignment="1"/>
    <xf numFmtId="4" fontId="3" fillId="5" borderId="19" xfId="0" applyNumberFormat="1" applyFont="1" applyFill="1" applyBorder="1" applyAlignment="1"/>
    <xf numFmtId="0" fontId="3" fillId="0" borderId="21" xfId="0" applyFont="1" applyBorder="1" applyAlignment="1">
      <alignment wrapText="1"/>
    </xf>
    <xf numFmtId="9" fontId="4" fillId="2" borderId="22" xfId="0" applyNumberFormat="1" applyFont="1" applyFill="1" applyBorder="1"/>
    <xf numFmtId="0" fontId="5" fillId="0" borderId="23" xfId="0" applyFont="1" applyBorder="1" applyAlignment="1">
      <alignment wrapText="1"/>
    </xf>
    <xf numFmtId="0" fontId="4" fillId="2" borderId="22" xfId="0" applyFont="1" applyFill="1" applyBorder="1"/>
    <xf numFmtId="1" fontId="3" fillId="5" borderId="22" xfId="0" applyNumberFormat="1" applyFont="1" applyFill="1" applyBorder="1"/>
    <xf numFmtId="0" fontId="5" fillId="0" borderId="22" xfId="0" applyFont="1" applyBorder="1" applyAlignment="1">
      <alignment wrapText="1"/>
    </xf>
    <xf numFmtId="3" fontId="5" fillId="0" borderId="22" xfId="0" applyNumberFormat="1" applyFont="1" applyBorder="1" applyAlignment="1">
      <alignment wrapText="1"/>
    </xf>
    <xf numFmtId="0" fontId="3" fillId="0" borderId="24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20" xfId="0" applyFont="1" applyBorder="1"/>
    <xf numFmtId="3" fontId="3" fillId="5" borderId="17" xfId="0" applyNumberFormat="1" applyFont="1" applyFill="1" applyBorder="1" applyAlignment="1">
      <alignment horizontal="center"/>
    </xf>
    <xf numFmtId="3" fontId="3" fillId="5" borderId="18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3" fillId="5" borderId="6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3" fontId="3" fillId="5" borderId="8" xfId="0" applyNumberFormat="1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 wrapText="1"/>
    </xf>
    <xf numFmtId="0" fontId="4" fillId="8" borderId="32" xfId="0" applyFont="1" applyFill="1" applyBorder="1" applyAlignment="1">
      <alignment horizontal="center" wrapText="1"/>
    </xf>
    <xf numFmtId="0" fontId="4" fillId="8" borderId="31" xfId="0" applyFont="1" applyFill="1" applyBorder="1" applyAlignment="1">
      <alignment horizontal="center" textRotation="90" wrapText="1"/>
    </xf>
    <xf numFmtId="0" fontId="4" fillId="8" borderId="32" xfId="0" applyFont="1" applyFill="1" applyBorder="1" applyAlignment="1">
      <alignment horizontal="center" textRotation="90" wrapText="1"/>
    </xf>
    <xf numFmtId="0" fontId="4" fillId="8" borderId="33" xfId="0" applyFont="1" applyFill="1" applyBorder="1" applyAlignment="1">
      <alignment horizontal="center" textRotation="90" wrapText="1"/>
    </xf>
    <xf numFmtId="0" fontId="4" fillId="8" borderId="26" xfId="0" applyFont="1" applyFill="1" applyBorder="1" applyAlignment="1">
      <alignment horizontal="center" textRotation="90" wrapText="1"/>
    </xf>
    <xf numFmtId="0" fontId="4" fillId="8" borderId="29" xfId="0" applyFont="1" applyFill="1" applyBorder="1" applyAlignment="1">
      <alignment horizontal="center" textRotation="90" wrapText="1"/>
    </xf>
    <xf numFmtId="0" fontId="4" fillId="8" borderId="30" xfId="0" applyFont="1" applyFill="1" applyBorder="1" applyAlignment="1">
      <alignment horizontal="center" textRotation="90" wrapText="1"/>
    </xf>
    <xf numFmtId="0" fontId="4" fillId="8" borderId="28" xfId="0" applyFont="1" applyFill="1" applyBorder="1" applyAlignment="1">
      <alignment horizontal="center" wrapText="1"/>
    </xf>
    <xf numFmtId="0" fontId="4" fillId="8" borderId="2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8" borderId="29" xfId="0" applyFont="1" applyFill="1" applyBorder="1" applyAlignment="1">
      <alignment horizontal="center" wrapText="1"/>
    </xf>
    <xf numFmtId="0" fontId="4" fillId="8" borderId="30" xfId="0" applyFont="1" applyFill="1" applyBorder="1" applyAlignment="1">
      <alignment horizontal="center" wrapText="1"/>
    </xf>
    <xf numFmtId="3" fontId="4" fillId="8" borderId="31" xfId="0" applyNumberFormat="1" applyFont="1" applyFill="1" applyBorder="1" applyAlignment="1">
      <alignment horizontal="center" textRotation="90" wrapText="1"/>
    </xf>
    <xf numFmtId="3" fontId="4" fillId="8" borderId="32" xfId="0" applyNumberFormat="1" applyFont="1" applyFill="1" applyBorder="1" applyAlignment="1">
      <alignment horizontal="center" textRotation="90" wrapText="1"/>
    </xf>
    <xf numFmtId="0" fontId="4" fillId="8" borderId="34" xfId="0" applyFont="1" applyFill="1" applyBorder="1" applyAlignment="1">
      <alignment horizontal="center" textRotation="90" wrapText="1"/>
    </xf>
    <xf numFmtId="0" fontId="4" fillId="8" borderId="27" xfId="0" applyFont="1" applyFill="1" applyBorder="1" applyAlignment="1">
      <alignment horizontal="center" textRotation="90" wrapText="1"/>
    </xf>
    <xf numFmtId="0" fontId="4" fillId="8" borderId="33" xfId="0" applyFont="1" applyFill="1" applyBorder="1" applyAlignment="1">
      <alignment horizontal="center" wrapText="1"/>
    </xf>
    <xf numFmtId="0" fontId="4" fillId="8" borderId="26" xfId="0" applyFont="1" applyFill="1" applyBorder="1" applyAlignment="1">
      <alignment horizontal="center" wrapText="1"/>
    </xf>
    <xf numFmtId="0" fontId="2" fillId="4" borderId="1" xfId="1" applyNumberFormat="1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5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9"/>
  <sheetViews>
    <sheetView workbookViewId="0">
      <selection activeCell="N17" sqref="N17"/>
    </sheetView>
  </sheetViews>
  <sheetFormatPr baseColWidth="10" defaultColWidth="9.1640625" defaultRowHeight="16" x14ac:dyDescent="0.2"/>
  <cols>
    <col min="1" max="1" width="10.5" style="22" customWidth="1"/>
    <col min="2" max="2" width="15" style="22" customWidth="1"/>
    <col min="3" max="3" width="5.33203125" style="22" customWidth="1"/>
    <col min="4" max="4" width="11.5" style="22" customWidth="1"/>
    <col min="5" max="7" width="5.6640625" style="22" customWidth="1"/>
    <col min="8" max="8" width="7.6640625" style="22" customWidth="1"/>
    <col min="9" max="9" width="8.1640625" style="22" customWidth="1"/>
    <col min="10" max="10" width="7.6640625" style="47" customWidth="1"/>
    <col min="11" max="11" width="6.5" style="48" customWidth="1"/>
    <col min="12" max="13" width="14.5" style="22" customWidth="1"/>
    <col min="14" max="14" width="11.5" style="22" customWidth="1"/>
    <col min="15" max="16384" width="9.1640625" style="22"/>
  </cols>
  <sheetData>
    <row r="1" spans="1:14" ht="15.75" customHeight="1" x14ac:dyDescent="0.2">
      <c r="A1" s="79"/>
      <c r="B1" s="77" t="s">
        <v>56</v>
      </c>
      <c r="C1" s="69" t="s">
        <v>29</v>
      </c>
      <c r="D1" s="80" t="s">
        <v>26</v>
      </c>
      <c r="E1" s="71" t="s">
        <v>58</v>
      </c>
      <c r="F1" s="73" t="s">
        <v>62</v>
      </c>
      <c r="G1" s="75" t="s">
        <v>63</v>
      </c>
      <c r="H1" s="69" t="s">
        <v>59</v>
      </c>
      <c r="I1" s="80" t="s">
        <v>60</v>
      </c>
      <c r="J1" s="82" t="s">
        <v>28</v>
      </c>
      <c r="K1" s="84" t="s">
        <v>27</v>
      </c>
      <c r="L1" s="86" t="s">
        <v>33</v>
      </c>
      <c r="M1" s="86" t="s">
        <v>32</v>
      </c>
      <c r="N1" s="80" t="s">
        <v>57</v>
      </c>
    </row>
    <row r="2" spans="1:14" ht="60" customHeight="1" thickBot="1" x14ac:dyDescent="0.25">
      <c r="A2" s="79"/>
      <c r="B2" s="78"/>
      <c r="C2" s="70"/>
      <c r="D2" s="81"/>
      <c r="E2" s="72"/>
      <c r="F2" s="74"/>
      <c r="G2" s="76"/>
      <c r="H2" s="70"/>
      <c r="I2" s="81"/>
      <c r="J2" s="83"/>
      <c r="K2" s="85"/>
      <c r="L2" s="87"/>
      <c r="M2" s="87"/>
      <c r="N2" s="81"/>
    </row>
    <row r="3" spans="1:14" ht="27.75" customHeight="1" thickBot="1" x14ac:dyDescent="0.25">
      <c r="A3" s="41" t="s">
        <v>61</v>
      </c>
      <c r="B3" s="52"/>
      <c r="C3" s="53">
        <v>0.1</v>
      </c>
      <c r="D3" s="54" t="s">
        <v>30</v>
      </c>
      <c r="E3" s="55">
        <v>12</v>
      </c>
      <c r="F3" s="55">
        <v>5</v>
      </c>
      <c r="G3" s="56">
        <f>60/F3</f>
        <v>12</v>
      </c>
      <c r="H3" s="57"/>
      <c r="I3" s="57"/>
      <c r="J3" s="58" t="s">
        <v>34</v>
      </c>
      <c r="K3" s="57" t="s">
        <v>31</v>
      </c>
      <c r="L3" s="57" t="s">
        <v>35</v>
      </c>
      <c r="M3" s="57" t="s">
        <v>36</v>
      </c>
      <c r="N3" s="59"/>
    </row>
    <row r="4" spans="1:14" x14ac:dyDescent="0.2">
      <c r="A4" s="42" t="s">
        <v>40</v>
      </c>
      <c r="B4" s="33">
        <v>18671</v>
      </c>
      <c r="C4" s="67">
        <f t="shared" ref="C4:C19" si="0">B4+(B4*$C$3)</f>
        <v>20538.099999999999</v>
      </c>
      <c r="D4" s="68"/>
      <c r="E4" s="30"/>
      <c r="F4" s="30"/>
      <c r="G4" s="31"/>
      <c r="H4" s="29">
        <v>422</v>
      </c>
      <c r="I4" s="29">
        <v>1616</v>
      </c>
      <c r="J4" s="45">
        <f t="shared" ref="J4:J19" si="1">(I4+H4)/2</f>
        <v>1019</v>
      </c>
      <c r="K4" s="49">
        <f>I4/J4</f>
        <v>1.5858684985279685</v>
      </c>
      <c r="L4" s="32">
        <f t="shared" ref="L4:L19" si="2">C4/($E$3*$G$3)</f>
        <v>142.62569444444443</v>
      </c>
      <c r="M4" s="32">
        <f t="shared" ref="M4:M19" si="3">L4*K4</f>
        <v>226.18559590011992</v>
      </c>
      <c r="N4" s="60">
        <v>145</v>
      </c>
    </row>
    <row r="5" spans="1:14" x14ac:dyDescent="0.2">
      <c r="A5" s="43" t="s">
        <v>41</v>
      </c>
      <c r="B5" s="34">
        <v>13955</v>
      </c>
      <c r="C5" s="65">
        <f t="shared" si="0"/>
        <v>15350.5</v>
      </c>
      <c r="D5" s="66"/>
      <c r="E5" s="27"/>
      <c r="F5" s="27"/>
      <c r="G5" s="27"/>
      <c r="H5" s="24">
        <v>483</v>
      </c>
      <c r="I5" s="24">
        <v>1159</v>
      </c>
      <c r="J5" s="25">
        <f t="shared" si="1"/>
        <v>821</v>
      </c>
      <c r="K5" s="50">
        <f t="shared" ref="K5:K19" si="4">I5/J5</f>
        <v>1.4116930572472595</v>
      </c>
      <c r="L5" s="28">
        <f t="shared" si="2"/>
        <v>106.60069444444444</v>
      </c>
      <c r="M5" s="28">
        <f t="shared" si="3"/>
        <v>150.48746024495873</v>
      </c>
      <c r="N5" s="61">
        <v>125</v>
      </c>
    </row>
    <row r="6" spans="1:14" x14ac:dyDescent="0.2">
      <c r="A6" s="43" t="s">
        <v>42</v>
      </c>
      <c r="B6" s="34">
        <v>13399</v>
      </c>
      <c r="C6" s="65">
        <f t="shared" si="0"/>
        <v>14738.9</v>
      </c>
      <c r="D6" s="66"/>
      <c r="E6" s="27"/>
      <c r="F6" s="27"/>
      <c r="G6" s="27"/>
      <c r="H6" s="24">
        <v>544</v>
      </c>
      <c r="I6" s="24">
        <v>1278</v>
      </c>
      <c r="J6" s="25">
        <f t="shared" si="1"/>
        <v>911</v>
      </c>
      <c r="K6" s="50">
        <f t="shared" si="4"/>
        <v>1.402854006586169</v>
      </c>
      <c r="L6" s="28">
        <f t="shared" si="2"/>
        <v>102.35347222222222</v>
      </c>
      <c r="M6" s="28">
        <f t="shared" si="3"/>
        <v>143.58697859495061</v>
      </c>
      <c r="N6" s="61">
        <v>88</v>
      </c>
    </row>
    <row r="7" spans="1:14" s="23" customFormat="1" x14ac:dyDescent="0.2">
      <c r="A7" s="43" t="s">
        <v>43</v>
      </c>
      <c r="B7" s="36">
        <v>17449</v>
      </c>
      <c r="C7" s="65">
        <f t="shared" si="0"/>
        <v>19193.900000000001</v>
      </c>
      <c r="D7" s="66"/>
      <c r="E7" s="27"/>
      <c r="F7" s="27"/>
      <c r="G7" s="27"/>
      <c r="H7" s="26">
        <v>531</v>
      </c>
      <c r="I7" s="26">
        <v>1640</v>
      </c>
      <c r="J7" s="25">
        <f t="shared" si="1"/>
        <v>1085.5</v>
      </c>
      <c r="K7" s="50">
        <f t="shared" si="4"/>
        <v>1.5108245048364808</v>
      </c>
      <c r="L7" s="28">
        <f t="shared" si="2"/>
        <v>133.29097222222222</v>
      </c>
      <c r="M7" s="28">
        <f t="shared" si="3"/>
        <v>201.37926710681199</v>
      </c>
      <c r="N7" s="35">
        <v>185</v>
      </c>
    </row>
    <row r="8" spans="1:14" s="23" customFormat="1" x14ac:dyDescent="0.2">
      <c r="A8" s="43" t="s">
        <v>44</v>
      </c>
      <c r="B8" s="36">
        <v>11660</v>
      </c>
      <c r="C8" s="65">
        <f t="shared" si="0"/>
        <v>12826</v>
      </c>
      <c r="D8" s="66"/>
      <c r="E8" s="27"/>
      <c r="F8" s="27"/>
      <c r="G8" s="27"/>
      <c r="H8" s="26">
        <v>445</v>
      </c>
      <c r="I8" s="26">
        <v>1053</v>
      </c>
      <c r="J8" s="25">
        <f t="shared" si="1"/>
        <v>749</v>
      </c>
      <c r="K8" s="50">
        <f t="shared" si="4"/>
        <v>1.4058744993324432</v>
      </c>
      <c r="L8" s="28">
        <f t="shared" si="2"/>
        <v>89.069444444444443</v>
      </c>
      <c r="M8" s="28">
        <f t="shared" si="3"/>
        <v>125.2204606141522</v>
      </c>
      <c r="N8" s="35">
        <v>80</v>
      </c>
    </row>
    <row r="9" spans="1:14" s="23" customFormat="1" x14ac:dyDescent="0.2">
      <c r="A9" s="43" t="s">
        <v>45</v>
      </c>
      <c r="B9" s="36">
        <v>11237</v>
      </c>
      <c r="C9" s="65">
        <f t="shared" si="0"/>
        <v>12360.7</v>
      </c>
      <c r="D9" s="66"/>
      <c r="E9" s="27"/>
      <c r="F9" s="27"/>
      <c r="G9" s="27"/>
      <c r="H9" s="26">
        <v>504</v>
      </c>
      <c r="I9" s="26">
        <v>1177</v>
      </c>
      <c r="J9" s="25">
        <f t="shared" si="1"/>
        <v>840.5</v>
      </c>
      <c r="K9" s="50">
        <f t="shared" si="4"/>
        <v>1.4003569303985723</v>
      </c>
      <c r="L9" s="28">
        <f t="shared" si="2"/>
        <v>85.838194444444454</v>
      </c>
      <c r="M9" s="28">
        <f t="shared" si="3"/>
        <v>120.20411048317803</v>
      </c>
      <c r="N9" s="35">
        <v>85</v>
      </c>
    </row>
    <row r="10" spans="1:14" s="23" customFormat="1" x14ac:dyDescent="0.2">
      <c r="A10" s="43" t="s">
        <v>46</v>
      </c>
      <c r="B10" s="36">
        <v>7736</v>
      </c>
      <c r="C10" s="65">
        <f t="shared" si="0"/>
        <v>8509.6</v>
      </c>
      <c r="D10" s="66"/>
      <c r="E10" s="27"/>
      <c r="F10" s="27"/>
      <c r="G10" s="27"/>
      <c r="H10" s="26">
        <v>99</v>
      </c>
      <c r="I10" s="26">
        <v>1166</v>
      </c>
      <c r="J10" s="25">
        <f t="shared" si="1"/>
        <v>632.5</v>
      </c>
      <c r="K10" s="50">
        <f t="shared" si="4"/>
        <v>1.8434782608695652</v>
      </c>
      <c r="L10" s="28">
        <f t="shared" si="2"/>
        <v>59.094444444444449</v>
      </c>
      <c r="M10" s="28">
        <f t="shared" si="3"/>
        <v>108.93932367149759</v>
      </c>
      <c r="N10" s="35">
        <v>130</v>
      </c>
    </row>
    <row r="11" spans="1:14" x14ac:dyDescent="0.2">
      <c r="A11" s="43" t="s">
        <v>47</v>
      </c>
      <c r="B11" s="34">
        <v>8971</v>
      </c>
      <c r="C11" s="65">
        <f t="shared" si="0"/>
        <v>9868.1</v>
      </c>
      <c r="D11" s="66"/>
      <c r="E11" s="27"/>
      <c r="F11" s="27"/>
      <c r="G11" s="27"/>
      <c r="H11" s="24">
        <v>484</v>
      </c>
      <c r="I11" s="24">
        <v>856</v>
      </c>
      <c r="J11" s="25">
        <f t="shared" si="1"/>
        <v>670</v>
      </c>
      <c r="K11" s="50">
        <f t="shared" si="4"/>
        <v>1.2776119402985076</v>
      </c>
      <c r="L11" s="28">
        <f t="shared" si="2"/>
        <v>68.52847222222222</v>
      </c>
      <c r="M11" s="28">
        <f t="shared" si="3"/>
        <v>87.552794361525713</v>
      </c>
      <c r="N11" s="61">
        <v>80</v>
      </c>
    </row>
    <row r="12" spans="1:14" x14ac:dyDescent="0.2">
      <c r="A12" s="43" t="s">
        <v>48</v>
      </c>
      <c r="B12" s="34">
        <v>10080</v>
      </c>
      <c r="C12" s="65">
        <f t="shared" si="0"/>
        <v>11088</v>
      </c>
      <c r="D12" s="66"/>
      <c r="E12" s="27"/>
      <c r="F12" s="27"/>
      <c r="G12" s="27"/>
      <c r="H12" s="24">
        <v>439</v>
      </c>
      <c r="I12" s="24">
        <v>1006</v>
      </c>
      <c r="J12" s="25">
        <f t="shared" si="1"/>
        <v>722.5</v>
      </c>
      <c r="K12" s="50">
        <f t="shared" si="4"/>
        <v>1.3923875432525952</v>
      </c>
      <c r="L12" s="28">
        <f t="shared" si="2"/>
        <v>77</v>
      </c>
      <c r="M12" s="28">
        <f t="shared" si="3"/>
        <v>107.21384083044983</v>
      </c>
      <c r="N12" s="61">
        <v>60</v>
      </c>
    </row>
    <row r="13" spans="1:14" x14ac:dyDescent="0.2">
      <c r="A13" s="43" t="s">
        <v>49</v>
      </c>
      <c r="B13" s="34">
        <v>2799</v>
      </c>
      <c r="C13" s="65">
        <f t="shared" si="0"/>
        <v>3078.9</v>
      </c>
      <c r="D13" s="66"/>
      <c r="E13" s="27"/>
      <c r="F13" s="27"/>
      <c r="G13" s="27"/>
      <c r="H13" s="24">
        <v>87</v>
      </c>
      <c r="I13" s="24">
        <v>231</v>
      </c>
      <c r="J13" s="25">
        <f t="shared" si="1"/>
        <v>159</v>
      </c>
      <c r="K13" s="50">
        <f t="shared" si="4"/>
        <v>1.4528301886792452</v>
      </c>
      <c r="L13" s="28">
        <f t="shared" si="2"/>
        <v>21.381250000000001</v>
      </c>
      <c r="M13" s="28">
        <f t="shared" si="3"/>
        <v>31.063325471698114</v>
      </c>
      <c r="N13" s="61">
        <v>12</v>
      </c>
    </row>
    <row r="14" spans="1:14" x14ac:dyDescent="0.2">
      <c r="A14" s="43" t="s">
        <v>50</v>
      </c>
      <c r="B14" s="34">
        <v>2761</v>
      </c>
      <c r="C14" s="65">
        <f t="shared" si="0"/>
        <v>3037.1</v>
      </c>
      <c r="D14" s="66"/>
      <c r="E14" s="27"/>
      <c r="F14" s="27"/>
      <c r="G14" s="27"/>
      <c r="H14" s="24">
        <v>99</v>
      </c>
      <c r="I14" s="24">
        <v>248</v>
      </c>
      <c r="J14" s="25">
        <f t="shared" si="1"/>
        <v>173.5</v>
      </c>
      <c r="K14" s="50">
        <f t="shared" si="4"/>
        <v>1.4293948126801153</v>
      </c>
      <c r="L14" s="28">
        <f t="shared" si="2"/>
        <v>21.09097222222222</v>
      </c>
      <c r="M14" s="28">
        <f t="shared" si="3"/>
        <v>30.147326288824843</v>
      </c>
      <c r="N14" s="61"/>
    </row>
    <row r="15" spans="1:14" x14ac:dyDescent="0.2">
      <c r="A15" s="43" t="s">
        <v>51</v>
      </c>
      <c r="B15" s="34">
        <v>1886</v>
      </c>
      <c r="C15" s="65">
        <f t="shared" si="0"/>
        <v>2074.6</v>
      </c>
      <c r="D15" s="66"/>
      <c r="E15" s="27"/>
      <c r="F15" s="27"/>
      <c r="G15" s="27"/>
      <c r="H15" s="24">
        <v>101</v>
      </c>
      <c r="I15" s="24">
        <v>191</v>
      </c>
      <c r="J15" s="25">
        <f t="shared" si="1"/>
        <v>146</v>
      </c>
      <c r="K15" s="50">
        <f t="shared" si="4"/>
        <v>1.3082191780821917</v>
      </c>
      <c r="L15" s="28">
        <f t="shared" si="2"/>
        <v>14.406944444444443</v>
      </c>
      <c r="M15" s="28">
        <f t="shared" si="3"/>
        <v>18.847441019786906</v>
      </c>
      <c r="N15" s="61">
        <v>13</v>
      </c>
    </row>
    <row r="16" spans="1:14" x14ac:dyDescent="0.2">
      <c r="A16" s="43" t="s">
        <v>52</v>
      </c>
      <c r="B16" s="34">
        <v>1324</v>
      </c>
      <c r="C16" s="65">
        <f t="shared" si="0"/>
        <v>1456.4</v>
      </c>
      <c r="D16" s="66"/>
      <c r="E16" s="27"/>
      <c r="F16" s="27"/>
      <c r="G16" s="27"/>
      <c r="H16" s="24">
        <v>64</v>
      </c>
      <c r="I16" s="24">
        <v>158</v>
      </c>
      <c r="J16" s="25">
        <f t="shared" si="1"/>
        <v>111</v>
      </c>
      <c r="K16" s="50">
        <f t="shared" si="4"/>
        <v>1.4234234234234233</v>
      </c>
      <c r="L16" s="28">
        <f t="shared" si="2"/>
        <v>10.113888888888889</v>
      </c>
      <c r="M16" s="28">
        <f t="shared" si="3"/>
        <v>14.396346346346345</v>
      </c>
      <c r="N16" s="61">
        <v>10</v>
      </c>
    </row>
    <row r="17" spans="1:14" x14ac:dyDescent="0.2">
      <c r="A17" s="43" t="s">
        <v>53</v>
      </c>
      <c r="B17" s="34">
        <v>777</v>
      </c>
      <c r="C17" s="65">
        <f t="shared" si="0"/>
        <v>854.7</v>
      </c>
      <c r="D17" s="66"/>
      <c r="E17" s="27"/>
      <c r="F17" s="27"/>
      <c r="G17" s="27"/>
      <c r="H17" s="24">
        <v>32</v>
      </c>
      <c r="I17" s="24">
        <v>75</v>
      </c>
      <c r="J17" s="25">
        <f t="shared" si="1"/>
        <v>53.5</v>
      </c>
      <c r="K17" s="50">
        <f t="shared" si="4"/>
        <v>1.4018691588785046</v>
      </c>
      <c r="L17" s="28">
        <f t="shared" si="2"/>
        <v>5.9354166666666668</v>
      </c>
      <c r="M17" s="28">
        <f t="shared" si="3"/>
        <v>8.3206775700934585</v>
      </c>
      <c r="N17" s="61">
        <v>7</v>
      </c>
    </row>
    <row r="18" spans="1:14" x14ac:dyDescent="0.2">
      <c r="A18" s="43" t="s">
        <v>54</v>
      </c>
      <c r="B18" s="34">
        <v>320</v>
      </c>
      <c r="C18" s="65">
        <f t="shared" si="0"/>
        <v>352</v>
      </c>
      <c r="D18" s="66"/>
      <c r="E18" s="27"/>
      <c r="F18" s="27"/>
      <c r="G18" s="27"/>
      <c r="H18" s="24">
        <v>21</v>
      </c>
      <c r="I18" s="24">
        <v>30</v>
      </c>
      <c r="J18" s="25">
        <f t="shared" si="1"/>
        <v>25.5</v>
      </c>
      <c r="K18" s="50">
        <f t="shared" si="4"/>
        <v>1.1764705882352942</v>
      </c>
      <c r="L18" s="28">
        <f t="shared" si="2"/>
        <v>2.4444444444444446</v>
      </c>
      <c r="M18" s="28">
        <f t="shared" si="3"/>
        <v>2.8758169934640527</v>
      </c>
      <c r="N18" s="61">
        <v>10</v>
      </c>
    </row>
    <row r="19" spans="1:14" ht="17" thickBot="1" x14ac:dyDescent="0.25">
      <c r="A19" s="44" t="s">
        <v>55</v>
      </c>
      <c r="B19" s="37">
        <v>1161</v>
      </c>
      <c r="C19" s="63">
        <f t="shared" si="0"/>
        <v>1277.0999999999999</v>
      </c>
      <c r="D19" s="64"/>
      <c r="E19" s="38"/>
      <c r="F19" s="38"/>
      <c r="G19" s="38"/>
      <c r="H19" s="39">
        <v>77</v>
      </c>
      <c r="I19" s="39">
        <v>109</v>
      </c>
      <c r="J19" s="46">
        <f t="shared" si="1"/>
        <v>93</v>
      </c>
      <c r="K19" s="51">
        <f t="shared" si="4"/>
        <v>1.1720430107526882</v>
      </c>
      <c r="L19" s="40">
        <f t="shared" si="2"/>
        <v>8.8687499999999986</v>
      </c>
      <c r="M19" s="40">
        <f t="shared" si="3"/>
        <v>10.394556451612901</v>
      </c>
      <c r="N19" s="62"/>
    </row>
  </sheetData>
  <mergeCells count="30">
    <mergeCell ref="B1:B2"/>
    <mergeCell ref="C1:C2"/>
    <mergeCell ref="A1:A2"/>
    <mergeCell ref="D1:D2"/>
    <mergeCell ref="N1:N2"/>
    <mergeCell ref="I1:I2"/>
    <mergeCell ref="J1:J2"/>
    <mergeCell ref="K1:K2"/>
    <mergeCell ref="L1:L2"/>
    <mergeCell ref="M1:M2"/>
    <mergeCell ref="C4:D4"/>
    <mergeCell ref="C5:D5"/>
    <mergeCell ref="C6:D6"/>
    <mergeCell ref="C7:D7"/>
    <mergeCell ref="H1:H2"/>
    <mergeCell ref="E1:E2"/>
    <mergeCell ref="F1:F2"/>
    <mergeCell ref="G1:G2"/>
    <mergeCell ref="C19:D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25" right="0.25" top="2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P29"/>
  <sheetViews>
    <sheetView tabSelected="1" topLeftCell="A3" workbookViewId="0">
      <selection activeCell="R7" sqref="R7"/>
    </sheetView>
  </sheetViews>
  <sheetFormatPr baseColWidth="10" defaultColWidth="8.83203125" defaultRowHeight="15" x14ac:dyDescent="0.2"/>
  <cols>
    <col min="1" max="1" width="23.1640625" customWidth="1"/>
    <col min="2" max="3" width="10.5" style="4" customWidth="1"/>
    <col min="4" max="4" width="8.83203125" style="4" customWidth="1"/>
    <col min="5" max="5" width="8.33203125" style="4" customWidth="1"/>
    <col min="6" max="6" width="10" style="16" customWidth="1"/>
    <col min="7" max="7" width="9.5" style="4" customWidth="1"/>
    <col min="8" max="8" width="8.5" style="4" customWidth="1"/>
    <col min="9" max="9" width="10.33203125" style="4" customWidth="1"/>
    <col min="10" max="10" width="9.1640625" style="4" customWidth="1"/>
    <col min="11" max="11" width="10" style="16" customWidth="1"/>
    <col min="12" max="12" width="5.6640625" style="4" customWidth="1"/>
    <col min="13" max="14" width="9.5" customWidth="1"/>
    <col min="15" max="15" width="10" style="10" customWidth="1"/>
    <col min="16" max="16" width="6.83203125" style="13" customWidth="1"/>
  </cols>
  <sheetData>
    <row r="3" spans="1:16" s="1" customFormat="1" ht="48.75" customHeight="1" x14ac:dyDescent="0.2">
      <c r="B3" s="5" t="s">
        <v>6</v>
      </c>
      <c r="C3" s="5" t="s">
        <v>7</v>
      </c>
      <c r="D3" s="5" t="s">
        <v>8</v>
      </c>
      <c r="E3" s="5"/>
      <c r="F3" s="17"/>
      <c r="I3" s="5"/>
      <c r="J3" s="5"/>
      <c r="K3" s="17"/>
      <c r="L3" s="5"/>
      <c r="O3" s="11"/>
      <c r="P3" s="14"/>
    </row>
    <row r="4" spans="1:16" s="1" customFormat="1" ht="14.25" customHeight="1" x14ac:dyDescent="0.2">
      <c r="B4" s="5">
        <v>372913</v>
      </c>
      <c r="C4" s="5">
        <v>311745</v>
      </c>
      <c r="D4" s="5">
        <v>26596</v>
      </c>
      <c r="E4" s="5"/>
      <c r="F4" s="17"/>
      <c r="I4" s="5"/>
      <c r="J4" s="5"/>
      <c r="K4" s="17"/>
      <c r="L4" s="5"/>
      <c r="O4" s="11"/>
      <c r="P4" s="14"/>
    </row>
    <row r="5" spans="1:16" s="1" customFormat="1" ht="14.25" customHeight="1" x14ac:dyDescent="0.2">
      <c r="B5" s="5"/>
      <c r="C5" s="5"/>
      <c r="D5" s="5"/>
      <c r="E5" s="5"/>
      <c r="F5" s="17"/>
      <c r="G5" s="5"/>
      <c r="H5" s="5"/>
      <c r="I5" s="5"/>
      <c r="J5" s="5"/>
      <c r="K5" s="17"/>
      <c r="L5" s="5"/>
      <c r="O5" s="11"/>
      <c r="P5" s="14"/>
    </row>
    <row r="6" spans="1:16" s="1" customFormat="1" ht="14.25" customHeight="1" x14ac:dyDescent="0.2">
      <c r="B6" s="88" t="s">
        <v>37</v>
      </c>
      <c r="C6" s="88"/>
      <c r="D6" s="88"/>
      <c r="E6" s="88"/>
      <c r="F6" s="88"/>
      <c r="G6" s="89" t="s">
        <v>38</v>
      </c>
      <c r="H6" s="89"/>
      <c r="I6" s="89"/>
      <c r="J6" s="89"/>
      <c r="K6" s="89"/>
      <c r="L6" s="90" t="s">
        <v>39</v>
      </c>
      <c r="M6" s="90"/>
      <c r="N6" s="90"/>
      <c r="O6" s="90"/>
      <c r="P6" s="90"/>
    </row>
    <row r="7" spans="1:16" s="2" customFormat="1" ht="45.75" customHeight="1" x14ac:dyDescent="0.2">
      <c r="B7" s="21">
        <v>2016</v>
      </c>
      <c r="C7" s="9" t="s">
        <v>12</v>
      </c>
      <c r="D7" s="9" t="s">
        <v>10</v>
      </c>
      <c r="E7" s="9" t="s">
        <v>11</v>
      </c>
      <c r="F7" s="19" t="s">
        <v>14</v>
      </c>
      <c r="G7" s="8" t="s">
        <v>9</v>
      </c>
      <c r="H7" s="8" t="s">
        <v>16</v>
      </c>
      <c r="I7" s="8" t="s">
        <v>10</v>
      </c>
      <c r="J7" s="8" t="s">
        <v>13</v>
      </c>
      <c r="K7" s="18" t="s">
        <v>15</v>
      </c>
      <c r="L7" s="6" t="s">
        <v>17</v>
      </c>
      <c r="M7" s="7" t="s">
        <v>16</v>
      </c>
      <c r="N7" s="7" t="s">
        <v>10</v>
      </c>
      <c r="O7" s="12" t="s">
        <v>13</v>
      </c>
      <c r="P7" s="15" t="s">
        <v>15</v>
      </c>
    </row>
    <row r="8" spans="1:16" ht="16" x14ac:dyDescent="0.2">
      <c r="A8" s="2" t="s">
        <v>4</v>
      </c>
      <c r="C8" s="4" t="s">
        <v>19</v>
      </c>
    </row>
    <row r="9" spans="1:16" x14ac:dyDescent="0.2">
      <c r="A9" t="s">
        <v>0</v>
      </c>
      <c r="B9" s="4">
        <v>11</v>
      </c>
      <c r="G9" s="4">
        <v>5</v>
      </c>
      <c r="L9" s="4">
        <v>3</v>
      </c>
    </row>
    <row r="10" spans="1:16" x14ac:dyDescent="0.2">
      <c r="A10" t="s">
        <v>18</v>
      </c>
      <c r="B10" s="4">
        <v>100</v>
      </c>
      <c r="C10" s="4">
        <v>10800</v>
      </c>
      <c r="D10" s="4">
        <v>590</v>
      </c>
      <c r="E10" s="4">
        <f>C10-D10</f>
        <v>10210</v>
      </c>
      <c r="F10" s="16">
        <f>E10/D10</f>
        <v>17.305084745762713</v>
      </c>
      <c r="G10" s="4">
        <v>15</v>
      </c>
      <c r="H10" s="4">
        <v>1620</v>
      </c>
      <c r="I10" s="4">
        <v>649</v>
      </c>
      <c r="J10" s="4">
        <f>H10-I10</f>
        <v>971</v>
      </c>
      <c r="K10" s="16">
        <f>J10/I10</f>
        <v>1.4961479198767333</v>
      </c>
      <c r="L10" s="4">
        <v>9</v>
      </c>
      <c r="M10" s="20">
        <v>972</v>
      </c>
      <c r="N10" s="20">
        <v>649</v>
      </c>
      <c r="O10" s="10">
        <f>M10-N10</f>
        <v>323</v>
      </c>
      <c r="P10" s="13">
        <f>O10/N10</f>
        <v>0.49768875192604006</v>
      </c>
    </row>
    <row r="11" spans="1:16" x14ac:dyDescent="0.2">
      <c r="A11" t="s">
        <v>20</v>
      </c>
      <c r="B11" s="4">
        <v>100</v>
      </c>
      <c r="C11" s="4">
        <f>100*9*8.5</f>
        <v>7650</v>
      </c>
      <c r="D11" s="4">
        <v>590</v>
      </c>
      <c r="E11" s="4">
        <f>C11-D11</f>
        <v>7060</v>
      </c>
      <c r="F11" s="16">
        <f>E11/D11</f>
        <v>11.966101694915254</v>
      </c>
      <c r="G11" s="4">
        <v>15</v>
      </c>
      <c r="H11" s="4">
        <f>15*8.5*9</f>
        <v>1147.5</v>
      </c>
      <c r="I11" s="4">
        <v>649</v>
      </c>
      <c r="J11" s="4">
        <f>H11-I11</f>
        <v>498.5</v>
      </c>
      <c r="K11" s="16">
        <f>J11/I11</f>
        <v>0.76810477657935283</v>
      </c>
      <c r="L11" s="4">
        <v>9</v>
      </c>
      <c r="M11" s="20">
        <f>9*8.5*9</f>
        <v>688.5</v>
      </c>
      <c r="N11" s="20">
        <v>649</v>
      </c>
      <c r="O11" s="10">
        <f>M11-N11</f>
        <v>39.5</v>
      </c>
      <c r="P11" s="13">
        <f>O11/N11</f>
        <v>6.0862865947611713E-2</v>
      </c>
    </row>
    <row r="12" spans="1:16" x14ac:dyDescent="0.2">
      <c r="A12" t="s">
        <v>24</v>
      </c>
      <c r="B12" s="4">
        <f>84*11</f>
        <v>924</v>
      </c>
      <c r="G12" s="4">
        <f>78*5</f>
        <v>390</v>
      </c>
      <c r="L12" s="4">
        <f>3*78</f>
        <v>234</v>
      </c>
      <c r="M12" s="20"/>
      <c r="N12" s="20"/>
    </row>
    <row r="13" spans="1:16" x14ac:dyDescent="0.2">
      <c r="A13" t="s">
        <v>25</v>
      </c>
      <c r="M13" s="20"/>
      <c r="N13" s="20"/>
    </row>
    <row r="14" spans="1:16" x14ac:dyDescent="0.2">
      <c r="M14" s="10"/>
      <c r="N14" s="10"/>
    </row>
    <row r="15" spans="1:16" x14ac:dyDescent="0.2">
      <c r="A15" s="3" t="s">
        <v>5</v>
      </c>
      <c r="M15" s="10"/>
      <c r="N15" s="10"/>
    </row>
    <row r="16" spans="1:16" x14ac:dyDescent="0.2">
      <c r="A16" t="s">
        <v>1</v>
      </c>
      <c r="B16" s="4">
        <v>25</v>
      </c>
      <c r="G16" s="4">
        <v>12</v>
      </c>
      <c r="L16" s="4">
        <v>12</v>
      </c>
      <c r="M16" s="10"/>
      <c r="N16" s="10"/>
    </row>
    <row r="17" spans="1:16" x14ac:dyDescent="0.2">
      <c r="A17" t="s">
        <v>18</v>
      </c>
      <c r="B17" s="4">
        <v>202</v>
      </c>
      <c r="C17" s="4">
        <v>21816</v>
      </c>
      <c r="D17" s="4">
        <v>3291</v>
      </c>
      <c r="E17" s="4">
        <f t="shared" ref="E17:E18" si="0">C17-D17</f>
        <v>18525</v>
      </c>
      <c r="F17" s="16">
        <f t="shared" ref="F17:F18" si="1">E17/D17</f>
        <v>5.6289881494986327</v>
      </c>
      <c r="G17" s="4">
        <v>75</v>
      </c>
      <c r="H17" s="4">
        <v>8100</v>
      </c>
      <c r="I17" s="4">
        <f>3291*1.1</f>
        <v>3620.1000000000004</v>
      </c>
      <c r="J17" s="4">
        <f>H17-I17</f>
        <v>4479.8999999999996</v>
      </c>
      <c r="K17" s="16">
        <f>J17/I17</f>
        <v>1.2375072511809064</v>
      </c>
      <c r="L17" s="4">
        <v>36</v>
      </c>
      <c r="M17" s="10">
        <f>36*12*9</f>
        <v>3888</v>
      </c>
      <c r="N17" s="10">
        <v>3620</v>
      </c>
      <c r="O17" s="10">
        <f t="shared" ref="O17:O18" si="2">M17-N17</f>
        <v>268</v>
      </c>
      <c r="P17" s="13">
        <f t="shared" ref="P17:P18" si="3">O17/N17</f>
        <v>7.4033149171270712E-2</v>
      </c>
    </row>
    <row r="18" spans="1:16" x14ac:dyDescent="0.2">
      <c r="A18" t="s">
        <v>20</v>
      </c>
      <c r="B18" s="4">
        <v>202</v>
      </c>
      <c r="C18" s="4">
        <f>202*8.5*9</f>
        <v>15453</v>
      </c>
      <c r="D18" s="4">
        <v>3291</v>
      </c>
      <c r="E18" s="4">
        <f t="shared" si="0"/>
        <v>12162</v>
      </c>
      <c r="F18" s="16">
        <f t="shared" si="1"/>
        <v>3.6955332725615313</v>
      </c>
      <c r="G18" s="4">
        <v>75</v>
      </c>
      <c r="H18" s="4">
        <f>75*8.5*9</f>
        <v>5737.5</v>
      </c>
      <c r="I18" s="4">
        <v>3620</v>
      </c>
      <c r="J18" s="4">
        <f>H18-I18</f>
        <v>2117.5</v>
      </c>
      <c r="K18" s="16">
        <f>J18/I18</f>
        <v>0.58494475138121549</v>
      </c>
      <c r="L18" s="4">
        <v>36</v>
      </c>
      <c r="M18" s="20">
        <f>36*8.5*9</f>
        <v>2754</v>
      </c>
      <c r="N18" s="10">
        <v>3620</v>
      </c>
      <c r="O18" s="10">
        <f t="shared" si="2"/>
        <v>-866</v>
      </c>
      <c r="P18" s="13">
        <f t="shared" si="3"/>
        <v>-0.23922651933701658</v>
      </c>
    </row>
    <row r="19" spans="1:16" x14ac:dyDescent="0.2">
      <c r="A19" t="s">
        <v>22</v>
      </c>
      <c r="B19" s="4">
        <v>600</v>
      </c>
      <c r="G19" s="4">
        <f>24*12</f>
        <v>288</v>
      </c>
      <c r="L19" s="4">
        <f>24*12</f>
        <v>288</v>
      </c>
      <c r="M19" s="20"/>
      <c r="N19" s="10"/>
    </row>
    <row r="20" spans="1:16" x14ac:dyDescent="0.2">
      <c r="M20" s="20"/>
      <c r="N20" s="10"/>
    </row>
    <row r="21" spans="1:16" x14ac:dyDescent="0.2">
      <c r="M21" s="10"/>
      <c r="N21" s="10"/>
    </row>
    <row r="22" spans="1:16" x14ac:dyDescent="0.2">
      <c r="A22" s="3" t="s">
        <v>2</v>
      </c>
    </row>
    <row r="23" spans="1:16" x14ac:dyDescent="0.2">
      <c r="A23" t="s">
        <v>3</v>
      </c>
      <c r="B23" s="4">
        <v>25</v>
      </c>
      <c r="G23" s="4">
        <v>26</v>
      </c>
      <c r="L23" s="4">
        <v>26</v>
      </c>
    </row>
    <row r="24" spans="1:16" x14ac:dyDescent="0.2">
      <c r="A24" t="s">
        <v>18</v>
      </c>
      <c r="B24" s="4">
        <v>225</v>
      </c>
      <c r="C24" s="4">
        <f>225*12*12</f>
        <v>32400</v>
      </c>
      <c r="D24" s="4">
        <v>17449</v>
      </c>
      <c r="E24" s="4">
        <f t="shared" ref="E24" si="4">C24-D24</f>
        <v>14951</v>
      </c>
      <c r="F24" s="16">
        <f t="shared" ref="F24" si="5">E24/D24</f>
        <v>0.85683993352054555</v>
      </c>
      <c r="G24" s="4">
        <v>225</v>
      </c>
      <c r="H24" s="4">
        <f>225*12*12</f>
        <v>32400</v>
      </c>
      <c r="I24" s="4">
        <v>19193</v>
      </c>
      <c r="J24" s="4">
        <f t="shared" ref="J24:J25" si="6">H24-I24</f>
        <v>13207</v>
      </c>
      <c r="K24" s="16">
        <f t="shared" ref="K24:K25" si="7">J24/I24</f>
        <v>0.68811545876100666</v>
      </c>
      <c r="L24" s="4">
        <v>225</v>
      </c>
      <c r="M24" s="4">
        <f>225*12*12</f>
        <v>32400</v>
      </c>
      <c r="N24" s="4">
        <v>19193</v>
      </c>
      <c r="O24" s="4">
        <f t="shared" ref="O24:O25" si="8">M24-N24</f>
        <v>13207</v>
      </c>
      <c r="P24" s="16">
        <f t="shared" ref="P24:P25" si="9">O24/N24</f>
        <v>0.68811545876100666</v>
      </c>
    </row>
    <row r="25" spans="1:16" x14ac:dyDescent="0.2">
      <c r="A25" t="s">
        <v>20</v>
      </c>
      <c r="B25" s="4">
        <v>225</v>
      </c>
      <c r="C25" s="4">
        <f>225*12*8.5</f>
        <v>22950</v>
      </c>
      <c r="D25" s="4">
        <v>17449</v>
      </c>
      <c r="E25" s="4">
        <f t="shared" ref="E25" si="10">C25-D25</f>
        <v>5501</v>
      </c>
      <c r="F25" s="16">
        <f t="shared" ref="F25" si="11">E25/D25</f>
        <v>0.31526161957705312</v>
      </c>
      <c r="G25" s="4">
        <v>225</v>
      </c>
      <c r="H25" s="4">
        <f>225*12*8.5</f>
        <v>22950</v>
      </c>
      <c r="I25" s="4">
        <v>19193</v>
      </c>
      <c r="J25" s="4">
        <f t="shared" si="6"/>
        <v>3757</v>
      </c>
      <c r="K25" s="16">
        <f t="shared" si="7"/>
        <v>0.19574844995571303</v>
      </c>
      <c r="L25" s="4">
        <v>225</v>
      </c>
      <c r="M25" s="4">
        <f>225*12*8.5</f>
        <v>22950</v>
      </c>
      <c r="N25" s="4">
        <v>19193</v>
      </c>
      <c r="O25" s="4">
        <f t="shared" si="8"/>
        <v>3757</v>
      </c>
      <c r="P25" s="16">
        <f t="shared" si="9"/>
        <v>0.19574844995571303</v>
      </c>
    </row>
    <row r="26" spans="1:16" x14ac:dyDescent="0.2">
      <c r="A26" t="s">
        <v>21</v>
      </c>
      <c r="B26" s="4">
        <v>312</v>
      </c>
      <c r="G26" s="4">
        <f>12*26</f>
        <v>312</v>
      </c>
      <c r="L26" s="4">
        <f>12*26</f>
        <v>312</v>
      </c>
      <c r="M26" s="4"/>
      <c r="N26" s="4"/>
      <c r="O26" s="4"/>
      <c r="P26" s="16"/>
    </row>
    <row r="27" spans="1:16" x14ac:dyDescent="0.2">
      <c r="M27" s="4"/>
      <c r="N27" s="4"/>
      <c r="O27" s="4"/>
      <c r="P27" s="16"/>
    </row>
    <row r="29" spans="1:16" x14ac:dyDescent="0.2">
      <c r="A29" t="s">
        <v>23</v>
      </c>
      <c r="B29" s="4">
        <f>B12+B19+B26</f>
        <v>1836</v>
      </c>
      <c r="G29" s="4">
        <f>G12+G19+G26</f>
        <v>990</v>
      </c>
      <c r="L29" s="4">
        <f>L12+L19+L26</f>
        <v>834</v>
      </c>
    </row>
  </sheetData>
  <mergeCells count="3">
    <mergeCell ref="B6:F6"/>
    <mergeCell ref="G6:K6"/>
    <mergeCell ref="L6:P6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Throughput Formula</vt:lpstr>
      <vt:lpstr>Throughput Volume</vt:lpstr>
    </vt:vector>
  </TitlesOfParts>
  <Company>Arapahoe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Davidson</dc:creator>
  <cp:lastModifiedBy>Amy Grant</cp:lastModifiedBy>
  <cp:lastPrinted>2017-02-24T18:39:30Z</cp:lastPrinted>
  <dcterms:created xsi:type="dcterms:W3CDTF">2017-02-13T22:02:02Z</dcterms:created>
  <dcterms:modified xsi:type="dcterms:W3CDTF">2022-03-24T20:51:13Z</dcterms:modified>
</cp:coreProperties>
</file>